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arv\OneDrive\Desktop\Course stuff\excel-challenge\"/>
    </mc:Choice>
  </mc:AlternateContent>
  <xr:revisionPtr revIDLastSave="0" documentId="13_ncr:1_{CDC5CB54-4F06-48F4-8F38-87F78B56A5D2}" xr6:coauthVersionLast="47" xr6:coauthVersionMax="47" xr10:uidLastSave="{00000000-0000-0000-0000-000000000000}"/>
  <bookViews>
    <workbookView xWindow="28830" yWindow="5295" windowWidth="29040" windowHeight="15720" xr2:uid="{00000000-000D-0000-FFFF-FFFF00000000}"/>
  </bookViews>
  <sheets>
    <sheet name="Crowdfunding Main" sheetId="1" r:id="rId1"/>
    <sheet name="Pivot Table (Category)" sheetId="2" r:id="rId2"/>
    <sheet name="Pivot Table (Sub-Category)" sheetId="4" r:id="rId3"/>
    <sheet name="Pivot Table (Date Created)" sheetId="8" r:id="rId4"/>
    <sheet name="Crowdfunding Goal Analysis" sheetId="9" r:id="rId5"/>
    <sheet name="Successful VS Failed" sheetId="12" r:id="rId6"/>
  </sheets>
  <definedNames>
    <definedName name="_xlnm._FilterDatabase" localSheetId="0" hidden="1">'Crowdfunding Main'!$A$1:$T$1001</definedName>
    <definedName name="_xlnm._FilterDatabase" localSheetId="5" hidden="1">'Successful VS Failed'!$A$1:$E$1</definedName>
    <definedName name="FAILED">'Successful VS Failed'!$E$2:$E$365</definedName>
    <definedName name="Succ">'Successful VS Failed'!$B$2:$B$566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2" l="1"/>
  <c r="I3" i="12"/>
  <c r="J9" i="12"/>
  <c r="J8" i="12"/>
  <c r="J7" i="12"/>
  <c r="J6" i="12"/>
  <c r="J5" i="12"/>
  <c r="J4" i="12"/>
  <c r="I9" i="12"/>
  <c r="I8" i="12"/>
  <c r="I7" i="12"/>
  <c r="I6" i="12"/>
  <c r="I5" i="12"/>
  <c r="I4" i="12"/>
  <c r="G2" i="12"/>
  <c r="G5" i="12"/>
  <c r="G6" i="12"/>
  <c r="D2" i="9"/>
  <c r="D13" i="9"/>
  <c r="D12" i="9"/>
  <c r="D11" i="9"/>
  <c r="D10" i="9"/>
  <c r="D9" i="9"/>
  <c r="D8" i="9"/>
  <c r="D7" i="9"/>
  <c r="D6" i="9"/>
  <c r="D5" i="9"/>
  <c r="D4" i="9"/>
  <c r="D3" i="9"/>
  <c r="C2" i="9"/>
  <c r="C13" i="9"/>
  <c r="C12" i="9"/>
  <c r="C11" i="9"/>
  <c r="C10" i="9"/>
  <c r="C9" i="9"/>
  <c r="C8" i="9"/>
  <c r="C7" i="9"/>
  <c r="C6" i="9"/>
  <c r="C5" i="9"/>
  <c r="C4" i="9"/>
  <c r="C3" i="9"/>
  <c r="B13" i="9"/>
  <c r="B12" i="9"/>
  <c r="B11" i="9"/>
  <c r="B10" i="9"/>
  <c r="B9" i="9"/>
  <c r="B8" i="9"/>
  <c r="B7" i="9"/>
  <c r="B6" i="9"/>
  <c r="B5" i="9"/>
  <c r="B4" i="9"/>
  <c r="B3" i="9"/>
  <c r="B2" i="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2" i="1" a="1"/>
  <c r="S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E6" i="9" l="1"/>
  <c r="G6" i="9" s="1"/>
  <c r="E3" i="9"/>
  <c r="F3" i="9" s="1"/>
  <c r="E5" i="9"/>
  <c r="G5" i="9" s="1"/>
  <c r="E9" i="9"/>
  <c r="H9" i="9" s="1"/>
  <c r="E7" i="9"/>
  <c r="G7" i="9" s="1"/>
  <c r="E8" i="9"/>
  <c r="F8" i="9" s="1"/>
  <c r="E10" i="9"/>
  <c r="F10" i="9" s="1"/>
  <c r="H3" i="9"/>
  <c r="H5" i="9"/>
  <c r="G3" i="9"/>
  <c r="E4" i="9"/>
  <c r="F4" i="9" s="1"/>
  <c r="E2" i="9"/>
  <c r="E13" i="9"/>
  <c r="H13" i="9" s="1"/>
  <c r="E12" i="9"/>
  <c r="G12" i="9" s="1"/>
  <c r="E11" i="9"/>
  <c r="F11" i="9" s="1"/>
  <c r="H6" i="9" l="1"/>
  <c r="F5" i="9"/>
  <c r="F6" i="9"/>
  <c r="H7" i="9"/>
  <c r="F2" i="9"/>
  <c r="F9" i="9"/>
  <c r="G9" i="9"/>
  <c r="H8" i="9"/>
  <c r="F7" i="9"/>
  <c r="G8" i="9"/>
  <c r="G4" i="9"/>
  <c r="G2" i="9"/>
  <c r="H2" i="9"/>
  <c r="G10" i="9"/>
  <c r="H12" i="9"/>
  <c r="H4" i="9"/>
  <c r="H11" i="9"/>
  <c r="H10" i="9"/>
  <c r="F12" i="9"/>
  <c r="F13" i="9"/>
  <c r="G11" i="9"/>
  <c r="G1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<sst xmlns="http://schemas.openxmlformats.org/spreadsheetml/2006/main" count="7067" uniqueCount="2119">
  <si>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</si>
  <si>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</si>
  <si>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</si>
  <si>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</si>
  <si>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</si>
  <si>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</si>
  <si>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</si>
  <si>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</si>
  <si>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</si>
  <si>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</si>
  <si>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</si>
  <si>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</si>
  <si>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</si>
  <si>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</si>
  <si>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</si>
  <si>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</si>
  <si>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</si>
  <si>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</si>
  <si>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</si>
  <si>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</si>
  <si>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</si>
  <si>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</si>
  <si>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</si>
  <si>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</si>
  <si>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</si>
  <si>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</si>
  <si>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</si>
  <si>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</si>
  <si>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</si>
  <si>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</si>
  <si>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</si>
  <si>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</si>
  <si>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</si>
  <si>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</si>
  <si>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</si>
  <si>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</si>
  <si>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</si>
  <si>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</si>
  <si>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</si>
  <si>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</si>
  <si>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</si>
  <si>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</si>
  <si>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</si>
  <si>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</si>
  <si>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</si>
  <si>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</si>
  <si>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</si>
  <si>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</si>
  <si>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</si>
  <si>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</si>
  <si>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</si>
  <si>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</si>
  <si>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</si>
  <si>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</si>
  <si>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</si>
  <si>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</si>
  <si>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</si>
  <si>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</si>
  <si>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</si>
  <si>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</si>
  <si>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</si>
  <si>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</si>
  <si>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</si>
  <si>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</si>
  <si>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</si>
  <si>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</si>
  <si>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</si>
  <si>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</si>
  <si>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</si>
  <si>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</si>
  <si>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</si>
  <si>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</si>
  <si>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</si>
  <si>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</si>
  <si>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</si>
  <si>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</si>
  <si>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</si>
  <si>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</si>
  <si>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</si>
  <si>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</si>
  <si>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</si>
  <si>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</si>
  <si>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</si>
  <si>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</si>
  <si>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</si>
  <si>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</si>
  <si>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</si>
  <si>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</si>
  <si>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</si>
  <si>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</si>
  <si>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</si>
  <si>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</si>
  <si>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</si>
  <si>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</si>
  <si>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</si>
  <si>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</si>
  <si>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</si>
  <si>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</si>
  <si>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</si>
  <si>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</si>
  <si>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</si>
  <si>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</si>
  <si>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</si>
  <si>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</si>
  <si>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</si>
  <si>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</si>
  <si>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</si>
  <si>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</si>
  <si>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</si>
  <si>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</si>
  <si>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</si>
  <si>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</si>
  <si>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</si>
  <si>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</si>
  <si>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</si>
  <si>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</si>
  <si>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</si>
  <si>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</si>
  <si>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</si>
  <si>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</si>
  <si>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</si>
  <si>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</si>
  <si>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</si>
  <si>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</si>
  <si>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</si>
  <si>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</si>
  <si>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</si>
  <si>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</si>
  <si>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</si>
  <si>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</si>
  <si>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</si>
  <si>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</si>
  <si>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</si>
  <si>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</si>
  <si>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</si>
  <si>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</si>
  <si>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</si>
  <si>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</si>
  <si>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</si>
  <si>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</si>
  <si>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</si>
  <si>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</si>
  <si>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</si>
  <si>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</si>
  <si>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</si>
  <si>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</si>
  <si>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</si>
  <si>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</si>
  <si>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</si>
  <si>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</si>
  <si>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</si>
  <si>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</si>
  <si>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</si>
  <si>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</si>
  <si>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</si>
  <si>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</si>
  <si>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</si>
  <si>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</si>
  <si>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</si>
  <si>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</si>
  <si>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</si>
  <si>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</si>
  <si>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</si>
  <si>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</si>
  <si>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</si>
  <si>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</si>
  <si>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</si>
  <si>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</si>
  <si>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</si>
  <si>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</si>
  <si>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</si>
  <si>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</si>
  <si>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</si>
  <si>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</si>
  <si>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</si>
  <si>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</si>
  <si>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</si>
  <si>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</si>
  <si>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</si>
  <si>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</si>
  <si>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</si>
  <si>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</si>
  <si>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</si>
  <si>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</si>
  <si>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</si>
  <si>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</si>
  <si>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</si>
  <si>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</si>
  <si>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</si>
  <si>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</si>
  <si>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</si>
  <si>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</si>
  <si>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</si>
  <si>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</si>
  <si>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</si>
  <si>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</si>
  <si>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</si>
  <si>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</si>
  <si>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</si>
  <si>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</si>
  <si>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</si>
  <si>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</si>
  <si>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</si>
  <si>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</si>
  <si>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</si>
  <si>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</si>
  <si>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</si>
  <si>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</si>
  <si>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</si>
  <si>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</si>
  <si>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</si>
  <si>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</si>
  <si>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</si>
  <si>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</si>
  <si>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</si>
  <si>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</si>
  <si>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</si>
  <si>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</si>
  <si>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</si>
  <si>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</si>
  <si>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</si>
  <si>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</si>
  <si>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</si>
  <si>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</si>
  <si>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</si>
  <si>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</si>
  <si>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</si>
  <si>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</si>
  <si>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</si>
  <si>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</si>
  <si>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</si>
  <si>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</si>
  <si>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</si>
  <si>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</si>
  <si>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</si>
  <si>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</si>
  <si>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</si>
  <si>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</si>
  <si>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</si>
  <si>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</si>
  <si>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</si>
  <si>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</si>
  <si>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</si>
  <si>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</si>
  <si>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</si>
  <si>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</si>
  <si>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</si>
  <si>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</si>
  <si>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</si>
  <si>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</si>
  <si>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</si>
  <si>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</si>
  <si>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</si>
  <si>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</si>
  <si>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</si>
  <si>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</si>
  <si>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</si>
  <si>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</si>
  <si>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</si>
  <si>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</si>
  <si>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</si>
  <si>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</si>
  <si>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</si>
  <si>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</si>
  <si>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</si>
  <si>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</si>
  <si>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</si>
  <si>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</si>
  <si>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</si>
  <si>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</si>
  <si>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</si>
  <si>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</si>
  <si>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</si>
  <si>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</si>
  <si>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</si>
  <si>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</si>
  <si>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</si>
  <si>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</si>
  <si>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</si>
  <si>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</si>
  <si>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</si>
  <si>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</si>
  <si>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</si>
  <si>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</si>
  <si>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</si>
  <si>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</si>
  <si>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</si>
  <si>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</si>
  <si>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</si>
  <si>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</si>
  <si>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</si>
  <si>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</si>
  <si>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</si>
  <si>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</si>
  <si>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</si>
  <si>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</si>
  <si>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</si>
  <si>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</si>
  <si>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</si>
  <si>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</si>
  <si>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</si>
  <si>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</si>
  <si>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</si>
  <si>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</si>
  <si>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</si>
  <si>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</si>
  <si>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</si>
  <si>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</si>
  <si>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</si>
  <si>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</si>
  <si>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</si>
  <si>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</si>
  <si>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</si>
  <si>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</si>
  <si>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</si>
  <si>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</si>
  <si>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</si>
  <si>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</si>
  <si>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</si>
  <si>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</si>
  <si>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</si>
  <si>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</si>
  <si>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</si>
  <si>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</si>
  <si>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</si>
  <si>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</si>
  <si>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</si>
  <si>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</si>
  <si>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</si>
  <si>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</si>
  <si>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</si>
  <si>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</si>
  <si>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</si>
  <si>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</si>
  <si>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</si>
  <si>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</si>
  <si>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</si>
  <si>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</si>
  <si>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</si>
  <si>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</si>
  <si>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</si>
  <si>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</si>
  <si>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</si>
  <si>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</si>
  <si>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</si>
  <si>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</si>
  <si>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</si>
  <si>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</si>
  <si>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</si>
  <si>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</si>
  <si>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</si>
  <si>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</si>
  <si>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</si>
  <si>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</si>
  <si>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</si>
  <si>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</si>
  <si>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</si>
  <si>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</si>
  <si>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</si>
  <si>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</si>
  <si>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</si>
  <si>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</si>
  <si>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</si>
  <si>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</si>
  <si>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</si>
  <si>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</si>
  <si>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</si>
  <si>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</si>
  <si>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</si>
  <si>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</si>
  <si>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</si>
  <si>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</si>
  <si>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</si>
  <si>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</si>
  <si>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</si>
  <si>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</si>
  <si>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</si>
  <si>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</si>
  <si>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</si>
  <si>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</si>
  <si>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</si>
  <si>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</si>
  <si>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</si>
  <si>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</si>
  <si>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</si>
  <si>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</si>
  <si>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</si>
  <si>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</si>
  <si>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</si>
  <si>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</si>
  <si>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</si>
  <si>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</si>
  <si>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</si>
  <si>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</si>
  <si>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</si>
  <si>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</si>
  <si>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</si>
  <si>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</si>
  <si>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</si>
  <si>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</si>
  <si>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</si>
  <si>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</si>
  <si>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</si>
  <si>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</si>
  <si>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</si>
  <si>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</si>
  <si>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</si>
  <si>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</si>
  <si>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</si>
  <si>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</si>
  <si>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</si>
  <si>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</si>
  <si>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</si>
  <si>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</si>
  <si>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</si>
  <si>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</si>
  <si>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</si>
  <si>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</si>
  <si>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</si>
  <si>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</si>
  <si>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</si>
  <si>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</si>
  <si>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</si>
  <si>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</si>
  <si>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</si>
  <si>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</si>
  <si>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</si>
  <si>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</si>
  <si>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</si>
  <si>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</si>
  <si>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</si>
  <si>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</si>
  <si>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</si>
  <si>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</si>
  <si>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</si>
  <si>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</si>
  <si>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</si>
  <si>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</si>
  <si>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</si>
  <si>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</si>
  <si>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</si>
  <si>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</si>
  <si>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</si>
  <si>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</si>
  <si>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</si>
  <si>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</si>
  <si>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</si>
  <si>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</si>
  <si>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</si>
  <si>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</si>
  <si>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</si>
  <si>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</si>
  <si>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</si>
  <si>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</si>
  <si>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</si>
  <si>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</si>
  <si>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</si>
  <si>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</si>
  <si>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</si>
  <si>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</si>
  <si>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</si>
  <si>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</si>
  <si>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</si>
  <si>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</si>
  <si>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</si>
  <si>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</si>
  <si>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</si>
  <si>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</si>
  <si>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</si>
  <si>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</si>
  <si>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</si>
  <si>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</si>
  <si>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</si>
  <si>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</si>
  <si>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</si>
  <si>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</si>
  <si>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</si>
  <si>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</si>
  <si>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</si>
  <si>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</si>
  <si>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</si>
  <si>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</si>
  <si>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</si>
  <si>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</si>
  <si>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</si>
  <si>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</si>
  <si>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</si>
  <si>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</si>
  <si>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</si>
  <si>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</si>
  <si>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</si>
  <si>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</si>
  <si>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</si>
  <si>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</si>
  <si>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</si>
  <si>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</si>
  <si>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</si>
  <si>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</si>
  <si>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</si>
  <si>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</si>
  <si>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</si>
  <si>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</si>
  <si>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</si>
  <si>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</si>
  <si>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</si>
  <si>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</si>
  <si>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</si>
  <si>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</si>
  <si>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</si>
  <si>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</si>
  <si>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</si>
  <si>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</si>
  <si>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</si>
  <si>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</si>
  <si>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</si>
  <si>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</si>
  <si>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</si>
  <si>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</si>
  <si>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</si>
  <si>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</si>
  <si>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</si>
  <si>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</si>
  <si>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</si>
  <si>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</si>
  <si>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</si>
  <si>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</si>
  <si>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</si>
  <si>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</si>
  <si>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</si>
  <si>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</si>
  <si>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</si>
  <si>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</si>
  <si>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</si>
  <si>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</si>
  <si>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</si>
  <si>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</si>
  <si>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</si>
  <si>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</si>
  <si>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</si>
  <si>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</si>
  <si>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</si>
  <si>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</si>
  <si>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</si>
  <si>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</si>
  <si>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</si>
  <si>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</si>
  <si>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</si>
  <si>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</si>
  <si>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</si>
  <si>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</si>
  <si>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</si>
  <si>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</si>
  <si>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</si>
  <si>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</si>
  <si>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</si>
  <si>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</si>
  <si>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</si>
  <si>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</si>
  <si>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</si>
  <si>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</si>
  <si>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</si>
  <si>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</si>
  <si>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</si>
  <si>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</si>
  <si>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</si>
  <si>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</si>
  <si>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</si>
  <si>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</si>
  <si>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</si>
  <si>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</si>
  <si>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</si>
  <si>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</si>
  <si>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</si>
  <si>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</si>
  <si>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</si>
  <si>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</si>
  <si>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</si>
  <si>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</si>
  <si>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</si>
  <si>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</si>
  <si>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</si>
  <si>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</si>
  <si>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</si>
  <si>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</si>
  <si>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</si>
  <si>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</si>
  <si>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</si>
  <si>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</si>
  <si>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</si>
  <si>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</si>
  <si>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</si>
  <si>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</si>
  <si>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</si>
  <si>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</si>
  <si>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</si>
  <si>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</si>
  <si>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</si>
  <si>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</si>
  <si>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</si>
  <si>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</si>
  <si>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</si>
  <si>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</si>
  <si>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</si>
  <si>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</si>
  <si>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</si>
  <si>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</si>
  <si>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</si>
  <si>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</si>
  <si>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</si>
  <si>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</si>
  <si>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</si>
  <si>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</si>
  <si>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</si>
  <si>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</si>
  <si>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</si>
  <si>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</si>
  <si>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</si>
  <si>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</si>
  <si>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</si>
  <si>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</si>
  <si>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</si>
  <si>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</si>
  <si>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</si>
  <si>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</si>
  <si>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</si>
  <si>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</si>
  <si>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</si>
  <si>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</si>
  <si>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</si>
  <si>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</si>
  <si>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</si>
  <si>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</si>
  <si>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</si>
  <si>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</si>
  <si>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</si>
  <si>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</si>
  <si>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</si>
  <si>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</si>
  <si>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</si>
  <si>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</si>
  <si>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</si>
  <si>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</si>
  <si>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</si>
  <si>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</si>
  <si>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</si>
  <si>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</si>
  <si>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</si>
  <si>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</si>
  <si>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</si>
  <si>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</si>
  <si>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</si>
  <si>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</si>
  <si>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</si>
  <si>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</si>
  <si>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</si>
  <si>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</si>
  <si>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</si>
  <si>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</si>
  <si>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</si>
  <si>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</si>
  <si>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</si>
  <si>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</si>
  <si>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</si>
  <si>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</si>
  <si>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</si>
  <si>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</si>
  <si>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</si>
  <si>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</si>
  <si>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</si>
  <si>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</si>
  <si>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</si>
  <si>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</si>
  <si>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</si>
  <si>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</si>
  <si>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</si>
  <si>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</si>
  <si>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</si>
  <si>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</si>
  <si>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</si>
  <si>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</si>
  <si>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</si>
  <si>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</si>
  <si>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</si>
  <si>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</si>
  <si>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</si>
  <si>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</si>
  <si>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</si>
  <si>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</si>
  <si>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</si>
  <si>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</si>
  <si>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</si>
  <si>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</si>
  <si>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</si>
  <si>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</si>
  <si>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</si>
  <si>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</si>
  <si>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</si>
  <si>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</si>
  <si>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</si>
  <si>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</si>
  <si>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</si>
  <si>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</si>
  <si>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</si>
  <si>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</si>
  <si>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</si>
  <si>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</si>
  <si>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</si>
  <si>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</si>
  <si>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</si>
  <si>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</si>
  <si>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</si>
  <si>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</si>
  <si>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</si>
  <si>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</si>
  <si>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</si>
  <si>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</si>
  <si>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</si>
  <si>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</si>
  <si>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</si>
  <si>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</si>
  <si>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</si>
  <si>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</si>
  <si>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</si>
  <si>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</si>
  <si>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</si>
  <si>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</si>
  <si>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</si>
  <si>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</si>
  <si>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</si>
  <si>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</si>
  <si>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</si>
  <si>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</si>
  <si>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</si>
  <si>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</si>
  <si>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</si>
  <si>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</si>
  <si>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</si>
  <si>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</si>
  <si>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</si>
  <si>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</si>
  <si>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</si>
  <si>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</si>
  <si>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</si>
  <si>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</si>
  <si>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</si>
  <si>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</si>
  <si>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</si>
  <si>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</si>
  <si>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</si>
  <si>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</si>
  <si>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</si>
  <si>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</si>
  <si>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</si>
  <si>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</si>
  <si>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</si>
  <si>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</si>
  <si>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</si>
  <si>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</si>
  <si>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</si>
  <si>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</si>
  <si>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</si>
  <si>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</si>
  <si>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</si>
  <si>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</si>
  <si>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</si>
  <si>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</si>
  <si>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</si>
  <si>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</si>
  <si>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</si>
  <si>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</si>
  <si>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</si>
  <si>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</si>
  <si>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</si>
  <si>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</si>
  <si>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</si>
  <si>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</si>
  <si>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</si>
  <si>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</si>
  <si>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</si>
  <si>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</si>
  <si>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</si>
  <si>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</si>
  <si>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</si>
  <si>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</si>
  <si>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</si>
  <si>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</si>
  <si>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</si>
  <si>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</si>
  <si>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</si>
  <si>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</si>
  <si>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</si>
  <si>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</si>
  <si>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</si>
  <si>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</si>
  <si>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</si>
  <si>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</si>
  <si>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</si>
  <si>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</si>
  <si>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</si>
  <si>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</si>
  <si>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</si>
  <si>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</si>
  <si>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</si>
  <si>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</si>
  <si>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</si>
  <si>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</si>
  <si>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</si>
  <si>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</si>
  <si>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</si>
  <si>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</si>
  <si>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</si>
  <si>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</si>
  <si>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</si>
  <si>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</si>
  <si>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</si>
  <si>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</si>
  <si>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</si>
  <si>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</si>
  <si>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</si>
  <si>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</si>
  <si>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</si>
  <si>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</si>
  <si>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</si>
  <si>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</si>
  <si>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</si>
  <si>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</si>
  <si>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</si>
  <si>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</si>
  <si>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</si>
  <si>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</si>
  <si>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</si>
  <si>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</si>
  <si>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</si>
  <si>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</si>
  <si>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</si>
  <si>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</si>
  <si>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</si>
  <si>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</si>
  <si>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</si>
  <si>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</si>
  <si>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</si>
  <si>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</si>
  <si>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</si>
  <si>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</si>
  <si>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</si>
  <si>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</si>
  <si>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</si>
  <si>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</si>
  <si>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</si>
  <si>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</si>
  <si>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</si>
  <si>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</si>
  <si>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</si>
  <si>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</si>
  <si>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</si>
  <si>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</si>
  <si>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</si>
  <si>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</si>
  <si>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</si>
  <si>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</si>
  <si>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</si>
  <si>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</si>
  <si>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</si>
  <si>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</si>
  <si>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</si>
  <si>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</si>
  <si>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</si>
  <si>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</si>
  <si>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</si>
  <si>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</si>
  <si>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</si>
  <si>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</si>
  <si>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</si>
  <si>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</si>
  <si>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</si>
  <si>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</si>
  <si>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</si>
  <si>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</si>
  <si>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</si>
  <si>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</si>
  <si>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</si>
  <si>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</si>
  <si>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</si>
  <si>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</si>
  <si>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</si>
  <si>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</si>
  <si>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</si>
  <si>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</si>
  <si>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</si>
  <si>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</si>
  <si>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</si>
  <si>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</si>
  <si>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</si>
  <si>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</si>
  <si>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</si>
  <si>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</si>
  <si>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</si>
  <si>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</si>
  <si>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</si>
  <si>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</si>
  <si>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</si>
  <si>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</si>
  <si>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</si>
  <si>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</si>
  <si>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</si>
  <si>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</si>
  <si>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</si>
  <si>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</si>
  <si>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</si>
  <si>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</si>
  <si>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</si>
  <si>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</si>
  <si>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</si>
  <si>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</si>
  <si>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</si>
  <si>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</si>
  <si>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</si>
  <si>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</si>
  <si>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</si>
  <si>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</si>
  <si>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</si>
  <si>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</si>
  <si>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</si>
  <si>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</si>
  <si>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</si>
  <si>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</si>
  <si>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</si>
  <si>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</si>
  <si>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</si>
  <si>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</si>
  <si>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</si>
  <si>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</si>
  <si>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</si>
  <si>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</si>
  <si>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</si>
  <si>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</si>
  <si>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</si>
  <si>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</si>
  <si>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</si>
  <si>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</si>
  <si>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</si>
  <si>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</si>
  <si>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</si>
  <si>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</si>
  <si>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</si>
  <si>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</si>
  <si>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</si>
  <si>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</si>
  <si>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</si>
  <si>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</si>
  <si>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</si>
  <si>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</si>
  <si>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</si>
  <si>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</si>
  <si>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</si>
  <si>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</si>
  <si>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</si>
  <si>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</si>
  <si>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</si>
  <si>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</si>
  <si>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</si>
  <si>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</si>
  <si>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</si>
  <si>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</si>
  <si>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</si>
  <si>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</si>
  <si>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</si>
  <si>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</si>
  <si>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</si>
  <si>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</si>
  <si>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</si>
  <si>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</si>
  <si>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</si>
  <si>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</si>
  <si>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</si>
  <si>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</si>
  <si>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</si>
  <si>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</si>
  <si>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</si>
  <si>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</si>
  <si>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</si>
  <si>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</si>
  <si>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</si>
  <si>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</si>
  <si>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</si>
  <si>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</si>
  <si>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</si>
  <si>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</si>
  <si>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</si>
  <si>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</si>
  <si>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</si>
  <si>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</si>
  <si>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</si>
  <si>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</si>
  <si>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</si>
  <si>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</si>
  <si>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</si>
  <si>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</si>
  <si>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</si>
  <si>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</si>
  <si>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</si>
  <si>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</si>
  <si>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</si>
  <si>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</si>
  <si>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</si>
  <si>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</si>
  <si>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</si>
  <si>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</si>
  <si>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</si>
  <si>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</si>
  <si>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</si>
  <si>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</si>
  <si>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</si>
  <si>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</si>
  <si>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</si>
  <si>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</si>
  <si>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</si>
  <si>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</si>
  <si>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</si>
  <si>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</si>
  <si>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</si>
  <si>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</si>
  <si>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</si>
  <si>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</si>
  <si>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</si>
  <si>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</si>
  <si>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</si>
  <si>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</si>
  <si>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</si>
  <si>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</si>
  <si>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</si>
  <si>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</si>
  <si>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</si>
  <si>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</si>
  <si>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</si>
  <si>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</si>
  <si>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</si>
  <si>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</si>
  <si>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</si>
  <si>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</si>
  <si>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</si>
  <si>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</si>
  <si>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</si>
  <si>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</si>
  <si>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</si>
  <si>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</si>
  <si>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</si>
  <si>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</si>
  <si>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</si>
  <si>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</si>
  <si>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</si>
  <si>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</si>
  <si>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</si>
  <si>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</si>
  <si>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</si>
  <si>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</si>
  <si>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</si>
  <si>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</si>
  <si>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</si>
  <si>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</si>
  <si>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</si>
  <si>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</si>
  <si>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</si>
  <si>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</si>
  <si>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</si>
  <si>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</si>
  <si>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</si>
  <si>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</si>
  <si>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</si>
  <si>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</si>
  <si>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</si>
  <si>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</si>
  <si>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</si>
  <si>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</si>
  <si>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</si>
  <si>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</si>
  <si>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</si>
  <si>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</si>
  <si>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</si>
  <si>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</si>
  <si>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</si>
  <si>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</si>
  <si>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</si>
  <si>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</si>
  <si>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</si>
  <si>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</si>
  <si>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</si>
  <si>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</si>
  <si>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</si>
  <si>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</si>
  <si>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</si>
  <si>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</si>
  <si>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</si>
  <si>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</si>
  <si>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</si>
  <si>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</si>
  <si>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</si>
  <si>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</si>
  <si>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</si>
  <si>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</si>
  <si>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</si>
  <si>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</si>
  <si>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</si>
  <si>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</si>
  <si>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</si>
  <si>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</si>
  <si>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</si>
  <si>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</si>
  <si>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</si>
  <si>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</si>
  <si>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</si>
  <si>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</si>
  <si>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</si>
  <si>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</si>
  <si>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</si>
  <si>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</si>
  <si>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</si>
  <si>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</si>
  <si>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</si>
  <si>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</si>
  <si>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</si>
  <si>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</si>
  <si>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</si>
  <si>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</si>
  <si>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</si>
  <si>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</si>
  <si>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</si>
  <si>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</si>
  <si>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</si>
  <si>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</si>
  <si>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</si>
  <si>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</si>
  <si>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</si>
  <si>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</si>
  <si>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</si>
  <si>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</si>
  <si>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</si>
  <si>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</si>
  <si>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</si>
  <si>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</si>
  <si>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</si>
  <si>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</si>
  <si>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</si>
  <si>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</si>
  <si>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</si>
  <si>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</si>
  <si>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</si>
  <si>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</si>
  <si>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</si>
  <si>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</si>
  <si>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</si>
  <si>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</si>
  <si>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</si>
  <si>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</si>
  <si>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</si>
  <si>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</si>
  <si>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</si>
  <si>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</si>
  <si>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</si>
  <si>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</si>
  <si>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</si>
  <si>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</si>
  <si>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</si>
  <si>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</si>
  <si>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</si>
  <si>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</si>
  <si>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</si>
  <si>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</si>
  <si>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</si>
  <si>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</si>
  <si>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</si>
  <si>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</si>
  <si>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</si>
  <si>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</si>
  <si>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</si>
  <si>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</si>
  <si>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</si>
  <si>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</si>
  <si>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</si>
  <si>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</si>
  <si>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</si>
  <si>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</si>
  <si>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</si>
  <si>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</si>
  <si>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</si>
  <si>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</si>
  <si>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</si>
  <si>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</si>
  <si>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</si>
  <si>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</si>
  <si>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</si>
  <si>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</si>
  <si>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</si>
  <si>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</si>
  <si>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</si>
  <si>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</si>
  <si>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</si>
  <si>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</si>
  <si>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</si>
  <si>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</si>
  <si>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</si>
  <si>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</si>
  <si>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</si>
  <si>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</si>
  <si>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</si>
  <si>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</si>
  <si>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</si>
  <si>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</si>
  <si>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</si>
  <si>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</si>
  <si>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</si>
  <si>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</si>
  <si>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</si>
  <si>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</si>
  <si>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</si>
  <si>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</si>
  <si>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</si>
  <si>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</si>
  <si>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</si>
  <si>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</si>
  <si>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</si>
  <si>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</si>
  <si>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</si>
  <si>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</si>
  <si>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</si>
  <si>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</si>
  <si>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</si>
  <si>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</si>
  <si>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</si>
  <si>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</si>
  <si>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</si>
  <si>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</si>
  <si>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</si>
  <si>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</si>
  <si>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</si>
  <si>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</si>
  <si>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</si>
  <si>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</si>
  <si>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</si>
  <si>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</si>
  <si>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</si>
  <si>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</si>
  <si>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</si>
  <si>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</si>
  <si>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</si>
  <si>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</si>
  <si>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</si>
  <si>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</si>
  <si>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</si>
  <si>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</si>
  <si>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</si>
  <si>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</si>
  <si>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</si>
  <si>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</si>
  <si>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</si>
  <si>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</si>
  <si>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</si>
  <si>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</si>
  <si>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</si>
  <si>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</si>
  <si>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</si>
  <si>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</si>
  <si>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</si>
  <si>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</si>
  <si>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</si>
  <si>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</si>
  <si>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</si>
  <si>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</si>
  <si>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</si>
  <si>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</si>
  <si>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</si>
  <si>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</si>
  <si>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</si>
  <si>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</si>
  <si>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</si>
  <si>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</si>
  <si>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</si>
  <si>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</si>
  <si>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</si>
  <si>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</si>
  <si>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</si>
  <si>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</si>
  <si>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</si>
  <si>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</si>
  <si>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</si>
  <si>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</si>
  <si>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</si>
  <si>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</si>
  <si>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</si>
  <si>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</si>
  <si>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</si>
  <si>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</si>
  <si>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</si>
  <si>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</si>
  <si>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</si>
  <si>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</si>
  <si>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</si>
  <si>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</si>
  <si>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</si>
  <si>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</si>
  <si>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</si>
  <si>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</si>
  <si>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</si>
  <si>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</si>
  <si>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</si>
  <si>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</si>
  <si>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</si>
  <si>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</si>
  <si>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</si>
  <si>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</si>
  <si>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</si>
  <si>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</si>
  <si>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</si>
  <si>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</si>
  <si>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</si>
  <si>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</si>
  <si>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</si>
  <si>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</si>
  <si>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</si>
  <si>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</si>
  <si>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</si>
  <si>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</si>
  <si>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</si>
  <si>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</si>
  <si>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</si>
  <si>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</si>
  <si>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</si>
  <si>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</si>
  <si>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</si>
  <si>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</si>
  <si>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</si>
  <si>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</si>
  <si>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</si>
  <si>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</si>
  <si>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</si>
  <si>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</si>
  <si>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</si>
  <si>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</si>
  <si>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</si>
  <si>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</si>
  <si>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</si>
  <si>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</si>
  <si>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</si>
  <si>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</si>
  <si>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</si>
  <si>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</si>
  <si>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</si>
  <si>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</si>
  <si>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</si>
  <si>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</si>
  <si>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</si>
  <si>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</si>
  <si>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</si>
  <si>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</si>
  <si>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</si>
  <si>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</si>
  <si>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</si>
  <si>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</si>
  <si>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</si>
  <si>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</si>
  <si>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</si>
  <si>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</si>
  <si>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</si>
  <si>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</si>
  <si>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</si>
  <si>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</si>
  <si>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</si>
  <si>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</si>
  <si>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</si>
  <si>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</si>
  <si>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</si>
  <si>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</si>
  <si>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</si>
  <si>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</si>
  <si>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</si>
  <si>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</si>
  <si>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</si>
  <si>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</si>
  <si>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</si>
  <si>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</si>
  <si>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</si>
  <si>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</si>
  <si>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</si>
  <si>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</si>
  <si>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</si>
  <si>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</si>
  <si>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</si>
  <si>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</si>
  <si>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</si>
  <si>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</si>
  <si>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</si>
  <si>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</si>
  <si>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</si>
  <si>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</si>
  <si>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</si>
  <si>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</si>
  <si>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</si>
  <si>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</si>
  <si>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</si>
  <si>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</si>
  <si>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</si>
  <si>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</si>
  <si>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</si>
  <si>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</si>
  <si>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</si>
  <si>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</si>
  <si>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</si>
  <si>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</si>
  <si>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</si>
  <si>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</si>
  <si>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</si>
  <si>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</si>
  <si>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</si>
  <si>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</si>
  <si>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</si>
  <si>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</si>
  <si>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</si>
  <si>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</si>
  <si>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</si>
  <si>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</si>
  <si>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</si>
  <si>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</si>
  <si>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</si>
  <si>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</si>
  <si>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</si>
  <si>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</si>
  <si>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</si>
  <si>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</si>
  <si>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</si>
  <si>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</si>
  <si>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</si>
  <si>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</si>
  <si>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</si>
  <si>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</si>
  <si>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</si>
  <si>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</si>
  <si>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</si>
  <si>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</si>
  <si>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</si>
  <si>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</si>
  <si>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</si>
  <si>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</si>
  <si>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</si>
  <si>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</si>
  <si>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</si>
  <si>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</si>
  <si>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</si>
  <si>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</si>
  <si>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</si>
  <si>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</si>
  <si>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</si>
  <si>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</si>
  <si>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</si>
  <si>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</si>
  <si>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</si>
  <si>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</si>
  <si>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</si>
  <si>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</si>
  <si>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</si>
  <si>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</si>
  <si>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</si>
  <si>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</si>
  <si>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</si>
  <si>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</si>
  <si>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</si>
  <si>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</si>
  <si>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</si>
  <si>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</si>
  <si>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</si>
  <si>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</si>
  <si>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</si>
  <si>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</si>
  <si>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</si>
  <si>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</si>
  <si>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</si>
  <si>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</si>
  <si>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</si>
  <si>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</si>
  <si>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</si>
  <si>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</si>
  <si>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</si>
  <si>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</si>
  <si>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</si>
  <si>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</si>
  <si>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</si>
  <si>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</si>
  <si>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</si>
  <si>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</si>
  <si>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</si>
  <si>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</si>
  <si>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</si>
  <si>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</si>
  <si>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</si>
  <si>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</si>
  <si>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</si>
  <si>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</si>
  <si>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</si>
  <si>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</si>
  <si>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</si>
  <si>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</si>
  <si>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</si>
  <si>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</si>
  <si>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</si>
  <si>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</si>
  <si>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</si>
  <si>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</si>
  <si>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</si>
  <si>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</si>
  <si>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</si>
  <si>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</si>
  <si>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</si>
  <si>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</si>
  <si>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</si>
  <si>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</si>
  <si>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</si>
  <si>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</si>
  <si>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</si>
  <si>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</si>
  <si>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</si>
  <si>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</si>
  <si>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</si>
  <si>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</si>
  <si>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</si>
  <si>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</si>
  <si>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</si>
  <si>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</si>
  <si>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</si>
  <si>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</si>
  <si>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</si>
  <si>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</si>
  <si>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</si>
  <si>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</si>
  <si>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</si>
  <si>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</si>
  <si>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</si>
  <si>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</si>
  <si>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</si>
  <si>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</si>
  <si>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</si>
  <si>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</si>
  <si>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</si>
  <si>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</si>
  <si>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</si>
  <si>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</si>
  <si>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</si>
  <si>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</si>
  <si>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</si>
  <si>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</si>
  <si>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</si>
  <si>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</si>
  <si>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</si>
  <si>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</si>
  <si>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</si>
  <si>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</si>
  <si>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</si>
  <si>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</si>
  <si>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</si>
  <si>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</si>
  <si>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</si>
  <si>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</si>
  <si>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</si>
  <si>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</si>
  <si>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</si>
  <si>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</si>
  <si>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</si>
  <si>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</si>
  <si>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</si>
  <si>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</si>
  <si>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</si>
  <si>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</si>
  <si>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</si>
  <si>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</si>
  <si>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</si>
  <si>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</si>
  <si>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</si>
  <si>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</si>
  <si>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</si>
  <si>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</si>
  <si>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</si>
  <si>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</si>
  <si>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</si>
  <si>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</si>
  <si>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</si>
  <si>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</si>
  <si>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</si>
  <si>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</si>
  <si>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</si>
  <si>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</si>
  <si>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</si>
  <si>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</si>
  <si>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</si>
  <si>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</si>
  <si>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</si>
  <si>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</si>
  <si>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</si>
  <si>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</si>
  <si>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</si>
  <si>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</si>
  <si>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</si>
  <si>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</si>
  <si>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</si>
  <si>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</si>
  <si>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</si>
  <si>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</si>
  <si>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</si>
  <si>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</si>
  <si>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</si>
  <si>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</si>
  <si>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</si>
  <si>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</si>
  <si>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</si>
  <si>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</si>
  <si>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</si>
  <si>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</si>
  <si>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</si>
  <si>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</si>
  <si>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</si>
  <si>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</si>
  <si>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</si>
  <si>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</si>
  <si>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</si>
  <si>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</si>
  <si>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</si>
  <si>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</si>
  <si>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</si>
  <si>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</si>
  <si>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</si>
  <si>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</si>
  <si>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</si>
  <si>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</si>
  <si>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</si>
  <si>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</si>
  <si>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</si>
  <si>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</si>
  <si>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</si>
  <si>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</si>
  <si>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</si>
  <si>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</si>
  <si>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</si>
  <si>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</si>
  <si>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</si>
  <si>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</si>
  <si>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</si>
  <si>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</si>
  <si>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</si>
  <si>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</si>
  <si>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</si>
  <si>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</si>
  <si>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</si>
  <si>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</si>
  <si>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</si>
  <si>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</si>
  <si>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</si>
  <si>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</si>
  <si>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</si>
  <si>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</si>
  <si>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</si>
  <si>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</si>
  <si>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</si>
  <si>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</si>
  <si>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</si>
  <si>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</si>
  <si>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</si>
  <si>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</si>
  <si>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</si>
  <si>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</si>
  <si>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</si>
  <si>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</si>
  <si>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</si>
  <si>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</si>
  <si>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</si>
  <si>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</si>
  <si>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</si>
  <si>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</si>
  <si>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</si>
  <si>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</si>
  <si>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</si>
  <si>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</si>
  <si>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</si>
  <si>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</si>
  <si>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</si>
  <si>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</si>
  <si>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</si>
  <si>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</si>
  <si>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</si>
  <si>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</si>
  <si>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</si>
  <si>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</si>
  <si>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</si>
  <si>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</si>
  <si>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</si>
  <si>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</si>
  <si>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</si>
  <si>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</si>
  <si>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</si>
  <si>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</si>
  <si>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</si>
  <si>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</si>
  <si>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</si>
  <si>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</si>
  <si>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</si>
  <si>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</si>
  <si>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</si>
  <si>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</si>
  <si>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</si>
  <si>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</si>
  <si>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</si>
  <si>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</si>
  <si>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</si>
  <si>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</si>
  <si>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</si>
  <si>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</si>
  <si>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</si>
  <si>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</si>
  <si>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</si>
  <si>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</si>
  <si>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</si>
  <si>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</si>
  <si>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</si>
  <si>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</si>
  <si>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</si>
  <si>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</si>
  <si>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</si>
  <si>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</si>
  <si>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</si>
  <si>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</si>
  <si>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</si>
  <si>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</si>
  <si>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</si>
  <si>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</si>
  <si>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</si>
  <si>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</si>
  <si>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</si>
  <si>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</si>
  <si>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</si>
  <si>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</si>
  <si>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</si>
  <si>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</si>
  <si>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</si>
  <si>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</si>
  <si>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</si>
  <si>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</si>
  <si>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</si>
  <si>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</si>
  <si>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</si>
  <si>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</si>
  <si>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</si>
  <si>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</si>
  <si>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</si>
  <si>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</si>
  <si>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</si>
  <si>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</si>
  <si>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</si>
  <si>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</si>
  <si>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</si>
  <si>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</si>
  <si>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</si>
  <si>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</si>
  <si>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</si>
  <si>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</si>
  <si>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</si>
  <si>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</si>
  <si>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</si>
  <si>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</si>
  <si>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</si>
  <si>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</si>
  <si>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</si>
  <si>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</si>
  <si>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</si>
  <si>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</si>
  <si>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</si>
  <si>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</si>
  <si>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</si>
  <si>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</si>
  <si>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</si>
  <si>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</si>
  <si>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</si>
  <si>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</si>
  <si>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</si>
  <si>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</si>
  <si>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</si>
  <si>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</si>
  <si>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</si>
  <si>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</si>
  <si>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</si>
  <si>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</si>
  <si>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</si>
  <si>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</si>
  <si>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</si>
  <si>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</si>
  <si>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</si>
  <si>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</si>
  <si>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</si>
  <si>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</si>
  <si>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</si>
  <si>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</si>
  <si>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</si>
  <si>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</si>
  <si>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</si>
  <si>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</si>
  <si>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</si>
  <si>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</si>
  <si>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</si>
  <si>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</si>
  <si>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</si>
  <si>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</si>
  <si>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</si>
  <si>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</si>
  <si>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</si>
  <si>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</si>
  <si>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</si>
  <si>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</si>
  <si>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</si>
  <si>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</si>
  <si>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</si>
  <si>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</si>
  <si>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</si>
  <si>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</si>
  <si>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</si>
  <si>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</si>
  <si>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</si>
  <si>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</si>
  <si>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</si>
  <si>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</si>
  <si>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</si>
  <si>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</si>
  <si>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</si>
  <si>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</si>
  <si>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</si>
  <si>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</si>
  <si>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</si>
  <si>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</si>
  <si>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</si>
  <si>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</si>
  <si>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</si>
  <si>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</si>
  <si>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</si>
  <si>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</si>
  <si>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</si>
  <si>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</si>
  <si>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</si>
  <si>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</si>
  <si>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</si>
  <si>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</si>
  <si>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</si>
  <si>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</si>
  <si>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</si>
  <si>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</si>
  <si>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</si>
  <si>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</si>
  <si>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</si>
  <si>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</si>
  <si>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</si>
  <si>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</si>
  <si>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</si>
  <si>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</si>
  <si>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</si>
  <si>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</si>
  <si>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</si>
  <si>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</si>
  <si>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</si>
  <si>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</si>
  <si>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</si>
  <si>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</si>
  <si>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</si>
  <si>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</si>
  <si>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</si>
  <si>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</si>
  <si>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</si>
  <si>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</si>
  <si>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</si>
  <si>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</si>
  <si>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</si>
  <si>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</si>
  <si>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</si>
  <si>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</si>
  <si>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</si>
  <si>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</si>
  <si>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</si>
  <si>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</si>
  <si>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</si>
  <si>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</si>
  <si>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</si>
  <si>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</si>
  <si>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</si>
  <si>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</si>
  <si>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</si>
  <si>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</si>
  <si>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</si>
  <si>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</si>
  <si>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</si>
  <si>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</si>
  <si>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</si>
  <si>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</si>
  <si>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</si>
  <si>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</si>
  <si>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</si>
  <si>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</si>
  <si>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</si>
  <si>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</si>
  <si>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</si>
  <si>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</si>
  <si>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</si>
  <si>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</si>
  <si>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</si>
  <si>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</si>
  <si>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</si>
  <si>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</si>
  <si>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</si>
  <si>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</si>
  <si>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</si>
  <si>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</si>
  <si>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</si>
  <si>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</si>
  <si>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</si>
  <si>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</si>
  <si>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</si>
  <si>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</si>
  <si>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</si>
  <si>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</si>
  <si>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</si>
  <si>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</si>
  <si>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</si>
  <si>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</si>
  <si>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</si>
  <si>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</si>
  <si>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</si>
  <si>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</si>
  <si>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</si>
  <si>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</si>
  <si>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</si>
  <si>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</si>
  <si>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</si>
  <si>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</si>
  <si>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</si>
  <si>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</si>
  <si>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</si>
  <si>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</si>
  <si>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</si>
  <si>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</si>
  <si>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</si>
  <si>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</si>
  <si>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</si>
  <si>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</si>
  <si>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</si>
  <si>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</si>
  <si>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</si>
  <si>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</si>
  <si>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</si>
  <si>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</si>
  <si>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</si>
  <si>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</si>
  <si>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</si>
  <si>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</si>
  <si>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</si>
  <si>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</si>
  <si>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</si>
  <si>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</si>
  <si>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</si>
  <si>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</si>
  <si>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</si>
  <si>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</si>
  <si>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</si>
  <si>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</si>
  <si>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</si>
  <si>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</si>
  <si>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</si>
  <si>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</si>
  <si>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</si>
  <si>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</si>
  <si>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</si>
  <si>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</si>
  <si>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</si>
  <si>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</si>
  <si>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</si>
  <si>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</si>
  <si>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</si>
  <si>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</si>
  <si>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</si>
  <si>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</si>
  <si>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</si>
  <si>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</si>
  <si>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</si>
  <si>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</si>
  <si>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</si>
  <si>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</si>
  <si>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</si>
  <si>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</si>
  <si>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</si>
  <si>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</si>
  <si>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</si>
  <si>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</si>
  <si>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</si>
  <si>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</si>
  <si>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</si>
  <si>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</si>
  <si>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</si>
  <si>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</si>
  <si>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</si>
  <si>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</si>
  <si>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</si>
  <si>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</si>
  <si>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</si>
  <si>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</si>
  <si>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</si>
  <si>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</si>
  <si>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</si>
  <si>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</si>
  <si>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</si>
  <si>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</si>
  <si>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</si>
  <si>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</si>
  <si>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</si>
  <si>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</si>
  <si>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</si>
  <si>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</si>
  <si>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</si>
  <si>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</si>
  <si>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</si>
  <si>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</si>
  <si>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</si>
  <si>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</si>
  <si>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</si>
  <si>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</si>
  <si>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</si>
  <si>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</si>
  <si>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</si>
  <si>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</si>
  <si>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</si>
  <si>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</si>
  <si>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</si>
  <si>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</si>
  <si>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</si>
  <si>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</si>
  <si>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</si>
  <si>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</si>
  <si>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</si>
  <si>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</si>
  <si>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</si>
  <si>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</si>
  <si>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</si>
  <si>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</si>
  <si>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</si>
  <si>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</si>
  <si>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</si>
  <si>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</si>
  <si>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</si>
  <si>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</si>
  <si>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</si>
  <si>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</si>
  <si>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</si>
  <si>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</si>
  <si>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</si>
  <si>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</si>
  <si>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</si>
  <si>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</si>
  <si>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</si>
  <si>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</si>
  <si>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</si>
  <si>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</si>
  <si>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</si>
  <si>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</si>
  <si>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</si>
  <si>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</si>
  <si>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</si>
  <si>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</si>
  <si>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</si>
  <si>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</si>
  <si>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</si>
  <si>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</si>
  <si>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</si>
  <si>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</si>
  <si>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</si>
  <si>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</si>
  <si>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</si>
  <si>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</si>
  <si>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</si>
  <si>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</si>
  <si>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</si>
  <si>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</si>
  <si>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</si>
  <si>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</si>
  <si>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</si>
  <si>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</si>
  <si>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</si>
  <si>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</si>
  <si>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</si>
  <si>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</si>
  <si>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</si>
  <si>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</si>
  <si>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</si>
  <si>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</si>
  <si>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</si>
  <si>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</si>
  <si>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</si>
  <si>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</si>
  <si>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</si>
  <si>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</si>
  <si>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</si>
  <si>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</si>
  <si>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</si>
  <si>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</si>
  <si>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</si>
  <si>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</si>
  <si>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</si>
  <si>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</si>
  <si>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Average # of Backers</t>
  </si>
  <si>
    <t>Median # of Backers</t>
  </si>
  <si>
    <t>Minimum # of Backers</t>
  </si>
  <si>
    <t>Maximum # of Backers</t>
  </si>
  <si>
    <t>Variance of # of Backers</t>
  </si>
  <si>
    <t>Std Dev of # of Backers</t>
  </si>
  <si>
    <t>Successful</t>
  </si>
  <si>
    <t>Failed</t>
  </si>
  <si>
    <t>Total # of backers</t>
  </si>
  <si>
    <t>In both cases, we can assume that the median is best to summarize the data as the two datasets are more right skew than a normal distribution</t>
  </si>
  <si>
    <t>Determination:</t>
  </si>
  <si>
    <t>Variability:</t>
  </si>
  <si>
    <t>We notice that there is slightly more variability with the successful campaigns. This would make sense and it is expected because overall, there are noticeably more successful campaigns than 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</si>
</sst>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9" fontId="0" fillId="0" borderId="0" xfId="43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Table (Category)!PivotTable1</c:name>
    <c:fmtId val="1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(Category)'!$B$3:$B$4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(Category)'!$B$5:$B$14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B0-4AF9-A1FC-043861B40C01}"/>
            </c:ext>
          </c:extLst>
        </c:ser>
        <c:ser>
          <c:idx val="1"/>
          <c:order val="1"/>
          <c:tx>
            <c:strRef>
              <c:f>'Pivot Table (Category)'!$C$3:$C$4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(Category)'!$C$5:$C$14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B0-4AF9-A1FC-043861B40C01}"/>
            </c:ext>
          </c:extLst>
        </c:ser>
        <c:ser>
          <c:idx val="2"/>
          <c:order val="2"/>
          <c:tx>
            <c:strRef>
              <c:f>'Pivot Table (Category)'!$D$3:$D$4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(Category)'!$D$5:$D$14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B0-4AF9-A1FC-043861B40C01}"/>
            </c:ext>
          </c:extLst>
        </c:ser>
        <c:ser>
          <c:idx val="3"/>
          <c:order val="3"/>
          <c:tx>
            <c:strRef>
              <c:f>'Pivot Table (Category)'!$E$3:$E$4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(Category)'!$E$5:$E$14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B0-4AF9-A1FC-043861B40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7818191"/>
        <c:axId val="1160242383"/>
      </c:barChart>
      <c:catAx>
        <c:axId val="81781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42383"/>
        <c:crosses val="autoZero"/>
        <c:auto val="1"/>
        <c:lblAlgn val="ctr"/>
        <c:lblOffset val="100"/>
        <c:noMultiLvlLbl val="0"/>
      </c:catAx>
      <c:valAx>
        <c:axId val="116024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1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Table (Sub-Category)!PivotTable2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(Sub-Category)'!$B$4:$B$5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(Sub-Category)'!$B$6:$B$30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F-4ADB-ACA4-E985BA735B56}"/>
            </c:ext>
          </c:extLst>
        </c:ser>
        <c:ser>
          <c:idx val="1"/>
          <c:order val="1"/>
          <c:tx>
            <c:strRef>
              <c:f>'Pivot Table (Sub-Category)'!$C$4:$C$5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(Sub-Category)'!$C$6:$C$30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5F-4ADB-ACA4-E985BA735B56}"/>
            </c:ext>
          </c:extLst>
        </c:ser>
        <c:ser>
          <c:idx val="2"/>
          <c:order val="2"/>
          <c:tx>
            <c:strRef>
              <c:f>'Pivot Table (Sub-Category)'!$D$4:$D$5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(Sub-Category)'!$D$6:$D$30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5F-4ADB-ACA4-E985BA735B56}"/>
            </c:ext>
          </c:extLst>
        </c:ser>
        <c:ser>
          <c:idx val="3"/>
          <c:order val="3"/>
          <c:tx>
            <c:strRef>
              <c:f>'Pivot Table (Sub-Category)'!$E$4:$E$5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(Sub-Category)'!$E$6:$E$30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6D-4711-A547-CE6DD1FE4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9314479"/>
        <c:axId val="1153653807"/>
      </c:barChart>
      <c:catAx>
        <c:axId val="101931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653807"/>
        <c:crosses val="autoZero"/>
        <c:auto val="1"/>
        <c:lblAlgn val="ctr"/>
        <c:lblOffset val="100"/>
        <c:noMultiLvlLbl val="0"/>
      </c:catAx>
      <c:valAx>
        <c:axId val="115365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31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[CrowdfundingBook_Solved.xlsx]Pivot Table (Date Created)!PivotTable3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rgbClr val="C00000"/>
            </a:solidFill>
            <a:ln w="9525">
              <a:solidFill>
                <a:srgbClr val="C0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(Date Created)'!$B$4:$B$5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(Date Created)'!$A$6:$A$18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(Date Created)'!$B$6:$B$18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66-4E4D-B7D6-D8A19A24A4BB}"/>
            </c:ext>
          </c:extLst>
        </c:ser>
        <c:ser>
          <c:idx val="1"/>
          <c:order val="1"/>
          <c:tx>
            <c:strRef>
              <c:f>'Pivot Table (Date Created)'!$C$4:$C$5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strRef>
              <c:f>'Pivot Table (Date Created)'!$A$6:$A$18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(Date Created)'!$C$6:$C$18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94-4D91-8F64-D6D59BB92E6D}"/>
            </c:ext>
          </c:extLst>
        </c:ser>
        <c:ser>
          <c:idx val="2"/>
          <c:order val="2"/>
          <c:tx>
            <c:strRef>
              <c:f>'Pivot Table (Date Created)'!$D$4:$D$5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(Date Created)'!$A$6:$A$18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(Date Created)'!$D$6:$D$18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94-4D91-8F64-D6D59BB92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227807"/>
        <c:axId val="1781641455"/>
      </c:lineChart>
      <c:catAx>
        <c:axId val="178722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641455"/>
        <c:crosses val="autoZero"/>
        <c:auto val="1"/>
        <c:lblAlgn val="ctr"/>
        <c:lblOffset val="100"/>
        <c:noMultiLvlLbl val="0"/>
      </c:catAx>
      <c:valAx>
        <c:axId val="178164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2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% Outcomes Based</a:t>
            </a:r>
            <a:r>
              <a:rPr lang="en-CA" baseline="0"/>
              <a:t>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4-493D-9E9C-E10CAFC165EA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4-493D-9E9C-E10CAFC165EA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84-493D-9E9C-E10CAFC16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713151"/>
        <c:axId val="137260575"/>
      </c:lineChart>
      <c:catAx>
        <c:axId val="212371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0575"/>
        <c:crosses val="autoZero"/>
        <c:auto val="1"/>
        <c:lblAlgn val="ctr"/>
        <c:lblOffset val="100"/>
        <c:noMultiLvlLbl val="0"/>
      </c:catAx>
      <c:valAx>
        <c:axId val="13726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71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458786</xdr:colOff>
      <xdr:row>1</xdr:row>
      <xdr:rowOff>3174</xdr:rowOff>
    </xdr:from>
    <xdr:to>
      <xdr:col>16</xdr:col>
      <xdr:colOff>419099</xdr:colOff>
      <xdr:row>33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794E8D-E1F2-1FBC-45D5-E479C03AC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217487</xdr:colOff>
      <xdr:row>2</xdr:row>
      <xdr:rowOff>120649</xdr:rowOff>
    </xdr:from>
    <xdr:to>
      <xdr:col>20</xdr:col>
      <xdr:colOff>314325</xdr:colOff>
      <xdr:row>37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511682-C730-B742-B9A2-653EC28BB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239711</xdr:colOff>
      <xdr:row>3</xdr:row>
      <xdr:rowOff>66674</xdr:rowOff>
    </xdr:from>
    <xdr:to>
      <xdr:col>16</xdr:col>
      <xdr:colOff>561974</xdr:colOff>
      <xdr:row>25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4632B-4FB5-7A2D-E0C6-E7969DDE74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</xdr:colOff>
      <xdr:row>15</xdr:row>
      <xdr:rowOff>6350</xdr:rowOff>
    </xdr:from>
    <xdr:to>
      <xdr:col>7</xdr:col>
      <xdr:colOff>1428750</xdr:colOff>
      <xdr:row>33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88AFD6-C93C-0C17-664C-759B6B005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rvil" refreshedDate="45227.718814236112" createdVersion="8" refreshedVersion="8" minRefreshableVersion="3" recordCount="1000" xr:uid="{374E34B9-7645-40C2-B1E3-70300536847B}">
  <cacheSource type="worksheet">
    <worksheetSource ref="A1:T1001" sheet="Crowdfunding Main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16F23A-61A7-47AF-A356-11CF58D4F1A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18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A0307-9B3C-4734-910D-98D2A1CEA00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E4F681-15C1-464C-B2DC-4C624DCC025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C5" sqref="C5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5" max="5" width="7.75" bestFit="1" customWidth="1"/>
    <col min="6" max="6" width="14.5" bestFit="1" customWidth="1"/>
    <col min="8" max="8" width="13" bestFit="1" customWidth="1"/>
    <col min="9" max="9" width="13" customWidth="1"/>
    <col min="12" max="12" width="15.58203125" bestFit="1" customWidth="1"/>
    <col min="13" max="13" width="15.58203125" customWidth="1"/>
    <col min="14" max="14" width="12.33203125" bestFit="1" customWidth="1"/>
    <col min="15" max="15" width="12.33203125" customWidth="1"/>
    <col min="18" max="18" width="28" bestFit="1" customWidth="1"/>
    <col min="19" max="19" width="14.83203125" customWidth="1"/>
    <col min="20" max="20" width="16.91406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E2/D2*(100)</f>
        <v>0</v>
      </c>
      <c r="G2" t="s">
        <v>14</v>
      </c>
      <c r="H2">
        <v>0</v>
      </c>
      <c r="I2" s="5">
        <f t="shared" ref="I2:I66" si="0">IFERROR(E2/H2,0)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E3/D3*(100)</f>
        <v>1040</v>
      </c>
      <c r="G3" t="s">
        <v>20</v>
      </c>
      <c r="H3">
        <v>158</v>
      </c>
      <c r="I3" s="5">
        <f t="shared" si="0"/>
        <v>92.151898734177209</v>
      </c>
      <c r="J3" t="s">
        <v>21</v>
      </c>
      <c r="K3" t="s">
        <v>22</v>
      </c>
      <c r="L3">
        <v>1408424400</v>
      </c>
      <c r="M3" s="8">
        <f t="shared" ref="M3:M66" si="1">(((L3/60)/60)/24)+DATE(1970,1,1)</f>
        <v>41870.208333333336</v>
      </c>
      <c r="N3">
        <v>1408597200</v>
      </c>
      <c r="O3" s="8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3">E4/D4*(100)</f>
        <v>131.4787822878229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 s="8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58.976190476190467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 s="8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69.276315789473685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 s="8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173.61842105263159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 s="8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20.961538461538463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 s="8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327.57777777777778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 s="8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19.932788374205266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 s="8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51.741935483870968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 s="8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266.11538461538464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 s="8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48.095238095238095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 s="8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89.349206349206341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 s="8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245.11904761904765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 s="8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66.769503546099301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 s="8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47.307881773399011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 s="8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649.47058823529414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 s="8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159.39125295508273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 s="8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66.912087912087912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 s="8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48.529600000000002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 s="8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112.24279210925646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 s="8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40.992553191489364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 s="8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128.07106598984771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 s="8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332.04444444444448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 s="8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112.83225108225108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 s="8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216.43636363636364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 s="8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48.199069767441863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 s="8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79.95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 s="8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105.22553516819573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 s="8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328.89978213507629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 s="8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160.61111111111111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 s="8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310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 s="8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86.807920792079202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 s="8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377.82071713147411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 s="8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150.80645161290323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 s="8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150.30119521912351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 s="8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157.28571428571431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 s="8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139.98765432098764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 s="8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325.32258064516128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 s="8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50.777777777777779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 s="8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169.06818181818181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 s="8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212.92857142857144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 s="8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443.94444444444446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 s="8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185.9390243902439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 s="8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658.8125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 s="8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47.684210526315788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 s="8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114.78378378378378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 s="8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475.26666666666665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 s="8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386.97297297297297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 s="8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189.625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 s="8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 s="8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91.867805186590772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 s="8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34.152777777777779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 s="8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140.40909090909091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 s="8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89.86666666666666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 s="8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177.96969696969697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 s="8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143.66249999999999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 s="8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215.27586206896552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 s="8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227.11111111111114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 s="8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275.07142857142861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 s="8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144.37048832271762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 s="8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92.74598393574297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 s="8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722.6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 s="8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11.851063829787234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 s="8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97.642857142857139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 s="8">
        <f t="shared" si="1"/>
        <v>43283.208333333328</v>
      </c>
      <c r="N66">
        <v>1531803600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236.14754098360655</v>
      </c>
      <c r="G67" t="s">
        <v>20</v>
      </c>
      <c r="H67">
        <v>236</v>
      </c>
      <c r="I67" s="5">
        <f t="shared" ref="I67:I130" si="4">IFERROR(E67/H67,0)</f>
        <v>61.038135593220339</v>
      </c>
      <c r="J67" t="s">
        <v>21</v>
      </c>
      <c r="K67" t="s">
        <v>22</v>
      </c>
      <c r="L67">
        <v>1296108000</v>
      </c>
      <c r="M67" s="8">
        <f t="shared" ref="M67:M130" si="5">(((L67/60)/60)/24)+DATE(1970,1,1)</f>
        <v>40570.25</v>
      </c>
      <c r="N67">
        <v>1296712800</v>
      </c>
      <c r="O67" s="8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7">E68/D68*(100)</f>
        <v>45.068965517241381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 s="8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7"/>
        <v>162.38567493112947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 s="8">
        <f t="shared" si="5"/>
        <v>40203.25</v>
      </c>
      <c r="N69">
        <v>1264831200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254.52631578947367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 s="8">
        <f t="shared" si="5"/>
        <v>42943.208333333328</v>
      </c>
      <c r="N70">
        <v>1505192400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24.063291139240505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 s="8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123.74140625000001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 s="8">
        <f t="shared" si="5"/>
        <v>40484.208333333336</v>
      </c>
      <c r="N72">
        <v>1292911200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108.06666666666666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 s="8">
        <f t="shared" si="5"/>
        <v>43799.25</v>
      </c>
      <c r="N73">
        <v>1575439200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670.33333333333326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 s="8">
        <f t="shared" si="5"/>
        <v>42186.208333333328</v>
      </c>
      <c r="N74">
        <v>1438837200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660.92857142857144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 s="8">
        <f t="shared" si="5"/>
        <v>42701.25</v>
      </c>
      <c r="N75">
        <v>1480485600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122.46153846153847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 s="8">
        <f t="shared" si="5"/>
        <v>42456.208333333328</v>
      </c>
      <c r="N76">
        <v>1459141200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150.57731958762886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 s="8">
        <f t="shared" si="5"/>
        <v>43296.208333333328</v>
      </c>
      <c r="N77">
        <v>1532322000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78.106590724165997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 s="8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46.94736842105263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 s="8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300.8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 s="8">
        <f t="shared" si="5"/>
        <v>43206.208333333328</v>
      </c>
      <c r="N80">
        <v>1523941200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69.598615916955026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 s="8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637.4545454545455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 s="8">
        <f t="shared" si="5"/>
        <v>42976.208333333328</v>
      </c>
      <c r="N82">
        <v>1506574800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225.33928571428569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 s="8">
        <f t="shared" si="5"/>
        <v>43062.25</v>
      </c>
      <c r="N83">
        <v>1513576800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1497.3000000000002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 s="8">
        <f t="shared" si="5"/>
        <v>43482.25</v>
      </c>
      <c r="N84">
        <v>1548309600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37.590225563909776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 s="8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132.36942675159236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 s="8">
        <f t="shared" si="5"/>
        <v>41118.208333333336</v>
      </c>
      <c r="N86">
        <v>1344315600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131.22448979591837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 s="8">
        <f t="shared" si="5"/>
        <v>40797.208333333336</v>
      </c>
      <c r="N87">
        <v>1316408400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167.63513513513513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 s="8">
        <f t="shared" si="5"/>
        <v>42128.208333333328</v>
      </c>
      <c r="N88">
        <v>1431838800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61.984886649874063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 s="8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260.75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 s="8">
        <f t="shared" si="5"/>
        <v>42110.208333333328</v>
      </c>
      <c r="N90">
        <v>1431061200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252.58823529411765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 s="8">
        <f t="shared" si="5"/>
        <v>40283.208333333336</v>
      </c>
      <c r="N91">
        <v>1271480400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78.615384615384613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 s="8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48.404406999351913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 s="8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258.875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 s="8">
        <f t="shared" si="5"/>
        <v>40352.208333333336</v>
      </c>
      <c r="N94">
        <v>1277355600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60.548713235294116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 s="8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303.68965517241378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 s="8">
        <f t="shared" si="5"/>
        <v>43562.208333333328</v>
      </c>
      <c r="N96">
        <v>1555563600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112.99999999999999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 s="8">
        <f t="shared" si="5"/>
        <v>43752.208333333328</v>
      </c>
      <c r="N97">
        <v>1571634000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217.37876614060258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 s="8">
        <f t="shared" si="5"/>
        <v>40612.25</v>
      </c>
      <c r="N98">
        <v>1300856400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926.69230769230762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 s="8">
        <f t="shared" si="5"/>
        <v>42180.208333333328</v>
      </c>
      <c r="N99">
        <v>1439874000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33.692229038854805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 s="8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196.7236842105263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 s="8">
        <f t="shared" si="5"/>
        <v>41968.25</v>
      </c>
      <c r="N101">
        <v>1419400800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 s="8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1021.4444444444445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 s="8">
        <f t="shared" si="5"/>
        <v>42056.25</v>
      </c>
      <c r="N103">
        <v>1425103200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281.67567567567568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 s="8">
        <f t="shared" si="5"/>
        <v>43234.208333333328</v>
      </c>
      <c r="N104">
        <v>1526878800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24.610000000000003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 s="8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143.14010067114094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 s="8">
        <f t="shared" si="5"/>
        <v>42878.208333333328</v>
      </c>
      <c r="N106">
        <v>1495602000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144.54411764705884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 s="8">
        <f t="shared" si="5"/>
        <v>41366.208333333336</v>
      </c>
      <c r="N107">
        <v>1366434000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359.12820512820514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 s="8">
        <f t="shared" si="5"/>
        <v>43716.208333333328</v>
      </c>
      <c r="N108">
        <v>1568350800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186.48571428571427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 s="8">
        <f t="shared" si="5"/>
        <v>43213.208333333328</v>
      </c>
      <c r="N109">
        <v>1525928400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595.26666666666665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 s="8">
        <f t="shared" si="5"/>
        <v>41005.208333333336</v>
      </c>
      <c r="N110">
        <v>1336885200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59.21153846153846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 s="8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14.962780898876405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 s="8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119.95602605863192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 s="8">
        <f t="shared" si="5"/>
        <v>41174.208333333336</v>
      </c>
      <c r="N113">
        <v>1348808400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268.82978723404256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 s="8">
        <f t="shared" si="5"/>
        <v>41875.208333333336</v>
      </c>
      <c r="N114">
        <v>1410152400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376.87878787878788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 s="8">
        <f t="shared" si="5"/>
        <v>42990.208333333328</v>
      </c>
      <c r="N115">
        <v>1505797200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727.15789473684208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 s="8">
        <f t="shared" si="5"/>
        <v>43564.208333333328</v>
      </c>
      <c r="N116">
        <v>1554872400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87.211757648470297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 s="8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 s="8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173.9387755102041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 s="8">
        <f t="shared" si="5"/>
        <v>40808.208333333336</v>
      </c>
      <c r="N119">
        <v>1317186000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117.61111111111111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 s="8">
        <f t="shared" si="5"/>
        <v>41665.25</v>
      </c>
      <c r="N120">
        <v>1391234400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214.96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 s="8">
        <f t="shared" si="5"/>
        <v>41806.208333333336</v>
      </c>
      <c r="N121">
        <v>1404363600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149.49667110519306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 s="8">
        <f t="shared" si="5"/>
        <v>42111.208333333328</v>
      </c>
      <c r="N122">
        <v>1429592400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219.33995584988963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 s="8">
        <f t="shared" si="5"/>
        <v>41917.208333333336</v>
      </c>
      <c r="N123">
        <v>1413608400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64.367690058479525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 s="8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18.622397298818232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 s="8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367.76923076923077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 s="8">
        <f t="shared" si="5"/>
        <v>43598.208333333328</v>
      </c>
      <c r="N126">
        <v>1562302800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159.90566037735849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 s="8">
        <f t="shared" si="5"/>
        <v>43362.208333333328</v>
      </c>
      <c r="N127">
        <v>1537678800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38.633185349611544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 s="8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51.42151162790698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 s="8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60.334277620396605</v>
      </c>
      <c r="G130" t="s">
        <v>74</v>
      </c>
      <c r="H130">
        <v>532</v>
      </c>
      <c r="I130" s="5">
        <f t="shared" si="4"/>
        <v>80.067669172932327</v>
      </c>
      <c r="J130" t="s">
        <v>21</v>
      </c>
      <c r="K130" t="s">
        <v>22</v>
      </c>
      <c r="L130">
        <v>1282885200</v>
      </c>
      <c r="M130" s="8">
        <f t="shared" si="5"/>
        <v>40417.208333333336</v>
      </c>
      <c r="N130">
        <v>1284008400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3.202693602693603</v>
      </c>
      <c r="G131" t="s">
        <v>74</v>
      </c>
      <c r="H131">
        <v>55</v>
      </c>
      <c r="I131" s="5">
        <f t="shared" ref="I131:I194" si="8">IFERROR(E131/H131,0)</f>
        <v>86.472727272727269</v>
      </c>
      <c r="J131" t="s">
        <v>26</v>
      </c>
      <c r="K131" t="s">
        <v>27</v>
      </c>
      <c r="L131">
        <v>1422943200</v>
      </c>
      <c r="M131" s="8">
        <f t="shared" ref="M131:M194" si="9">(((L131/60)/60)/24)+DATE(1970,1,1)</f>
        <v>42038.25</v>
      </c>
      <c r="N131">
        <v>1425103200</v>
      </c>
      <c r="O131" s="8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1">E132/D132*(100)</f>
        <v>155.46875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 s="8">
        <f t="shared" si="9"/>
        <v>40842.208333333336</v>
      </c>
      <c r="N132">
        <v>1320991200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1"/>
        <v>100.85974499089254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 s="8">
        <f t="shared" si="9"/>
        <v>41607.25</v>
      </c>
      <c r="N133">
        <v>1386828000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1"/>
        <v>116.18181818181819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 s="8">
        <f t="shared" si="9"/>
        <v>43112.25</v>
      </c>
      <c r="N134">
        <v>1517119200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310.77777777777777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 s="8">
        <f t="shared" si="9"/>
        <v>40767.208333333336</v>
      </c>
      <c r="N135">
        <v>1315026000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89.73668341708543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 s="8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71.27272727272728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 s="8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 s="8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261.77777777777777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 s="8">
        <f t="shared" si="9"/>
        <v>40457.208333333336</v>
      </c>
      <c r="N139">
        <v>1286859600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 s="8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20.896851248642779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 s="8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223.16363636363636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 s="8">
        <f t="shared" si="9"/>
        <v>43156.25</v>
      </c>
      <c r="N142">
        <v>1519970400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101.59097978227061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 s="8">
        <f t="shared" si="9"/>
        <v>42167.208333333328</v>
      </c>
      <c r="N143">
        <v>1434603600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230.03999999999996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 s="8">
        <f t="shared" si="9"/>
        <v>41005.208333333336</v>
      </c>
      <c r="N144">
        <v>1337230800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135.59259259259261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 s="8">
        <f t="shared" si="9"/>
        <v>40357.208333333336</v>
      </c>
      <c r="N145">
        <v>1279429200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129.1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 s="8">
        <f t="shared" si="9"/>
        <v>43633.208333333328</v>
      </c>
      <c r="N146">
        <v>1561438800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236.512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 s="8">
        <f t="shared" si="9"/>
        <v>41889.208333333336</v>
      </c>
      <c r="N147">
        <v>1410498000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17.25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 s="8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112.49397590361446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 s="8">
        <f t="shared" si="9"/>
        <v>42534.208333333328</v>
      </c>
      <c r="N149">
        <v>1466312400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121.02150537634408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 s="8">
        <f t="shared" si="9"/>
        <v>42941.208333333328</v>
      </c>
      <c r="N150">
        <v>1501736400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219.87096774193549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 s="8">
        <f t="shared" si="9"/>
        <v>41275.25</v>
      </c>
      <c r="N151">
        <v>1361512800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 s="8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64.166909620991248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 s="8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423.06746987951806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 s="8">
        <f t="shared" si="9"/>
        <v>42783.25</v>
      </c>
      <c r="N154">
        <v>1487916000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92.984160506863773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 s="8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58.756567425569173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 s="8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65.022222222222226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 s="8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73.939560439560438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 s="8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52.666666666666664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 s="8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220.95238095238096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 s="8">
        <f t="shared" si="9"/>
        <v>42346.25</v>
      </c>
      <c r="N160">
        <v>1449640800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100.01150627615063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 s="8">
        <f t="shared" si="9"/>
        <v>43551.208333333328</v>
      </c>
      <c r="N161">
        <v>1555218000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162.3125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 s="8">
        <f t="shared" si="9"/>
        <v>43582.208333333328</v>
      </c>
      <c r="N162">
        <v>1557723600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78.181818181818187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 s="8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149.73770491803279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 s="8">
        <f t="shared" si="9"/>
        <v>43442.25</v>
      </c>
      <c r="N164">
        <v>1546840800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253.25714285714284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 s="8">
        <f t="shared" si="9"/>
        <v>43028.208333333328</v>
      </c>
      <c r="N165">
        <v>1512712800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100.16943521594683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 s="8">
        <f t="shared" si="9"/>
        <v>43016.208333333328</v>
      </c>
      <c r="N166">
        <v>1507525200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121.99004424778761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 s="8">
        <f t="shared" si="9"/>
        <v>42948.208333333328</v>
      </c>
      <c r="N167">
        <v>1504328400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137.13265306122449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 s="8">
        <f t="shared" si="9"/>
        <v>40534.25</v>
      </c>
      <c r="N168">
        <v>1293343200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415.53846153846149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 s="8">
        <f t="shared" si="9"/>
        <v>41435.208333333336</v>
      </c>
      <c r="N169">
        <v>1371704400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31.30913348946136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 s="8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424.08154506437768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 s="8">
        <f t="shared" si="9"/>
        <v>41077.208333333336</v>
      </c>
      <c r="N171">
        <v>1342328400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2.93886230728336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 s="8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10.63265306122449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 s="8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82.875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 s="8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163.01447776628748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 s="8">
        <f t="shared" si="9"/>
        <v>41412.208333333336</v>
      </c>
      <c r="N175">
        <v>1369371600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894.66666666666674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 s="8">
        <f t="shared" si="9"/>
        <v>42282.208333333328</v>
      </c>
      <c r="N176">
        <v>1444107600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26.191501103752756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 s="8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74.834782608695647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 s="8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416.47680412371136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 s="8">
        <f t="shared" si="9"/>
        <v>40497.25</v>
      </c>
      <c r="N179">
        <v>1291960800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96.208333333333329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 s="8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357.71910112359546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 s="8">
        <f t="shared" si="9"/>
        <v>41350.208333333336</v>
      </c>
      <c r="N181">
        <v>1363582800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308.45714285714286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 s="8">
        <f t="shared" si="9"/>
        <v>40259.208333333336</v>
      </c>
      <c r="N182">
        <v>1269666000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61.802325581395344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 s="8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722.32472324723244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 s="8">
        <f t="shared" si="9"/>
        <v>43631.208333333328</v>
      </c>
      <c r="N184">
        <v>1561957200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69.117647058823522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 s="8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293.05555555555554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 s="8">
        <f t="shared" si="9"/>
        <v>43588.208333333328</v>
      </c>
      <c r="N186">
        <v>1556946000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71.8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 s="8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31.934684684684683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 s="8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229.87375415282392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 s="8">
        <f t="shared" si="9"/>
        <v>41328.25</v>
      </c>
      <c r="N189">
        <v>1364014800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32.012195121951223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 s="8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23.525352848928385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 s="8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68.594594594594597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 s="8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37.952380952380956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 s="8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19.992957746478872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 s="8">
        <f t="shared" si="9"/>
        <v>41817.208333333336</v>
      </c>
      <c r="N194">
        <v>1404190800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45.636363636363633</v>
      </c>
      <c r="G195" t="s">
        <v>14</v>
      </c>
      <c r="H195">
        <v>65</v>
      </c>
      <c r="I195" s="5">
        <f t="shared" ref="I195:I258" si="12">IFERROR(E195/H195,0)</f>
        <v>46.338461538461537</v>
      </c>
      <c r="J195" t="s">
        <v>21</v>
      </c>
      <c r="K195" t="s">
        <v>22</v>
      </c>
      <c r="L195">
        <v>1523163600</v>
      </c>
      <c r="M195" s="8">
        <f t="shared" ref="M195:M258" si="13">(((L195/60)/60)/24)+DATE(1970,1,1)</f>
        <v>43198.208333333328</v>
      </c>
      <c r="N195">
        <v>1523509200</v>
      </c>
      <c r="O195" s="8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5">E196/D196*(100)</f>
        <v>122.7605633802817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 s="8">
        <f t="shared" si="13"/>
        <v>42261.208333333328</v>
      </c>
      <c r="N196">
        <v>1443589200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5"/>
        <v>361.75316455696202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 s="8">
        <f t="shared" si="13"/>
        <v>43310.208333333328</v>
      </c>
      <c r="N197">
        <v>1533445200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63.146341463414636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 s="8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298.20475319926874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 s="8">
        <f t="shared" si="13"/>
        <v>42909.208333333328</v>
      </c>
      <c r="N199">
        <v>1499403600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9.5585443037974684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 s="8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53.777777777777779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 s="8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 s="8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681.19047619047615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 s="8">
        <f t="shared" si="13"/>
        <v>41845.208333333336</v>
      </c>
      <c r="N203">
        <v>1407819600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78.831325301204828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 s="8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134.40792216817235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 s="8">
        <f t="shared" si="13"/>
        <v>42752.25</v>
      </c>
      <c r="N205">
        <v>1484805600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3.3719999999999999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 s="8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431.84615384615387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 s="8">
        <f t="shared" si="13"/>
        <v>43390.208333333328</v>
      </c>
      <c r="N207">
        <v>1540789200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38.844444444444441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 s="8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425.7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 s="8">
        <f t="shared" si="13"/>
        <v>43340.208333333328</v>
      </c>
      <c r="N209">
        <v>1537160400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101.12239715591672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 s="8">
        <f t="shared" si="13"/>
        <v>43048.25</v>
      </c>
      <c r="N210">
        <v>1512280800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21.188688946015425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 s="8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67.425531914893625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 s="8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94.923371647509583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 s="8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151.85185185185185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 s="8">
        <f t="shared" si="13"/>
        <v>43814.25</v>
      </c>
      <c r="N214">
        <v>1580364000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195.16382252559728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 s="8">
        <f t="shared" si="13"/>
        <v>40488.208333333336</v>
      </c>
      <c r="N215">
        <v>1289714400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1023.1428571428571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 s="8">
        <f t="shared" si="13"/>
        <v>40409.208333333336</v>
      </c>
      <c r="N216">
        <v>1282712400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3.841836734693878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 s="8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155.07066557107643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 s="8">
        <f t="shared" si="13"/>
        <v>40869.25</v>
      </c>
      <c r="N218">
        <v>1322114400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44.753477588871718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 s="8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215.94736842105263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 s="8">
        <f t="shared" si="13"/>
        <v>40858.25</v>
      </c>
      <c r="N220">
        <v>1323928800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332.12709832134288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 s="8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8.4430379746835449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 s="8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98.625514403292186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 s="8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137.97916666666669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 s="8">
        <f t="shared" si="13"/>
        <v>41914.208333333336</v>
      </c>
      <c r="N224">
        <v>1412312400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93.81099656357388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 s="8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403.63930885529157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 s="8">
        <f t="shared" si="13"/>
        <v>41906.208333333336</v>
      </c>
      <c r="N226">
        <v>1415426400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260.1740412979351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 s="8">
        <f t="shared" si="13"/>
        <v>41762.208333333336</v>
      </c>
      <c r="N227">
        <v>1399093200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366.63333333333333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 s="8">
        <f t="shared" si="13"/>
        <v>40276.208333333336</v>
      </c>
      <c r="N228">
        <v>1273899600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168.72085385878489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 s="8">
        <f t="shared" si="13"/>
        <v>42139.208333333328</v>
      </c>
      <c r="N229">
        <v>1432184400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119.90717911530093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 s="8">
        <f t="shared" si="13"/>
        <v>42613.208333333328</v>
      </c>
      <c r="N230">
        <v>1474779600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193.68925233644859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 s="8">
        <f t="shared" si="13"/>
        <v>42887.208333333328</v>
      </c>
      <c r="N231">
        <v>1500440400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420.16666666666669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 s="8">
        <f t="shared" si="13"/>
        <v>43805.25</v>
      </c>
      <c r="N232">
        <v>1575612000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76.708333333333329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 s="8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171.26470588235293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 s="8">
        <f t="shared" si="13"/>
        <v>42576.208333333328</v>
      </c>
      <c r="N234">
        <v>1469509200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157.89473684210526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 s="8">
        <f t="shared" si="13"/>
        <v>40706.208333333336</v>
      </c>
      <c r="N235">
        <v>1309237200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109.08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 s="8">
        <f t="shared" si="13"/>
        <v>42969.208333333328</v>
      </c>
      <c r="N236">
        <v>1503982800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41.732558139534881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 s="8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10.944303797468354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 s="8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159.3763440860215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 s="8">
        <f t="shared" si="13"/>
        <v>41754.208333333336</v>
      </c>
      <c r="N239">
        <v>1398574800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422.41666666666669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 s="8">
        <f t="shared" si="13"/>
        <v>43083.25</v>
      </c>
      <c r="N240">
        <v>1515391200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97.71875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 s="8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418.78911564625849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 s="8">
        <f t="shared" si="13"/>
        <v>40396.208333333336</v>
      </c>
      <c r="N242">
        <v>1281157200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101.91632047477745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 s="8">
        <f t="shared" si="13"/>
        <v>41742.208333333336</v>
      </c>
      <c r="N243">
        <v>1398229200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127.72619047619047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 s="8">
        <f t="shared" si="13"/>
        <v>42865.208333333328</v>
      </c>
      <c r="N244">
        <v>1495256400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445.21739130434781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 s="8">
        <f t="shared" si="13"/>
        <v>43163.25</v>
      </c>
      <c r="N245">
        <v>1520402400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569.71428571428578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 s="8">
        <f t="shared" si="13"/>
        <v>41834.208333333336</v>
      </c>
      <c r="N246">
        <v>1409806800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509.34482758620686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 s="8">
        <f t="shared" si="13"/>
        <v>41736.208333333336</v>
      </c>
      <c r="N247">
        <v>1396933200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325.5333333333333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 s="8">
        <f t="shared" si="13"/>
        <v>41491.208333333336</v>
      </c>
      <c r="N248">
        <v>1376024400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932.61616161616166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 s="8">
        <f t="shared" si="13"/>
        <v>42726.25</v>
      </c>
      <c r="N249">
        <v>1483682400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211.33870967741933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 s="8">
        <f t="shared" si="13"/>
        <v>42004.25</v>
      </c>
      <c r="N250">
        <v>1420437600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273.32520325203251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 s="8">
        <f t="shared" si="13"/>
        <v>42006.25</v>
      </c>
      <c r="N251">
        <v>1420783200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 s="8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54.084507042253513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 s="8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626.29999999999995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 s="8">
        <f t="shared" si="13"/>
        <v>41572.208333333336</v>
      </c>
      <c r="N254">
        <v>1383109200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89.021399176954731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 s="8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184.89130434782609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 s="8">
        <f t="shared" si="13"/>
        <v>42787.25</v>
      </c>
      <c r="N256">
        <v>1487829600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120.16770186335404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 s="8">
        <f t="shared" si="13"/>
        <v>40590.25</v>
      </c>
      <c r="N257">
        <v>1298268000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23.390243902439025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 s="8">
        <f t="shared" si="13"/>
        <v>42393.25</v>
      </c>
      <c r="N258">
        <v>1456812000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146</v>
      </c>
      <c r="G259" t="s">
        <v>20</v>
      </c>
      <c r="H259">
        <v>92</v>
      </c>
      <c r="I259" s="5">
        <f t="shared" ref="I259:I322" si="16">IFERROR(E259/H259,0)</f>
        <v>90.456521739130437</v>
      </c>
      <c r="J259" t="s">
        <v>21</v>
      </c>
      <c r="K259" t="s">
        <v>22</v>
      </c>
      <c r="L259">
        <v>1362463200</v>
      </c>
      <c r="M259" s="8">
        <f t="shared" ref="M259:M322" si="17">(((L259/60)/60)/24)+DATE(1970,1,1)</f>
        <v>41338.25</v>
      </c>
      <c r="N259">
        <v>1363669200</v>
      </c>
      <c r="O259" s="8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9">E260/D260*(100)</f>
        <v>268.48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 s="8">
        <f t="shared" si="17"/>
        <v>42712.25</v>
      </c>
      <c r="N260">
        <v>1482904800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9"/>
        <v>597.5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 s="8">
        <f t="shared" si="17"/>
        <v>41251.25</v>
      </c>
      <c r="N261">
        <v>1356588000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9"/>
        <v>157.69841269841268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 s="8">
        <f t="shared" si="17"/>
        <v>41180.208333333336</v>
      </c>
      <c r="N262">
        <v>1349845200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31.201660735468568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 s="8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313.41176470588238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 s="8">
        <f t="shared" si="17"/>
        <v>40638.208333333336</v>
      </c>
      <c r="N264">
        <v>1304226000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370.89655172413791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 s="8">
        <f t="shared" si="17"/>
        <v>40187.25</v>
      </c>
      <c r="N265">
        <v>1263016800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362.66447368421052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 s="8">
        <f t="shared" si="17"/>
        <v>41317.25</v>
      </c>
      <c r="N266">
        <v>1362031200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123.08163265306122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 s="8">
        <f t="shared" si="17"/>
        <v>42372.25</v>
      </c>
      <c r="N267">
        <v>1455602400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76.766756032171585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 s="8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233.62012987012989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 s="8">
        <f t="shared" si="17"/>
        <v>41206.208333333336</v>
      </c>
      <c r="N269">
        <v>1352440800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180.53333333333333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 s="8">
        <f t="shared" si="17"/>
        <v>41186.208333333336</v>
      </c>
      <c r="N270">
        <v>1353304800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252.62857142857143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 s="8">
        <f t="shared" si="17"/>
        <v>43496.25</v>
      </c>
      <c r="N271">
        <v>1550728800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27.176538240368025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 s="8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 s="8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304.0097847358121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 s="8">
        <f t="shared" si="17"/>
        <v>43656.208333333328</v>
      </c>
      <c r="N274">
        <v>1564894800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137.23076923076923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 s="8">
        <f t="shared" si="17"/>
        <v>42995.208333333328</v>
      </c>
      <c r="N275">
        <v>1505883600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32.208333333333336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 s="8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241.51282051282053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 s="8">
        <f t="shared" si="17"/>
        <v>43561.208333333328</v>
      </c>
      <c r="N277">
        <v>1555218000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96.8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 s="8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1066.4285714285716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 s="8">
        <f t="shared" si="17"/>
        <v>40378.208333333336</v>
      </c>
      <c r="N279">
        <v>1279688400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325.88888888888891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 s="8">
        <f t="shared" si="17"/>
        <v>41239.25</v>
      </c>
      <c r="N280">
        <v>1356069600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170.70000000000002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 s="8">
        <f t="shared" si="17"/>
        <v>43346.208333333328</v>
      </c>
      <c r="N281">
        <v>1536210000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581.44000000000005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 s="8">
        <f t="shared" si="17"/>
        <v>43060.25</v>
      </c>
      <c r="N282">
        <v>1511762400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91.520972644376897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 s="8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108.04761904761904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 s="8">
        <f t="shared" si="17"/>
        <v>42701.25</v>
      </c>
      <c r="N284">
        <v>1480744800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18.728395061728396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 s="8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83.193877551020407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 s="8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706.33333333333337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 s="8">
        <f t="shared" si="17"/>
        <v>42623.208333333328</v>
      </c>
      <c r="N287">
        <v>1476766800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17.446030330062445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 s="8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209.73015873015873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 s="8">
        <f t="shared" si="17"/>
        <v>42122.208333333328</v>
      </c>
      <c r="N289">
        <v>1430197200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97.785714285714292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 s="8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1684.25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 s="8">
        <f t="shared" si="17"/>
        <v>42219.208333333328</v>
      </c>
      <c r="N291">
        <v>1438837200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54.402135231316727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 s="8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456.61111111111109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 s="8">
        <f t="shared" si="17"/>
        <v>40831.208333333336</v>
      </c>
      <c r="N293">
        <v>1319000400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9.8219178082191778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 s="8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16.384615384615383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 s="8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1339.6666666666667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 s="8">
        <f t="shared" si="17"/>
        <v>43399.208333333328</v>
      </c>
      <c r="N296">
        <v>1541570400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35.650077760497666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 s="8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54.950819672131146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 s="8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94.236111111111114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 s="8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143.91428571428571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 s="8">
        <f t="shared" si="17"/>
        <v>42426.25</v>
      </c>
      <c r="N300">
        <v>1458018000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51.421052631578945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 s="8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 s="8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1344.6666666666667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 s="8">
        <f t="shared" si="17"/>
        <v>42061.25</v>
      </c>
      <c r="N303">
        <v>1426395600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31.844940867279899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 s="8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82.617647058823536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 s="8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546.14285714285722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 s="8">
        <f t="shared" si="17"/>
        <v>42589.208333333328</v>
      </c>
      <c r="N306">
        <v>1474088400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286.21428571428572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 s="8">
        <f t="shared" si="17"/>
        <v>42448.208333333328</v>
      </c>
      <c r="N307">
        <v>1461906000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7.9076923076923071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 s="8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132.13677811550153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 s="8">
        <f t="shared" si="17"/>
        <v>41066.208333333336</v>
      </c>
      <c r="N309">
        <v>1340686800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74.077834179357026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 s="8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75.292682926829272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 s="8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20.333333333333332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 s="8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203.36507936507937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 s="8">
        <f t="shared" si="17"/>
        <v>40590.25</v>
      </c>
      <c r="N313">
        <v>1298872800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310.2284263959391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 s="8">
        <f t="shared" si="17"/>
        <v>41572.208333333336</v>
      </c>
      <c r="N314">
        <v>1383282000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395.31818181818181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 s="8">
        <f t="shared" si="17"/>
        <v>40966.25</v>
      </c>
      <c r="N315">
        <v>1330495200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294.71428571428572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 s="8">
        <f t="shared" si="17"/>
        <v>43536.208333333328</v>
      </c>
      <c r="N316">
        <v>1552798800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33.89473684210526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 s="8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66.677083333333329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 s="8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19.227272727272727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 s="8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15.842105263157894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 s="8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38.702380952380956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 s="8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9.5876777251184837</v>
      </c>
      <c r="G322" t="s">
        <v>14</v>
      </c>
      <c r="H322">
        <v>80</v>
      </c>
      <c r="I322" s="5">
        <f t="shared" si="16"/>
        <v>101.15</v>
      </c>
      <c r="J322" t="s">
        <v>21</v>
      </c>
      <c r="K322" t="s">
        <v>22</v>
      </c>
      <c r="L322">
        <v>1305003600</v>
      </c>
      <c r="M322" s="8">
        <f t="shared" si="17"/>
        <v>40673.208333333336</v>
      </c>
      <c r="N322">
        <v>1305781200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94.144366197183089</v>
      </c>
      <c r="G323" t="s">
        <v>14</v>
      </c>
      <c r="H323">
        <v>2468</v>
      </c>
      <c r="I323" s="5">
        <f t="shared" ref="I323:I386" si="20">IFERROR(E323/H323,0)</f>
        <v>65.000810372771468</v>
      </c>
      <c r="J323" t="s">
        <v>21</v>
      </c>
      <c r="K323" t="s">
        <v>22</v>
      </c>
      <c r="L323">
        <v>1301634000</v>
      </c>
      <c r="M323" s="8">
        <f t="shared" ref="M323:M386" si="21">(((L323/60)/60)/24)+DATE(1970,1,1)</f>
        <v>40634.208333333336</v>
      </c>
      <c r="N323">
        <v>1302325200</v>
      </c>
      <c r="O323" s="8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3">E324/D324*(100)</f>
        <v>166.56234096692114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 s="8">
        <f t="shared" si="21"/>
        <v>40507.25</v>
      </c>
      <c r="N324">
        <v>1291788000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3"/>
        <v>24.134831460674157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 s="8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3"/>
        <v>164.05633802816902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 s="8">
        <f t="shared" si="21"/>
        <v>42176.208333333328</v>
      </c>
      <c r="N326">
        <v>1435899600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90.723076923076931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 s="8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46.194444444444443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 s="8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38.53846153846154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 s="8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133.56231003039514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 s="8">
        <f t="shared" si="21"/>
        <v>43434.25</v>
      </c>
      <c r="N330">
        <v>1544508000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22.896588486140725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 s="8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184.95548961424333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 s="8">
        <f t="shared" si="21"/>
        <v>43077.25</v>
      </c>
      <c r="N332">
        <v>1512799200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443.72727272727275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 s="8">
        <f t="shared" si="21"/>
        <v>40896.25</v>
      </c>
      <c r="N333">
        <v>1324360800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199.9806763285024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 s="8">
        <f t="shared" si="21"/>
        <v>41361.208333333336</v>
      </c>
      <c r="N334">
        <v>1364533200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123.95833333333333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 s="8">
        <f t="shared" si="21"/>
        <v>43424.25</v>
      </c>
      <c r="N335">
        <v>1545112800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186.61329305135951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 s="8">
        <f t="shared" si="21"/>
        <v>43110.25</v>
      </c>
      <c r="N336">
        <v>1516168800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114.28538550057536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 s="8">
        <f t="shared" si="21"/>
        <v>43784.25</v>
      </c>
      <c r="N337">
        <v>1574920800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97.032531824611041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 s="8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122.81904761904762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 s="8">
        <f t="shared" si="21"/>
        <v>43780.25</v>
      </c>
      <c r="N339">
        <v>1573538400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179.14326647564468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 s="8">
        <f t="shared" si="21"/>
        <v>40821.208333333336</v>
      </c>
      <c r="N340">
        <v>1320382800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79.951577402787962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 s="8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94.242587601078171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 s="8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84.669291338582681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 s="8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66.521920668058456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 s="8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53.922222222222224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 s="8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41.983299595141702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 s="8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14.69479695431472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 s="8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34.475000000000001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 s="8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1400.7777777777778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 s="8">
        <f t="shared" si="21"/>
        <v>42046.25</v>
      </c>
      <c r="N349">
        <v>1425708000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71.770351758793964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 s="8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53.074115044247783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 s="8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 s="8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127.70715249662618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 s="8">
        <f t="shared" si="21"/>
        <v>42240.208333333328</v>
      </c>
      <c r="N353">
        <v>1441602000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34.892857142857139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 s="8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410.59821428571428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 s="8">
        <f t="shared" si="21"/>
        <v>43651.208333333328</v>
      </c>
      <c r="N355">
        <v>1562389200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123.73770491803278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 s="8">
        <f t="shared" si="21"/>
        <v>41520.208333333336</v>
      </c>
      <c r="N356">
        <v>1378789200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58.973684210526315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 s="8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36.892473118279568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 s="8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184.91304347826087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 s="8">
        <f t="shared" si="21"/>
        <v>42250.208333333328</v>
      </c>
      <c r="N359">
        <v>1443416400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11.814432989690722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 s="8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298.7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 s="8">
        <f t="shared" si="21"/>
        <v>40782.208333333336</v>
      </c>
      <c r="N361">
        <v>1315026000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226.35175879396985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 s="8">
        <f t="shared" si="21"/>
        <v>40544.25</v>
      </c>
      <c r="N362">
        <v>1295071200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173.56363636363636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 s="8">
        <f t="shared" si="21"/>
        <v>43015.208333333328</v>
      </c>
      <c r="N363">
        <v>1509426000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371.75675675675677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 s="8">
        <f t="shared" si="21"/>
        <v>40570.25</v>
      </c>
      <c r="N364">
        <v>1299391200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160.19230769230771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 s="8">
        <f t="shared" si="21"/>
        <v>40904.25</v>
      </c>
      <c r="N365">
        <v>1325052000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1616.3333333333335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 s="8">
        <f t="shared" si="21"/>
        <v>43164.25</v>
      </c>
      <c r="N366">
        <v>1522818000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733.4375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 s="8">
        <f t="shared" si="21"/>
        <v>42733.25</v>
      </c>
      <c r="N367">
        <v>1485324000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592.11111111111109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 s="8">
        <f t="shared" si="21"/>
        <v>40546.25</v>
      </c>
      <c r="N368">
        <v>1294120800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18.888888888888889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 s="8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276.80769230769232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 s="8">
        <f t="shared" si="21"/>
        <v>40464.208333333336</v>
      </c>
      <c r="N370">
        <v>1288933200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273.01851851851848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 s="8">
        <f t="shared" si="21"/>
        <v>41308.25</v>
      </c>
      <c r="N371">
        <v>1363237200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159.36331255565449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 s="8">
        <f t="shared" si="21"/>
        <v>43570.208333333328</v>
      </c>
      <c r="N372">
        <v>1555822800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67.869978858350947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 s="8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1591.5555555555554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 s="8">
        <f t="shared" si="21"/>
        <v>42012.25</v>
      </c>
      <c r="N374">
        <v>1422424800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730.18222222222221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 s="8">
        <f t="shared" si="21"/>
        <v>42964.208333333328</v>
      </c>
      <c r="N375">
        <v>1503637200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13.185782556750297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 s="8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54.777777777777779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 s="8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361.02941176470591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 s="8">
        <f t="shared" si="21"/>
        <v>41826.208333333336</v>
      </c>
      <c r="N378">
        <v>1405141200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10.257545271629779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 s="8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13.962962962962964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 s="8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40.444444444444443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 s="8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160.32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 s="8">
        <f t="shared" si="21"/>
        <v>41448.208333333336</v>
      </c>
      <c r="N382">
        <v>1372395600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183.9433962264151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 s="8">
        <f t="shared" si="21"/>
        <v>42163.208333333328</v>
      </c>
      <c r="N383">
        <v>1437714000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63.769230769230766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 s="8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225.38095238095238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 s="8">
        <f t="shared" si="21"/>
        <v>43509.25</v>
      </c>
      <c r="N385">
        <v>1550556000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172.00961538461539</v>
      </c>
      <c r="G386" t="s">
        <v>20</v>
      </c>
      <c r="H386">
        <v>4799</v>
      </c>
      <c r="I386" s="5">
        <f t="shared" si="20"/>
        <v>41.004167534903104</v>
      </c>
      <c r="J386" t="s">
        <v>21</v>
      </c>
      <c r="K386" t="s">
        <v>22</v>
      </c>
      <c r="L386">
        <v>1486706400</v>
      </c>
      <c r="M386" s="8">
        <f t="shared" si="21"/>
        <v>42776.25</v>
      </c>
      <c r="N386">
        <v>1489039200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146.16709511568124</v>
      </c>
      <c r="G387" t="s">
        <v>20</v>
      </c>
      <c r="H387">
        <v>1137</v>
      </c>
      <c r="I387" s="5">
        <f t="shared" ref="I387:I450" si="24">IFERROR(E387/H387,0)</f>
        <v>50.007915567282325</v>
      </c>
      <c r="J387" t="s">
        <v>21</v>
      </c>
      <c r="K387" t="s">
        <v>22</v>
      </c>
      <c r="L387">
        <v>1553835600</v>
      </c>
      <c r="M387" s="8">
        <f t="shared" ref="M387:M450" si="25">(((L387/60)/60)/24)+DATE(1970,1,1)</f>
        <v>43553.208333333328</v>
      </c>
      <c r="N387">
        <v>1556600400</v>
      </c>
      <c r="O387" s="8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27">E388/D388*(100)</f>
        <v>76.42361623616236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 s="8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7"/>
        <v>39.261467889908261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 s="8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7"/>
        <v>11.270034843205574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 s="8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122.11084337349398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 s="8">
        <f t="shared" si="25"/>
        <v>40479.208333333336</v>
      </c>
      <c r="N391">
        <v>1290578400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186.54166666666669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 s="8">
        <f t="shared" si="25"/>
        <v>41530.208333333336</v>
      </c>
      <c r="N392">
        <v>1380344400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7.2731788079470201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 s="8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65.642371234207957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 s="8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228.96178343949046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 s="8">
        <f t="shared" si="25"/>
        <v>42933.208333333328</v>
      </c>
      <c r="N395">
        <v>1500354000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469.37499999999994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 s="8">
        <f t="shared" si="25"/>
        <v>41484.208333333336</v>
      </c>
      <c r="N396">
        <v>1375938000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130.11267605633802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 s="8">
        <f t="shared" si="25"/>
        <v>40885.25</v>
      </c>
      <c r="N397">
        <v>1323410400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167.05422993492408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 s="8">
        <f t="shared" si="25"/>
        <v>43378.208333333328</v>
      </c>
      <c r="N398">
        <v>1539406800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173.8641975308642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 s="8">
        <f t="shared" si="25"/>
        <v>41417.208333333336</v>
      </c>
      <c r="N399">
        <v>1369803600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717.76470588235293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 s="8">
        <f t="shared" si="25"/>
        <v>43228.208333333328</v>
      </c>
      <c r="N400">
        <v>1525928400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63.850976361767728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 s="8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 s="8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1530.2222222222222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 s="8">
        <f t="shared" si="25"/>
        <v>43765.208333333328</v>
      </c>
      <c r="N403">
        <v>1572152400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40.356164383561641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 s="8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86.220633299284984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 s="8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315.58486707566465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 s="8">
        <f t="shared" si="25"/>
        <v>43053.25</v>
      </c>
      <c r="N406">
        <v>1510898400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89.618243243243242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 s="8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182.14503816793894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 s="8">
        <f t="shared" si="25"/>
        <v>41304.25</v>
      </c>
      <c r="N408">
        <v>1360562400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355.88235294117646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 s="8">
        <f t="shared" si="25"/>
        <v>43751.208333333328</v>
      </c>
      <c r="N409">
        <v>1571547600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131.83695652173913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 s="8">
        <f t="shared" si="25"/>
        <v>42541.208333333328</v>
      </c>
      <c r="N410">
        <v>1468126800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46.315634218289084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 s="8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36.132726089785294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 s="8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104.62820512820512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 s="8">
        <f t="shared" si="25"/>
        <v>42884.208333333328</v>
      </c>
      <c r="N413">
        <v>1496206800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668.85714285714289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 s="8">
        <f t="shared" si="25"/>
        <v>41642.25</v>
      </c>
      <c r="N414">
        <v>1389592800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62.072823218997364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 s="8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84.699787460148784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 s="8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11.059030837004405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 s="8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43.838781575037146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 s="8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55.470588235294116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 s="8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57.399511301160658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 s="8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123.43497363796135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 s="8">
        <f t="shared" si="25"/>
        <v>40899.25</v>
      </c>
      <c r="N421">
        <v>1325052000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128.46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 s="8">
        <f t="shared" si="25"/>
        <v>42911.208333333328</v>
      </c>
      <c r="N422">
        <v>1499576400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63.989361702127653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 s="8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127.29885057471265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 s="8">
        <f t="shared" si="25"/>
        <v>40285.208333333336</v>
      </c>
      <c r="N424">
        <v>1273208400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10.638024357239512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 s="8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40.470588235294116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 s="8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287.66666666666663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 s="8">
        <f t="shared" si="25"/>
        <v>42213.208333333328</v>
      </c>
      <c r="N427">
        <v>1438578000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572.94444444444446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 s="8">
        <f t="shared" si="25"/>
        <v>41332.25</v>
      </c>
      <c r="N428">
        <v>1362549600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112.90429799426933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 s="8">
        <f t="shared" si="25"/>
        <v>41895.208333333336</v>
      </c>
      <c r="N429">
        <v>1413349200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46.387573964497044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 s="8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90.675916230366497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 s="8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67.740740740740748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 s="8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192.49019607843135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 s="8">
        <f t="shared" si="25"/>
        <v>43273.208333333328</v>
      </c>
      <c r="N433">
        <v>1531112400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82.714285714285722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 s="8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54.163920922570021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 s="8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16.722222222222221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 s="8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116.87664041994749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 s="8">
        <f t="shared" si="25"/>
        <v>41988.25</v>
      </c>
      <c r="N437">
        <v>1419660000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1052.1538461538462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 s="8">
        <f t="shared" si="25"/>
        <v>43575.208333333328</v>
      </c>
      <c r="N438">
        <v>1555822800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123.07407407407408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 s="8">
        <f t="shared" si="25"/>
        <v>42260.208333333328</v>
      </c>
      <c r="N439">
        <v>1442379600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178.63855421686748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 s="8">
        <f t="shared" si="25"/>
        <v>41337.25</v>
      </c>
      <c r="N440">
        <v>1364965200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355.28169014084506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 s="8">
        <f t="shared" si="25"/>
        <v>42680.208333333328</v>
      </c>
      <c r="N441">
        <v>1479016800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161.90634146341463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 s="8">
        <f t="shared" si="25"/>
        <v>42916.208333333328</v>
      </c>
      <c r="N442">
        <v>1499662800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24.914285714285715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 s="8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198.72222222222223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 s="8">
        <f t="shared" si="25"/>
        <v>42980.208333333328</v>
      </c>
      <c r="N444">
        <v>1505710800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34.752688172043008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 s="8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176.41935483870967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 s="8">
        <f t="shared" si="25"/>
        <v>40748.208333333336</v>
      </c>
      <c r="N446">
        <v>1311656400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511.38095238095235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 s="8">
        <f t="shared" si="25"/>
        <v>40515.25</v>
      </c>
      <c r="N447">
        <v>1293170400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82.044117647058826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 s="8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24.326030927835053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 s="8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50.482758620689658</v>
      </c>
      <c r="G450" t="s">
        <v>14</v>
      </c>
      <c r="H450">
        <v>605</v>
      </c>
      <c r="I450" s="5">
        <f t="shared" si="24"/>
        <v>75.014876033057845</v>
      </c>
      <c r="J450" t="s">
        <v>21</v>
      </c>
      <c r="K450" t="s">
        <v>22</v>
      </c>
      <c r="L450">
        <v>1365915600</v>
      </c>
      <c r="M450" s="8">
        <f t="shared" si="25"/>
        <v>41378.208333333336</v>
      </c>
      <c r="N450">
        <v>1366088400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967</v>
      </c>
      <c r="G451" t="s">
        <v>20</v>
      </c>
      <c r="H451">
        <v>86</v>
      </c>
      <c r="I451" s="5">
        <f t="shared" ref="I451:I514" si="28">IFERROR(E451/H451,0)</f>
        <v>101.19767441860465</v>
      </c>
      <c r="J451" t="s">
        <v>36</v>
      </c>
      <c r="K451" t="s">
        <v>37</v>
      </c>
      <c r="L451">
        <v>1551852000</v>
      </c>
      <c r="M451" s="8">
        <f t="shared" ref="M451:M514" si="29">(((L451/60)/60)/24)+DATE(1970,1,1)</f>
        <v>43530.25</v>
      </c>
      <c r="N451">
        <v>1553317200</v>
      </c>
      <c r="O451" s="8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1">E452/D452*(100)</f>
        <v>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 s="8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1"/>
        <v>122.84501347708894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 s="8">
        <f t="shared" si="29"/>
        <v>42935.208333333328</v>
      </c>
      <c r="N453">
        <v>1503118800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1"/>
        <v>63.4375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 s="8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56.331688596491226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 s="8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44.074999999999996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 s="8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118.37253218884121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 s="8">
        <f t="shared" si="29"/>
        <v>40809.208333333336</v>
      </c>
      <c r="N457">
        <v>1318741200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104.1243169398907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 s="8">
        <f t="shared" si="29"/>
        <v>43141.25</v>
      </c>
      <c r="N458">
        <v>1518242400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26.640000000000004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 s="8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351.20118343195264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 s="8">
        <f t="shared" si="29"/>
        <v>40265.208333333336</v>
      </c>
      <c r="N460">
        <v>1273554000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90.063492063492063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 s="8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171.625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 s="8">
        <f t="shared" si="29"/>
        <v>40399.208333333336</v>
      </c>
      <c r="N462">
        <v>1281589200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141.04655870445345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 s="8">
        <f t="shared" si="29"/>
        <v>41757.208333333336</v>
      </c>
      <c r="N463">
        <v>1400389200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30.57944915254237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 s="8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108.16455696202532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 s="8">
        <f t="shared" si="29"/>
        <v>41639.25</v>
      </c>
      <c r="N465">
        <v>1388815200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133.45505617977528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 s="8">
        <f t="shared" si="29"/>
        <v>43142.25</v>
      </c>
      <c r="N466">
        <v>1519538400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187.85106382978722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 s="8">
        <f t="shared" si="29"/>
        <v>43127.25</v>
      </c>
      <c r="N467">
        <v>1517810400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 s="8">
        <f t="shared" si="29"/>
        <v>41409.208333333336</v>
      </c>
      <c r="N468">
        <v>1370581200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575.21428571428578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 s="8">
        <f t="shared" si="29"/>
        <v>42331.25</v>
      </c>
      <c r="N469">
        <v>1448863200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40.5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 s="8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184.42857142857144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 s="8">
        <f t="shared" si="29"/>
        <v>42142.208333333328</v>
      </c>
      <c r="N471">
        <v>1432098000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285.80555555555554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 s="8">
        <f t="shared" si="29"/>
        <v>42716.25</v>
      </c>
      <c r="N472">
        <v>1482127200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 s="8">
        <f t="shared" si="29"/>
        <v>41031.208333333336</v>
      </c>
      <c r="N473">
        <v>1335934800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39.234070221066318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 s="8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178.14000000000001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 s="8">
        <f t="shared" si="29"/>
        <v>43277.208333333328</v>
      </c>
      <c r="N475">
        <v>1530075600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365.15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 s="8">
        <f t="shared" si="29"/>
        <v>41989.25</v>
      </c>
      <c r="N476">
        <v>1418796000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113.94594594594594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 s="8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29.828720626631856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 s="8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54.270588235294113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 s="8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236.34156976744185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 s="8">
        <f t="shared" si="29"/>
        <v>42072.208333333328</v>
      </c>
      <c r="N480">
        <v>1426914000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512.91666666666663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 s="8">
        <f t="shared" si="29"/>
        <v>42945.208333333328</v>
      </c>
      <c r="N481">
        <v>1501477200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100.65116279069768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 s="8">
        <f t="shared" si="29"/>
        <v>40248.25</v>
      </c>
      <c r="N482">
        <v>1269061200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81.348423194303152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 s="8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16.404761904761905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 s="8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52.774617067833695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 s="8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260.20608108108109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 s="8">
        <f t="shared" si="29"/>
        <v>41855.208333333336</v>
      </c>
      <c r="N486">
        <v>1411362000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30.73289183222958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 s="8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13.5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 s="8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178.62556663644605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 s="8">
        <f t="shared" si="29"/>
        <v>42845.208333333328</v>
      </c>
      <c r="N489">
        <v>1495515600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220.0566037735849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 s="8">
        <f t="shared" si="29"/>
        <v>42403.25</v>
      </c>
      <c r="N490">
        <v>1455948000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101.5108695652174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 s="8">
        <f t="shared" si="29"/>
        <v>40406.208333333336</v>
      </c>
      <c r="N491">
        <v>1282366800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191.5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 s="8">
        <f t="shared" si="29"/>
        <v>43786.25</v>
      </c>
      <c r="N492">
        <v>1574575200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305.34683098591546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 s="8">
        <f t="shared" si="29"/>
        <v>41456.208333333336</v>
      </c>
      <c r="N493">
        <v>1374901200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23.995287958115181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 s="8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723.77777777777771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 s="8">
        <f t="shared" si="29"/>
        <v>43645.208333333328</v>
      </c>
      <c r="N495">
        <v>1562907600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547.36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 s="8">
        <f t="shared" si="29"/>
        <v>40990.208333333336</v>
      </c>
      <c r="N496">
        <v>1332478800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414.49999999999994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 s="8">
        <f t="shared" si="29"/>
        <v>41800.208333333336</v>
      </c>
      <c r="N497">
        <v>1402722000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0.90696409140369971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 s="8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34.173469387755098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 s="8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23.948810754912099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 s="8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48.072649572649574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 s="8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5">
        <f t="shared" si="28"/>
        <v>0</v>
      </c>
      <c r="J502" t="s">
        <v>21</v>
      </c>
      <c r="K502" t="s">
        <v>22</v>
      </c>
      <c r="L502">
        <v>1367384400</v>
      </c>
      <c r="M502" s="8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70.145182291666657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 s="8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529.92307692307691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 s="8">
        <f t="shared" si="29"/>
        <v>41117.208333333336</v>
      </c>
      <c r="N504">
        <v>1345870800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180.32549019607845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 s="8">
        <f t="shared" si="29"/>
        <v>42186.208333333328</v>
      </c>
      <c r="N505">
        <v>1437454800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92.320000000000007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 s="8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13.901001112347053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 s="8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927.07777777777767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 s="8">
        <f t="shared" si="29"/>
        <v>43062.25</v>
      </c>
      <c r="N508">
        <v>1512885600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39.857142857142861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 s="8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112.22929936305732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 s="8">
        <f t="shared" si="29"/>
        <v>43310.208333333328</v>
      </c>
      <c r="N510">
        <v>1534654800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70.925816023738875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 s="8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119.08974358974358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 s="8">
        <f t="shared" si="29"/>
        <v>43251.208333333328</v>
      </c>
      <c r="N512">
        <v>1529816400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24.017591339648174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 s="8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139.31868131868131</v>
      </c>
      <c r="G514" t="s">
        <v>20</v>
      </c>
      <c r="H514">
        <v>239</v>
      </c>
      <c r="I514" s="5">
        <f t="shared" si="28"/>
        <v>53.046025104602514</v>
      </c>
      <c r="J514" t="s">
        <v>21</v>
      </c>
      <c r="K514" t="s">
        <v>22</v>
      </c>
      <c r="L514">
        <v>1404536400</v>
      </c>
      <c r="M514" s="8">
        <f t="shared" si="29"/>
        <v>41825.208333333336</v>
      </c>
      <c r="N514">
        <v>1404622800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39.277108433734945</v>
      </c>
      <c r="G515" t="s">
        <v>74</v>
      </c>
      <c r="H515">
        <v>35</v>
      </c>
      <c r="I515" s="5">
        <f t="shared" ref="I515:I578" si="32">IFERROR(E515/H515,0)</f>
        <v>93.142857142857139</v>
      </c>
      <c r="J515" t="s">
        <v>21</v>
      </c>
      <c r="K515" t="s">
        <v>22</v>
      </c>
      <c r="L515">
        <v>1284008400</v>
      </c>
      <c r="M515" s="8">
        <f t="shared" ref="M515:M578" si="33">(((L515/60)/60)/24)+DATE(1970,1,1)</f>
        <v>40430.208333333336</v>
      </c>
      <c r="N515">
        <v>1284181200</v>
      </c>
      <c r="O515" s="8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35">E516/D516*(100)</f>
        <v>22.439077144917089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 s="8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5"/>
        <v>55.779069767441861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 s="8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5"/>
        <v>42.523125996810208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 s="8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112.00000000000001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 s="8">
        <f t="shared" si="33"/>
        <v>42860.208333333328</v>
      </c>
      <c r="N519">
        <v>1494392400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7.0681818181818183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 s="8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101.74563871693867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 s="8">
        <f t="shared" si="33"/>
        <v>42012.25</v>
      </c>
      <c r="N521">
        <v>1421906400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425.75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 s="8">
        <f t="shared" si="33"/>
        <v>43574.208333333328</v>
      </c>
      <c r="N522">
        <v>1555909200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145.53947368421052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 s="8">
        <f t="shared" si="33"/>
        <v>42605.208333333328</v>
      </c>
      <c r="N523">
        <v>1472446800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32.453465346534657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 s="8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700.33333333333326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 s="8">
        <f t="shared" si="33"/>
        <v>40241.25</v>
      </c>
      <c r="N525">
        <v>1268114400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83.904860392967933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 s="8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84.19047619047619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 s="8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155.95180722891567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 s="8">
        <f t="shared" si="33"/>
        <v>42364.25</v>
      </c>
      <c r="N528">
        <v>1454306400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99.619450317124731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 s="8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80.300000000000011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 s="8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11.254901960784313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 s="8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91.740952380952379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 s="8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95.521156936261391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 s="8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502.87499999999994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 s="8">
        <f t="shared" si="33"/>
        <v>43125.25</v>
      </c>
      <c r="N534">
        <v>1516946400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159.24394463667818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 s="8">
        <f t="shared" si="33"/>
        <v>41479.208333333336</v>
      </c>
      <c r="N535">
        <v>1377752400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15.022446689113355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 s="8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482.03846153846149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 s="8">
        <f t="shared" si="33"/>
        <v>43259.208333333328</v>
      </c>
      <c r="N537">
        <v>1528606800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149.96938775510205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 s="8">
        <f t="shared" si="33"/>
        <v>40414.208333333336</v>
      </c>
      <c r="N538">
        <v>1284872400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117.22156398104266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 s="8">
        <f t="shared" si="33"/>
        <v>43342.208333333328</v>
      </c>
      <c r="N539">
        <v>1537592400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37.695968274950431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 s="8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72.653061224489804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 s="8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265.98113207547169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 s="8">
        <f t="shared" si="33"/>
        <v>43225.208333333328</v>
      </c>
      <c r="N542">
        <v>1527397200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24.205617977528089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 s="8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2.5064935064935066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 s="8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16.329799764428738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 s="8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276.5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 s="8">
        <f t="shared" si="33"/>
        <v>42377.25</v>
      </c>
      <c r="N546">
        <v>1453356000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88.803571428571431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 s="8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163.57142857142856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 s="8">
        <f t="shared" si="33"/>
        <v>43360.208333333328</v>
      </c>
      <c r="N548">
        <v>1537419600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 s="8">
        <f t="shared" si="33"/>
        <v>42029.25</v>
      </c>
      <c r="N549">
        <v>1423202400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270.91376701966715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 s="8">
        <f t="shared" si="33"/>
        <v>42461.208333333328</v>
      </c>
      <c r="N550">
        <v>1460610000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284.21355932203392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 s="8">
        <f t="shared" si="33"/>
        <v>41422.208333333336</v>
      </c>
      <c r="N551">
        <v>1370494800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 s="8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58.6329816768462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 s="8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98.51111111111112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 s="8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43.975381008206334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 s="8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151.66315789473683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 s="8">
        <f t="shared" si="33"/>
        <v>42723.25</v>
      </c>
      <c r="N556">
        <v>1482645600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223.63492063492063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 s="8">
        <f t="shared" si="33"/>
        <v>41731.208333333336</v>
      </c>
      <c r="N557">
        <v>1399093200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239.75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 s="8">
        <f t="shared" si="33"/>
        <v>40792.208333333336</v>
      </c>
      <c r="N558">
        <v>1315890000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199.33333333333334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 s="8">
        <f t="shared" si="33"/>
        <v>42279.208333333328</v>
      </c>
      <c r="N559">
        <v>1444021200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137.34482758620689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 s="8">
        <f t="shared" si="33"/>
        <v>42424.25</v>
      </c>
      <c r="N560">
        <v>1460005200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100.9696106362773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 s="8">
        <f t="shared" si="33"/>
        <v>42584.208333333328</v>
      </c>
      <c r="N561">
        <v>1470718800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794.16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 s="8">
        <f t="shared" si="33"/>
        <v>40865.25</v>
      </c>
      <c r="N562">
        <v>1325052000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369.7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 s="8">
        <f t="shared" si="33"/>
        <v>40833.208333333336</v>
      </c>
      <c r="N563">
        <v>1319000400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12.818181818181817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 s="8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138.02702702702703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 s="8">
        <f t="shared" si="33"/>
        <v>43417.25</v>
      </c>
      <c r="N565">
        <v>1543816800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83.813278008298752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 s="8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204.60063224446787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 s="8">
        <f t="shared" si="33"/>
        <v>40862.25</v>
      </c>
      <c r="N567">
        <v>1323064800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44.344086021505376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 s="8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218.60294117647058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 s="8">
        <f t="shared" si="33"/>
        <v>41830.208333333336</v>
      </c>
      <c r="N569">
        <v>1405141200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186.03314917127071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 s="8">
        <f t="shared" si="33"/>
        <v>40374.208333333336</v>
      </c>
      <c r="N570">
        <v>1283058000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237.33830845771143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 s="8">
        <f t="shared" si="33"/>
        <v>40554.25</v>
      </c>
      <c r="N571">
        <v>1295762400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305.65384615384613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 s="8">
        <f t="shared" si="33"/>
        <v>41993.25</v>
      </c>
      <c r="N572">
        <v>1419573600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94.142857142857139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 s="8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54.400000000000006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 s="8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111.88059701492537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 s="8">
        <f t="shared" si="33"/>
        <v>41761.208333333336</v>
      </c>
      <c r="N575">
        <v>1399179600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369.14814814814815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 s="8">
        <f t="shared" si="33"/>
        <v>43806.25</v>
      </c>
      <c r="N576">
        <v>1576562400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62.930372148859547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 s="8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64.927835051546396</v>
      </c>
      <c r="G578" t="s">
        <v>14</v>
      </c>
      <c r="H578">
        <v>64</v>
      </c>
      <c r="I578" s="5">
        <f t="shared" si="32"/>
        <v>98.40625</v>
      </c>
      <c r="J578" t="s">
        <v>21</v>
      </c>
      <c r="K578" t="s">
        <v>22</v>
      </c>
      <c r="L578">
        <v>1509512400</v>
      </c>
      <c r="M578" s="8">
        <f t="shared" si="33"/>
        <v>43040.208333333328</v>
      </c>
      <c r="N578">
        <v>1510984800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18.853658536585368</v>
      </c>
      <c r="G579" t="s">
        <v>74</v>
      </c>
      <c r="H579">
        <v>37</v>
      </c>
      <c r="I579" s="5">
        <f t="shared" ref="I579:I642" si="36">IFERROR(E579/H579,0)</f>
        <v>41.783783783783782</v>
      </c>
      <c r="J579" t="s">
        <v>21</v>
      </c>
      <c r="K579" t="s">
        <v>22</v>
      </c>
      <c r="L579">
        <v>1299823200</v>
      </c>
      <c r="M579" s="8">
        <f t="shared" ref="M579:M642" si="37">(((L579/60)/60)/24)+DATE(1970,1,1)</f>
        <v>40613.25</v>
      </c>
      <c r="N579">
        <v>1302066000</v>
      </c>
      <c r="O579" s="8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39">E580/D580*(100)</f>
        <v>16.754404145077721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 s="8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9"/>
        <v>101.11290322580646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 s="8">
        <f t="shared" si="37"/>
        <v>40762.208333333336</v>
      </c>
      <c r="N581">
        <v>1313730000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9"/>
        <v>341.5022831050228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 s="8">
        <f t="shared" si="37"/>
        <v>41696.25</v>
      </c>
      <c r="N582">
        <v>1394085600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64.016666666666666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 s="8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52.080459770114942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 s="8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322.40211640211641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 s="8">
        <f t="shared" si="37"/>
        <v>40959.25</v>
      </c>
      <c r="N585">
        <v>1331186400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119.50810185185186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 s="8">
        <f t="shared" si="37"/>
        <v>41024.208333333336</v>
      </c>
      <c r="N586">
        <v>1336539600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146.79775280898878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 s="8">
        <f t="shared" si="37"/>
        <v>40255.208333333336</v>
      </c>
      <c r="N587">
        <v>1269752400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950.57142857142856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 s="8">
        <f t="shared" si="37"/>
        <v>40499.25</v>
      </c>
      <c r="N588">
        <v>1291615200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72.893617021276597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 s="8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79.008248730964468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 s="8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64.721518987341781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 s="8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82.028169014084511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 s="8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1037.6666666666667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 s="8">
        <f t="shared" si="37"/>
        <v>40373.208333333336</v>
      </c>
      <c r="N593">
        <v>1279947600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12.910076530612244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 s="8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154.84210526315789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 s="8">
        <f t="shared" si="37"/>
        <v>41724.208333333336</v>
      </c>
      <c r="N595">
        <v>1396933200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7.0991735537190088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 s="8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208.52773826458036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 s="8">
        <f t="shared" si="37"/>
        <v>40253.208333333336</v>
      </c>
      <c r="N597">
        <v>1270530000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99.683544303797461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 s="8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201.59756097560978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 s="8">
        <f t="shared" si="37"/>
        <v>43786.25</v>
      </c>
      <c r="N599">
        <v>1575525600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162.09032258064516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 s="8">
        <f t="shared" si="37"/>
        <v>40344.208333333336</v>
      </c>
      <c r="N600">
        <v>1279083600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 s="8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 s="8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206.63492063492063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 s="8">
        <f t="shared" si="37"/>
        <v>41789.208333333336</v>
      </c>
      <c r="N603">
        <v>1402894800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128.23628691983123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 s="8">
        <f t="shared" si="37"/>
        <v>42160.208333333328</v>
      </c>
      <c r="N604">
        <v>1434430800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119.66037735849055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 s="8">
        <f t="shared" si="37"/>
        <v>43573.208333333328</v>
      </c>
      <c r="N605">
        <v>1557896400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170.73055242390078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 s="8">
        <f t="shared" si="37"/>
        <v>40565.25</v>
      </c>
      <c r="N606">
        <v>1297490400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187.21212121212122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 s="8">
        <f t="shared" si="37"/>
        <v>42280.208333333328</v>
      </c>
      <c r="N607">
        <v>1447394400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188.38235294117646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 s="8">
        <f t="shared" si="37"/>
        <v>42436.25</v>
      </c>
      <c r="N608">
        <v>1458277200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131.29869186046511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 s="8">
        <f t="shared" si="37"/>
        <v>41721.208333333336</v>
      </c>
      <c r="N609">
        <v>1395723600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283.97435897435901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 s="8">
        <f t="shared" si="37"/>
        <v>43530.25</v>
      </c>
      <c r="N610">
        <v>1552197600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120.41999999999999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 s="8">
        <f t="shared" si="37"/>
        <v>43481.25</v>
      </c>
      <c r="N611">
        <v>1549087200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419.0560747663551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 s="8">
        <f t="shared" si="37"/>
        <v>41259.25</v>
      </c>
      <c r="N612">
        <v>1356847200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13.853658536585368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 s="8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139.43548387096774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 s="8">
        <f t="shared" si="37"/>
        <v>40474.208333333336</v>
      </c>
      <c r="N614">
        <v>1289800800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 s="8">
        <f t="shared" si="37"/>
        <v>42973.208333333328</v>
      </c>
      <c r="N615">
        <v>1504501200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155.49056603773585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 s="8">
        <f t="shared" si="37"/>
        <v>42746.25</v>
      </c>
      <c r="N616">
        <v>1485669600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170.44705882352943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 s="8">
        <f t="shared" si="37"/>
        <v>42489.208333333328</v>
      </c>
      <c r="N617">
        <v>1462770000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189.515625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 s="8">
        <f t="shared" si="37"/>
        <v>41537.208333333336</v>
      </c>
      <c r="N618">
        <v>1379739600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249.71428571428572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 s="8">
        <f t="shared" si="37"/>
        <v>41794.208333333336</v>
      </c>
      <c r="N619">
        <v>1402722000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48.860523665659613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 s="8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28.461970393057683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 s="8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268.02325581395348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 s="8">
        <f t="shared" si="37"/>
        <v>42559.208333333328</v>
      </c>
      <c r="N622">
        <v>1468299600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619.80078125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 s="8">
        <f t="shared" si="37"/>
        <v>42626.208333333328</v>
      </c>
      <c r="N623">
        <v>1474174800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3.1301587301587301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 s="8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159.92152704135739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 s="8">
        <f t="shared" si="37"/>
        <v>42201.208333333328</v>
      </c>
      <c r="N625">
        <v>1437454800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279.39215686274508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 s="8">
        <f t="shared" si="37"/>
        <v>42029.25</v>
      </c>
      <c r="N626">
        <v>1422684000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77.373333333333335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 s="8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206.32812500000003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 s="8">
        <f t="shared" si="37"/>
        <v>40449.208333333336</v>
      </c>
      <c r="N628">
        <v>1286427600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694.25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 s="8">
        <f t="shared" si="37"/>
        <v>40345.208333333336</v>
      </c>
      <c r="N629">
        <v>1278738000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151.78947368421052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 s="8">
        <f t="shared" si="37"/>
        <v>40455.208333333336</v>
      </c>
      <c r="N630">
        <v>1286427600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64.58207217694995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 s="8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62.873684210526314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 s="8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310.39864864864865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 s="8">
        <f t="shared" si="37"/>
        <v>43550.208333333328</v>
      </c>
      <c r="N633">
        <v>1553922000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42.859916782246884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 s="8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83.119402985074629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 s="8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78.531302876480552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 s="8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114.09352517985612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 s="8">
        <f t="shared" si="37"/>
        <v>41314.25</v>
      </c>
      <c r="N637">
        <v>1363150800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64.537683358624179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 s="8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79.411764705882348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 s="8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11.419117647058824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 s="8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56.186046511627907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 s="8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16.501669449081803</v>
      </c>
      <c r="G642" t="s">
        <v>14</v>
      </c>
      <c r="H642">
        <v>257</v>
      </c>
      <c r="I642" s="5">
        <f t="shared" si="36"/>
        <v>76.922178988326849</v>
      </c>
      <c r="J642" t="s">
        <v>21</v>
      </c>
      <c r="K642" t="s">
        <v>22</v>
      </c>
      <c r="L642">
        <v>1453096800</v>
      </c>
      <c r="M642" s="8">
        <f t="shared" si="37"/>
        <v>42387.25</v>
      </c>
      <c r="N642">
        <v>1453356000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119.96808510638297</v>
      </c>
      <c r="G643" t="s">
        <v>20</v>
      </c>
      <c r="H643">
        <v>194</v>
      </c>
      <c r="I643" s="5">
        <f t="shared" ref="I643:I706" si="40">IFERROR(E643/H643,0)</f>
        <v>58.128865979381445</v>
      </c>
      <c r="J643" t="s">
        <v>98</v>
      </c>
      <c r="K643" t="s">
        <v>99</v>
      </c>
      <c r="L643">
        <v>1487570400</v>
      </c>
      <c r="M643" s="8">
        <f t="shared" ref="M643:M706" si="41">(((L643/60)/60)/24)+DATE(1970,1,1)</f>
        <v>42786.25</v>
      </c>
      <c r="N643">
        <v>1489986000</v>
      </c>
      <c r="O643" s="8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43">E644/D644*(100)</f>
        <v>145.45652173913044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 s="8">
        <f t="shared" si="41"/>
        <v>43451.25</v>
      </c>
      <c r="N644">
        <v>1545804000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3"/>
        <v>221.38255033557047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 s="8">
        <f t="shared" si="41"/>
        <v>42795.25</v>
      </c>
      <c r="N645">
        <v>1489899600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3"/>
        <v>48.396694214876035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 s="8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92.911504424778755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 s="8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88.599797365754824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 s="8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41.4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 s="8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63.056795131845846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 s="8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48.482333607230892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 s="8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 s="8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88.47941026944585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 s="8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126.84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 s="8">
        <f t="shared" si="41"/>
        <v>42587.208333333328</v>
      </c>
      <c r="N654">
        <v>1474088400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2338.833333333333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 s="8">
        <f t="shared" si="41"/>
        <v>42468.208333333328</v>
      </c>
      <c r="N655">
        <v>1460264400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508.38857142857148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 s="8">
        <f t="shared" si="41"/>
        <v>42240.208333333328</v>
      </c>
      <c r="N656">
        <v>1440824400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191.47826086956522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 s="8">
        <f t="shared" si="41"/>
        <v>42796.25</v>
      </c>
      <c r="N657">
        <v>1489554000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42.127533783783782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 s="8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 s="8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60.064638783269963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 s="8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47.232808616404313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 s="8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81.736263736263737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 s="8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54.187265917603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 s="8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97.868131868131869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 s="8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77.239999999999995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 s="8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33.464735516372798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 s="8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239.58823529411765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 s="8">
        <f t="shared" si="41"/>
        <v>40733.208333333336</v>
      </c>
      <c r="N667">
        <v>1311397200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64.032258064516128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 s="8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176.15942028985506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 s="8">
        <f t="shared" si="41"/>
        <v>41892.208333333336</v>
      </c>
      <c r="N669">
        <v>1411102800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20.33818181818182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 s="8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358.64754098360658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 s="8">
        <f t="shared" si="41"/>
        <v>42912.208333333328</v>
      </c>
      <c r="N671">
        <v>1499230800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468.85802469135803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 s="8">
        <f t="shared" si="41"/>
        <v>42425.25</v>
      </c>
      <c r="N672">
        <v>1457416800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122.05635245901641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 s="8">
        <f t="shared" si="41"/>
        <v>40390.208333333336</v>
      </c>
      <c r="N673">
        <v>1280898000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55.931783729156137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 s="8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43.660714285714285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 s="8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33.53837141183363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 s="8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122.97938144329896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 s="8">
        <f t="shared" si="41"/>
        <v>43719.208333333328</v>
      </c>
      <c r="N677">
        <v>1568782800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189.74959871589084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 s="8">
        <f t="shared" si="41"/>
        <v>41178.208333333336</v>
      </c>
      <c r="N678">
        <v>1349413200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83.622641509433961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 s="8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17.968844221105527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 s="8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1036.5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 s="8">
        <f t="shared" si="41"/>
        <v>43756.208333333328</v>
      </c>
      <c r="N681">
        <v>1571806800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97.405219780219781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 s="8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86.386203150461711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 s="8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150.16666666666666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 s="8">
        <f t="shared" si="41"/>
        <v>41619.25</v>
      </c>
      <c r="N684">
        <v>1387519200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358.43478260869563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 s="8">
        <f t="shared" si="41"/>
        <v>43359.208333333328</v>
      </c>
      <c r="N685">
        <v>1537246800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542.85714285714289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 s="8">
        <f t="shared" si="41"/>
        <v>40358.208333333336</v>
      </c>
      <c r="N686">
        <v>1279515600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67.500714285714281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 s="8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191.74666666666667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 s="8">
        <f t="shared" si="41"/>
        <v>43186.208333333328</v>
      </c>
      <c r="N688">
        <v>1523077200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 s="8">
        <f t="shared" si="41"/>
        <v>42806.25</v>
      </c>
      <c r="N689">
        <v>1489554000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429.27586206896552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 s="8">
        <f t="shared" si="41"/>
        <v>43475.25</v>
      </c>
      <c r="N690">
        <v>1548482400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100.65753424657535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 s="8">
        <f t="shared" si="41"/>
        <v>41576.208333333336</v>
      </c>
      <c r="N691">
        <v>1384063200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226.61111111111109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 s="8">
        <f t="shared" si="41"/>
        <v>40874.25</v>
      </c>
      <c r="N692">
        <v>1322892000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142.38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 s="8">
        <f t="shared" si="41"/>
        <v>41185.208333333336</v>
      </c>
      <c r="N693">
        <v>1350709200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90.633333333333326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 s="8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63.966740576496676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 s="8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84.131868131868131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 s="8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133.93478260869566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 s="8">
        <f t="shared" si="41"/>
        <v>42322.25</v>
      </c>
      <c r="N697">
        <v>1448863200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59.042047531992694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 s="8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152.80062063615205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 s="8">
        <f t="shared" si="41"/>
        <v>43190.208333333328</v>
      </c>
      <c r="N699">
        <v>1522645200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446.69121140142522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 s="8">
        <f t="shared" si="41"/>
        <v>40871.25</v>
      </c>
      <c r="N700">
        <v>1323324000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84.391891891891888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 s="8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 s="8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175.02692307692308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 s="8">
        <f t="shared" si="41"/>
        <v>40629.208333333336</v>
      </c>
      <c r="N703">
        <v>1301806800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54.137931034482754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 s="8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311.87381703470032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 s="8">
        <f t="shared" si="41"/>
        <v>41020.208333333336</v>
      </c>
      <c r="N705">
        <v>1336453200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122.78160919540231</v>
      </c>
      <c r="G706" t="s">
        <v>20</v>
      </c>
      <c r="H706">
        <v>116</v>
      </c>
      <c r="I706" s="5">
        <f t="shared" si="40"/>
        <v>92.08620689655173</v>
      </c>
      <c r="J706" t="s">
        <v>21</v>
      </c>
      <c r="K706" t="s">
        <v>22</v>
      </c>
      <c r="L706">
        <v>1467608400</v>
      </c>
      <c r="M706" s="8">
        <f t="shared" si="41"/>
        <v>42555.208333333328</v>
      </c>
      <c r="N706">
        <v>1468904400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99.026517383618156</v>
      </c>
      <c r="G707" t="s">
        <v>14</v>
      </c>
      <c r="H707">
        <v>2025</v>
      </c>
      <c r="I707" s="5">
        <f t="shared" ref="I707:I770" si="44">IFERROR(E707/H707,0)</f>
        <v>82.986666666666665</v>
      </c>
      <c r="J707" t="s">
        <v>40</v>
      </c>
      <c r="K707" t="s">
        <v>41</v>
      </c>
      <c r="L707">
        <v>1386741600</v>
      </c>
      <c r="M707" s="8">
        <f t="shared" ref="M707:M770" si="45">(((L707/60)/60)/24)+DATE(1970,1,1)</f>
        <v>41619.25</v>
      </c>
      <c r="N707">
        <v>1387087200</v>
      </c>
      <c r="O707" s="8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47">E708/D708*(100)</f>
        <v>127.84686346863469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 s="8">
        <f t="shared" si="45"/>
        <v>43471.25</v>
      </c>
      <c r="N708">
        <v>1547445600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7"/>
        <v>158.61643835616439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 s="8">
        <f t="shared" si="45"/>
        <v>43442.25</v>
      </c>
      <c r="N709">
        <v>1547359200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7"/>
        <v>707.05882352941171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 s="8">
        <f t="shared" si="45"/>
        <v>42877.208333333328</v>
      </c>
      <c r="N710">
        <v>1496293200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142.38775510204081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 s="8">
        <f t="shared" si="45"/>
        <v>41018.208333333336</v>
      </c>
      <c r="N711">
        <v>1335416400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147.86046511627907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 s="8">
        <f t="shared" si="45"/>
        <v>43295.208333333328</v>
      </c>
      <c r="N712">
        <v>1532149200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20.322580645161288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 s="8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1840.625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 s="8">
        <f t="shared" si="45"/>
        <v>42559.208333333328</v>
      </c>
      <c r="N714">
        <v>1471496400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161.94202898550725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 s="8">
        <f t="shared" si="45"/>
        <v>42604.208333333328</v>
      </c>
      <c r="N715">
        <v>1472878800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472.82077922077923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 s="8">
        <f t="shared" si="45"/>
        <v>41870.208333333336</v>
      </c>
      <c r="N716">
        <v>1408510800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24.466101694915253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 s="8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517.65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 s="8">
        <f t="shared" si="45"/>
        <v>41465.208333333336</v>
      </c>
      <c r="N718">
        <v>1375851600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247.64285714285714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 s="8">
        <f t="shared" si="45"/>
        <v>40777.208333333336</v>
      </c>
      <c r="N719">
        <v>1315803600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100.20481927710843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 s="8">
        <f t="shared" si="45"/>
        <v>41442.208333333336</v>
      </c>
      <c r="N720">
        <v>1373691600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 s="8">
        <f t="shared" si="45"/>
        <v>41058.208333333336</v>
      </c>
      <c r="N721">
        <v>1339218000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37.091954022988503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 s="8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4.392394822006473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 s="8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156.50721649484535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 s="8">
        <f t="shared" si="45"/>
        <v>43045.25</v>
      </c>
      <c r="N724">
        <v>1512280800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270.40816326530609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 s="8">
        <f t="shared" si="45"/>
        <v>42431.25</v>
      </c>
      <c r="N725">
        <v>1458709200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134.05952380952382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 s="8">
        <f t="shared" si="45"/>
        <v>41934.208333333336</v>
      </c>
      <c r="N726">
        <v>1414126800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50.398033126293996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 s="8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88.815837937384899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 s="8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 s="8">
        <f t="shared" si="45"/>
        <v>43485.25</v>
      </c>
      <c r="N729">
        <v>1552971600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17.5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 s="8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185.66071428571428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 s="8">
        <f t="shared" si="45"/>
        <v>41309.25</v>
      </c>
      <c r="N731">
        <v>1360130400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412.6631944444444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 s="8">
        <f t="shared" si="45"/>
        <v>42147.208333333328</v>
      </c>
      <c r="N732">
        <v>1432875600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90.25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 s="8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91.984615384615381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 s="8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527.00632911392404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 s="8">
        <f t="shared" si="45"/>
        <v>41844.208333333336</v>
      </c>
      <c r="N735">
        <v>1407301200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319.14285714285711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 s="8">
        <f t="shared" si="45"/>
        <v>42763.25</v>
      </c>
      <c r="N736">
        <v>1486620000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354.18867924528303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 s="8">
        <f t="shared" si="45"/>
        <v>42459.208333333328</v>
      </c>
      <c r="N737">
        <v>1459918800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32.896103896103895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 s="8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135.8918918918919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 s="8">
        <f t="shared" si="45"/>
        <v>42685.25</v>
      </c>
      <c r="N739">
        <v>1479880800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2.0843373493975905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 s="8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 s="8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30.037735849056602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 s="8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1179.1666666666665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 s="8">
        <f t="shared" si="45"/>
        <v>40321.208333333336</v>
      </c>
      <c r="N743">
        <v>1274677200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1126.0833333333335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 s="8">
        <f t="shared" si="45"/>
        <v>40197.25</v>
      </c>
      <c r="N744">
        <v>1267509600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12.923076923076923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 s="8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 s="8">
        <f t="shared" si="45"/>
        <v>43322.208333333328</v>
      </c>
      <c r="N746">
        <v>1534050000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30.304347826086957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 s="8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212.50896057347671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 s="8">
        <f t="shared" si="45"/>
        <v>40825.208333333336</v>
      </c>
      <c r="N748">
        <v>1318568400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228.85714285714286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 s="8">
        <f t="shared" si="45"/>
        <v>40423.208333333336</v>
      </c>
      <c r="N749">
        <v>1284354000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34.959979476654695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 s="8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157.29069767441862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 s="8">
        <f t="shared" si="45"/>
        <v>41920.208333333336</v>
      </c>
      <c r="N751">
        <v>1413781200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 s="8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232.30555555555554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 s="8">
        <f t="shared" si="45"/>
        <v>42446.208333333328</v>
      </c>
      <c r="N753">
        <v>1459486800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92.448275862068968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 s="8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256.70212765957444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 s="8">
        <f t="shared" si="45"/>
        <v>40321.208333333336</v>
      </c>
      <c r="N755">
        <v>1275886800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168.47017045454547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 s="8">
        <f t="shared" si="45"/>
        <v>41210.208333333336</v>
      </c>
      <c r="N756">
        <v>1355983200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166.57777777777778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 s="8">
        <f t="shared" si="45"/>
        <v>43096.25</v>
      </c>
      <c r="N757">
        <v>1515391200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772.07692307692309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 s="8">
        <f t="shared" si="45"/>
        <v>42024.25</v>
      </c>
      <c r="N758">
        <v>1422252000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406.85714285714283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 s="8">
        <f t="shared" si="45"/>
        <v>40675.208333333336</v>
      </c>
      <c r="N759">
        <v>1305522000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564.20608108108115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 s="8">
        <f t="shared" si="45"/>
        <v>41936.208333333336</v>
      </c>
      <c r="N760">
        <v>1414904400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68.426865671641792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 s="8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34.351966873706004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 s="8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655.4545454545455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 s="8">
        <f t="shared" si="45"/>
        <v>42938.208333333328</v>
      </c>
      <c r="N763">
        <v>1501131600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177.25714285714284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 s="8">
        <f t="shared" si="45"/>
        <v>41241.25</v>
      </c>
      <c r="N764">
        <v>1355032800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113.17857142857144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 s="8">
        <f t="shared" si="45"/>
        <v>41037.208333333336</v>
      </c>
      <c r="N765">
        <v>1339477200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728.18181818181824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 s="8">
        <f t="shared" si="45"/>
        <v>40676.208333333336</v>
      </c>
      <c r="N766">
        <v>1305954000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208.33333333333334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 s="8">
        <f t="shared" si="45"/>
        <v>42840.208333333328</v>
      </c>
      <c r="N767">
        <v>1494392400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31.171232876712331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 s="8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56.967078189300416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 s="8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231</v>
      </c>
      <c r="G770" t="s">
        <v>20</v>
      </c>
      <c r="H770">
        <v>150</v>
      </c>
      <c r="I770" s="5">
        <f t="shared" si="44"/>
        <v>73.92</v>
      </c>
      <c r="J770" t="s">
        <v>21</v>
      </c>
      <c r="K770" t="s">
        <v>22</v>
      </c>
      <c r="L770">
        <v>1386741600</v>
      </c>
      <c r="M770" s="8">
        <f t="shared" si="45"/>
        <v>41619.25</v>
      </c>
      <c r="N770">
        <v>1388037600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86.867834394904463</v>
      </c>
      <c r="G771" t="s">
        <v>14</v>
      </c>
      <c r="H771">
        <v>3410</v>
      </c>
      <c r="I771" s="5">
        <f t="shared" ref="I771:I834" si="48">IFERROR(E771/H771,0)</f>
        <v>31.995894428152493</v>
      </c>
      <c r="J771" t="s">
        <v>21</v>
      </c>
      <c r="K771" t="s">
        <v>22</v>
      </c>
      <c r="L771">
        <v>1376542800</v>
      </c>
      <c r="M771" s="8">
        <f t="shared" ref="M771:M834" si="49">(((L771/60)/60)/24)+DATE(1970,1,1)</f>
        <v>41501.208333333336</v>
      </c>
      <c r="N771">
        <v>1378789200</v>
      </c>
      <c r="O771" s="8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51">E772/D772*(100)</f>
        <v>270.74418604651163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 s="8">
        <f t="shared" si="49"/>
        <v>41743.208333333336</v>
      </c>
      <c r="N772">
        <v>1398056400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1"/>
        <v>49.446428571428569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 s="8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1"/>
        <v>113.3596256684492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 s="8">
        <f t="shared" si="49"/>
        <v>43505.25</v>
      </c>
      <c r="N774">
        <v>1550037600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190.55555555555554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 s="8">
        <f t="shared" si="49"/>
        <v>42838.208333333328</v>
      </c>
      <c r="N775">
        <v>1492923600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135.5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 s="8">
        <f t="shared" si="49"/>
        <v>42513.208333333328</v>
      </c>
      <c r="N776">
        <v>1467522000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10.297872340425531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 s="8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65.544223826714799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 s="8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49.026652452025587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 s="8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787.92307692307691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 s="8">
        <f t="shared" si="49"/>
        <v>40768.208333333336</v>
      </c>
      <c r="N780">
        <v>1313643600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80.306347746090154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 s="8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106.29411764705883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 s="8">
        <f t="shared" si="49"/>
        <v>42573.208333333328</v>
      </c>
      <c r="N782">
        <v>1470805200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50.735632183908038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 s="8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215.31372549019611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 s="8">
        <f t="shared" si="49"/>
        <v>40603.25</v>
      </c>
      <c r="N784">
        <v>1301374800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141.22972972972974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 s="8">
        <f t="shared" si="49"/>
        <v>41625.25</v>
      </c>
      <c r="N785">
        <v>1387864800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115.33745781777279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 s="8">
        <f t="shared" si="49"/>
        <v>42435.25</v>
      </c>
      <c r="N786">
        <v>1458190800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193.11940298507463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 s="8">
        <f t="shared" si="49"/>
        <v>43582.208333333328</v>
      </c>
      <c r="N787">
        <v>1559278800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729.73333333333335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 s="8">
        <f t="shared" si="49"/>
        <v>43186.208333333328</v>
      </c>
      <c r="N788">
        <v>1522731600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99.66339869281046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 s="8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88.166666666666671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 s="8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37.233333333333334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 s="8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30.540075309306079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 s="8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25.714285714285712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 s="8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 s="8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1185.909090909091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 s="8">
        <f t="shared" si="49"/>
        <v>41450.208333333336</v>
      </c>
      <c r="N795">
        <v>1372482000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125.39393939393939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 s="8">
        <f t="shared" si="49"/>
        <v>43091.25</v>
      </c>
      <c r="N796">
        <v>1514959200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14.394366197183098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 s="8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54.807692307692314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 s="8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109.63157894736841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 s="8">
        <f t="shared" si="49"/>
        <v>43464.25</v>
      </c>
      <c r="N799">
        <v>1548136800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188.47058823529412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 s="8">
        <f t="shared" si="49"/>
        <v>41060.208333333336</v>
      </c>
      <c r="N800">
        <v>1340859600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87.008284023668637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 s="8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 s="8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202.9130434782609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 s="8">
        <f t="shared" si="49"/>
        <v>43830.25</v>
      </c>
      <c r="N803">
        <v>1579672800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197.03225806451613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 s="8">
        <f t="shared" si="49"/>
        <v>43650.208333333328</v>
      </c>
      <c r="N804">
        <v>1562389200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 s="8">
        <f t="shared" si="49"/>
        <v>43492.25</v>
      </c>
      <c r="N805">
        <v>1551506400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268.73076923076923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 s="8">
        <f t="shared" si="49"/>
        <v>43102.25</v>
      </c>
      <c r="N806">
        <v>1516600800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50.845360824742272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 s="8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1180.2857142857142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 s="8">
        <f t="shared" si="49"/>
        <v>40973.25</v>
      </c>
      <c r="N808">
        <v>1332997200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 s="8">
        <f t="shared" si="49"/>
        <v>43753.208333333328</v>
      </c>
      <c r="N809">
        <v>1574920800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30.44230769230769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 s="8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62.880681818181813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 s="8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193.125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 s="8">
        <f t="shared" si="49"/>
        <v>43067.25</v>
      </c>
      <c r="N812">
        <v>1512712800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77.102702702702715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 s="8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225.52763819095478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 s="8">
        <f t="shared" si="49"/>
        <v>43206.208333333328</v>
      </c>
      <c r="N814">
        <v>1524286800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239.40625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 s="8">
        <f t="shared" si="49"/>
        <v>41148.208333333336</v>
      </c>
      <c r="N815">
        <v>1346907600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92.1875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 s="8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130.23333333333335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 s="8">
        <f t="shared" si="49"/>
        <v>43068.25</v>
      </c>
      <c r="N817">
        <v>1514181600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615.21739130434787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 s="8">
        <f t="shared" si="49"/>
        <v>41680.25</v>
      </c>
      <c r="N818">
        <v>1392184800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368.79532163742692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 s="8">
        <f t="shared" si="49"/>
        <v>43589.208333333328</v>
      </c>
      <c r="N819">
        <v>1559365200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1094.8571428571429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 s="8">
        <f t="shared" si="49"/>
        <v>43486.25</v>
      </c>
      <c r="N820">
        <v>1549173600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50.662921348314605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 s="8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800.6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 s="8">
        <f t="shared" si="49"/>
        <v>43310.208333333328</v>
      </c>
      <c r="N822">
        <v>1533963600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291.28571428571428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 s="8">
        <f t="shared" si="49"/>
        <v>42794.25</v>
      </c>
      <c r="N823">
        <v>1489381200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349.9666666666667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 s="8">
        <f t="shared" si="49"/>
        <v>41698.25</v>
      </c>
      <c r="N824">
        <v>1395032400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357.07317073170731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 s="8">
        <f t="shared" si="49"/>
        <v>41892.208333333336</v>
      </c>
      <c r="N825">
        <v>1412485200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126.48941176470588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 s="8">
        <f t="shared" si="49"/>
        <v>40348.208333333336</v>
      </c>
      <c r="N826">
        <v>1279688400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387.5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 s="8">
        <f t="shared" si="49"/>
        <v>42941.208333333328</v>
      </c>
      <c r="N827">
        <v>1501995600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457.03571428571428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 s="8">
        <f t="shared" si="49"/>
        <v>40525.25</v>
      </c>
      <c r="N828">
        <v>1294639200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266.69565217391306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 s="8">
        <f t="shared" si="49"/>
        <v>40666.208333333336</v>
      </c>
      <c r="N829">
        <v>1305435600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 s="8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51.34375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 s="8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 s="8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108.97734294541709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 s="8">
        <f t="shared" si="49"/>
        <v>40994.208333333336</v>
      </c>
      <c r="N833">
        <v>1335675600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315.17592592592592</v>
      </c>
      <c r="G834" t="s">
        <v>20</v>
      </c>
      <c r="H834">
        <v>1297</v>
      </c>
      <c r="I834" s="5">
        <f t="shared" si="48"/>
        <v>104.97764070932922</v>
      </c>
      <c r="J834" t="s">
        <v>36</v>
      </c>
      <c r="K834" t="s">
        <v>37</v>
      </c>
      <c r="L834">
        <v>1445490000</v>
      </c>
      <c r="M834" s="8">
        <f t="shared" si="49"/>
        <v>42299.208333333328</v>
      </c>
      <c r="N834">
        <v>1448431200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157.69117647058823</v>
      </c>
      <c r="G835" t="s">
        <v>20</v>
      </c>
      <c r="H835">
        <v>165</v>
      </c>
      <c r="I835" s="5">
        <f t="shared" ref="I835:I898" si="52">IFERROR(E835/H835,0)</f>
        <v>64.987878787878785</v>
      </c>
      <c r="J835" t="s">
        <v>36</v>
      </c>
      <c r="K835" t="s">
        <v>37</v>
      </c>
      <c r="L835">
        <v>1297663200</v>
      </c>
      <c r="M835" s="8">
        <f t="shared" ref="M835:M898" si="53">(((L835/60)/60)/24)+DATE(1970,1,1)</f>
        <v>40588.25</v>
      </c>
      <c r="N835">
        <v>1298613600</v>
      </c>
      <c r="O835" s="8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55">E836/D836*(100)</f>
        <v>153.8082191780822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 s="8">
        <f t="shared" si="53"/>
        <v>41448.208333333336</v>
      </c>
      <c r="N836">
        <v>1372482000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5"/>
        <v>89.738979118329468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 s="8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5"/>
        <v>75.135802469135797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 s="8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852.88135593220341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 s="8">
        <f t="shared" si="53"/>
        <v>40629.208333333336</v>
      </c>
      <c r="N839">
        <v>1305867600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138.90625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 s="8">
        <f t="shared" si="53"/>
        <v>43370.208333333328</v>
      </c>
      <c r="N840">
        <v>1538802000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190.18181818181819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 s="8">
        <f t="shared" si="53"/>
        <v>41715.208333333336</v>
      </c>
      <c r="N841">
        <v>1398920400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100.24333619948409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 s="8">
        <f t="shared" si="53"/>
        <v>41836.208333333336</v>
      </c>
      <c r="N842">
        <v>1405659600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142.75824175824175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 s="8">
        <f t="shared" si="53"/>
        <v>42419.25</v>
      </c>
      <c r="N843">
        <v>1457244000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563.13333333333333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 s="8">
        <f t="shared" si="53"/>
        <v>43266.208333333328</v>
      </c>
      <c r="N844">
        <v>1529298000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30.715909090909086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 s="8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99.39772727272728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 s="8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197.54935622317598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 s="8">
        <f t="shared" si="53"/>
        <v>43235.208333333328</v>
      </c>
      <c r="N847">
        <v>1529557200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508.5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 s="8">
        <f t="shared" si="53"/>
        <v>43302.208333333328</v>
      </c>
      <c r="N848">
        <v>1535259600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237.74468085106383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 s="8">
        <f t="shared" si="53"/>
        <v>43107.25</v>
      </c>
      <c r="N849">
        <v>1515564000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338.46875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 s="8">
        <f t="shared" si="53"/>
        <v>40341.208333333336</v>
      </c>
      <c r="N850">
        <v>1277096400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133.08955223880596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 s="8">
        <f t="shared" si="53"/>
        <v>40948.25</v>
      </c>
      <c r="N851">
        <v>1329026400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 s="8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207.79999999999998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 s="8">
        <f t="shared" si="53"/>
        <v>41031.208333333336</v>
      </c>
      <c r="N853">
        <v>1338786000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51.122448979591837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 s="8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652.05847953216369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 s="8">
        <f t="shared" si="53"/>
        <v>40714.208333333336</v>
      </c>
      <c r="N855">
        <v>1308978000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113.63099415204678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 s="8">
        <f t="shared" si="53"/>
        <v>43787.25</v>
      </c>
      <c r="N856">
        <v>1576389600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102.37606837606839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 s="8">
        <f t="shared" si="53"/>
        <v>40712.208333333336</v>
      </c>
      <c r="N857">
        <v>1311051600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356.58333333333331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 s="8">
        <f t="shared" si="53"/>
        <v>41023.208333333336</v>
      </c>
      <c r="N858">
        <v>1336712400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139.86792452830187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 s="8">
        <f t="shared" si="53"/>
        <v>40944.25</v>
      </c>
      <c r="N859">
        <v>1330408800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69.45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 s="8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35.534246575342465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 s="8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251.65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 s="8">
        <f t="shared" si="53"/>
        <v>43515.25</v>
      </c>
      <c r="N862">
        <v>1551420000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105.87500000000001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 s="8">
        <f t="shared" si="53"/>
        <v>40258.208333333336</v>
      </c>
      <c r="N863">
        <v>1269838800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187.42857142857144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 s="8">
        <f t="shared" si="53"/>
        <v>40756.208333333336</v>
      </c>
      <c r="N864">
        <v>1312520400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386.78571428571428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 s="8">
        <f t="shared" si="53"/>
        <v>42172.208333333328</v>
      </c>
      <c r="N865">
        <v>1436504400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347.07142857142856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 s="8">
        <f t="shared" si="53"/>
        <v>42601.208333333328</v>
      </c>
      <c r="N866">
        <v>1472014800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185.82098765432099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 s="8">
        <f t="shared" si="53"/>
        <v>41897.208333333336</v>
      </c>
      <c r="N867">
        <v>1411534800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43.241247264770237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 s="8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162.4375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 s="8">
        <f t="shared" si="53"/>
        <v>43382.208333333328</v>
      </c>
      <c r="N869">
        <v>1539579600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184.84285714285716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 s="8">
        <f t="shared" si="53"/>
        <v>41559.208333333336</v>
      </c>
      <c r="N870">
        <v>1382504400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23.703520691785052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 s="8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89.870129870129873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 s="8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272.6041958041958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 s="8">
        <f t="shared" si="53"/>
        <v>43040.208333333328</v>
      </c>
      <c r="N873">
        <v>1511071200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170.04255319148936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 s="8">
        <f t="shared" si="53"/>
        <v>43346.208333333328</v>
      </c>
      <c r="N874">
        <v>1536382800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188.28503562945369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 s="8">
        <f t="shared" si="53"/>
        <v>41647.25</v>
      </c>
      <c r="N875">
        <v>1389592800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346.93532338308455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 s="8">
        <f t="shared" si="53"/>
        <v>40291.208333333336</v>
      </c>
      <c r="N876">
        <v>1275282000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69.177215189873422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 s="8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25.433734939759034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 s="8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77.400977995110026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 s="8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37.481481481481481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 s="8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543.79999999999995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 s="8">
        <f t="shared" si="53"/>
        <v>42788.25</v>
      </c>
      <c r="N881">
        <v>1488520800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228.52189349112427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 s="8">
        <f t="shared" si="53"/>
        <v>43667.208333333328</v>
      </c>
      <c r="N882">
        <v>1563858000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38.948339483394832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 s="8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370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 s="8">
        <f t="shared" si="53"/>
        <v>42025.25</v>
      </c>
      <c r="N884">
        <v>1422165600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237.91176470588232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 s="8">
        <f t="shared" si="53"/>
        <v>40323.208333333336</v>
      </c>
      <c r="N885">
        <v>1277874000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64.036299765807954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 s="8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118.27777777777777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 s="8">
        <f t="shared" si="53"/>
        <v>40335.208333333336</v>
      </c>
      <c r="N887">
        <v>1279083600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84.824037184594957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 s="8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29.346153846153843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 s="8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209.89655172413794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 s="8">
        <f t="shared" si="53"/>
        <v>42836.208333333328</v>
      </c>
      <c r="N890">
        <v>1493528400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169.78571428571431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 s="8">
        <f t="shared" si="53"/>
        <v>41710.208333333336</v>
      </c>
      <c r="N891">
        <v>1395205200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115.95907738095239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 s="8">
        <f t="shared" si="53"/>
        <v>43640.208333333328</v>
      </c>
      <c r="N892">
        <v>1561438800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258.59999999999997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 s="8">
        <f t="shared" si="53"/>
        <v>40880.25</v>
      </c>
      <c r="N893">
        <v>1326693600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230.58333333333331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 s="8">
        <f t="shared" si="53"/>
        <v>40319.208333333336</v>
      </c>
      <c r="N894">
        <v>1277960400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128.21428571428572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 s="8">
        <f t="shared" si="53"/>
        <v>42170.208333333328</v>
      </c>
      <c r="N895">
        <v>1434690000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188.70588235294116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 s="8">
        <f t="shared" si="53"/>
        <v>41466.208333333336</v>
      </c>
      <c r="N896">
        <v>1376110800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6.9511889862327907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 s="8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774.43434343434342</v>
      </c>
      <c r="G898" t="s">
        <v>20</v>
      </c>
      <c r="H898">
        <v>1460</v>
      </c>
      <c r="I898" s="5">
        <f t="shared" si="52"/>
        <v>105.02602739726028</v>
      </c>
      <c r="J898" t="s">
        <v>26</v>
      </c>
      <c r="K898" t="s">
        <v>27</v>
      </c>
      <c r="L898">
        <v>1310619600</v>
      </c>
      <c r="M898" s="8">
        <f t="shared" si="53"/>
        <v>40738.208333333336</v>
      </c>
      <c r="N898">
        <v>1310878800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27.693181818181817</v>
      </c>
      <c r="G899" t="s">
        <v>14</v>
      </c>
      <c r="H899">
        <v>27</v>
      </c>
      <c r="I899" s="5">
        <f t="shared" ref="I899:I962" si="56">IFERROR(E899/H899,0)</f>
        <v>90.259259259259252</v>
      </c>
      <c r="J899" t="s">
        <v>21</v>
      </c>
      <c r="K899" t="s">
        <v>22</v>
      </c>
      <c r="L899">
        <v>1556427600</v>
      </c>
      <c r="M899" s="8">
        <f t="shared" ref="M899:M962" si="57">(((L899/60)/60)/24)+DATE(1970,1,1)</f>
        <v>43583.208333333328</v>
      </c>
      <c r="N899">
        <v>1556600400</v>
      </c>
      <c r="O899" s="8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59">E900/D900*(100)</f>
        <v>52.479620323841424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 s="8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9"/>
        <v>407.09677419354841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 s="8">
        <f t="shared" si="57"/>
        <v>41554.208333333336</v>
      </c>
      <c r="N901">
        <v>1382677200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9"/>
        <v>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 s="8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156.17857142857144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 s="8">
        <f t="shared" si="57"/>
        <v>43298.208333333328</v>
      </c>
      <c r="N903">
        <v>1534654800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252.42857142857144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 s="8">
        <f t="shared" si="57"/>
        <v>42399.25</v>
      </c>
      <c r="N904">
        <v>1457762400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 s="8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12.230769230769232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 s="8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163.98734177215189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 s="8">
        <f t="shared" si="57"/>
        <v>41536.208333333336</v>
      </c>
      <c r="N907">
        <v>1379826000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162.98181818181817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 s="8">
        <f t="shared" si="57"/>
        <v>42868.208333333328</v>
      </c>
      <c r="N908">
        <v>1497762000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20.252747252747252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 s="8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319.24083769633506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 s="8">
        <f t="shared" si="57"/>
        <v>41031.208333333336</v>
      </c>
      <c r="N910">
        <v>1336885200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478.94444444444446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 s="8">
        <f t="shared" si="57"/>
        <v>43255.208333333328</v>
      </c>
      <c r="N911">
        <v>1530421200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19.556634304207122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 s="8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198.94827586206895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 s="8">
        <f t="shared" si="57"/>
        <v>43717.208333333328</v>
      </c>
      <c r="N913">
        <v>1568178000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 s="8">
        <f t="shared" si="57"/>
        <v>41157.208333333336</v>
      </c>
      <c r="N914">
        <v>1347944400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50.621082621082621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 s="8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57.4375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 s="8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155.62827640984909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 s="8">
        <f t="shared" si="57"/>
        <v>42976.208333333328</v>
      </c>
      <c r="N917">
        <v>1504760400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36.297297297297298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 s="8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58.25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 s="8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237.39473684210526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 s="8">
        <f t="shared" si="57"/>
        <v>41117.208333333336</v>
      </c>
      <c r="N920">
        <v>1344315600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58.75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 s="8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182.56603773584905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 s="8">
        <f t="shared" si="57"/>
        <v>43503.25</v>
      </c>
      <c r="N922">
        <v>1551247200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0.75436408977556113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 s="8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175.95330739299609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 s="8">
        <f t="shared" si="57"/>
        <v>43443.25</v>
      </c>
      <c r="N924">
        <v>1545112800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237.88235294117646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 s="8">
        <f t="shared" si="57"/>
        <v>40373.208333333336</v>
      </c>
      <c r="N925">
        <v>1279170000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488.05076142131981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 s="8">
        <f t="shared" si="57"/>
        <v>43769.208333333328</v>
      </c>
      <c r="N926">
        <v>1573452000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224.06666666666669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 s="8">
        <f t="shared" si="57"/>
        <v>43000.208333333328</v>
      </c>
      <c r="N927">
        <v>1507093200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18.126436781609197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 s="8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45.847222222222221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 s="8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117.31541218637993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 s="8">
        <f t="shared" si="57"/>
        <v>41637.25</v>
      </c>
      <c r="N930">
        <v>1389074400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217.30909090909088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 s="8">
        <f t="shared" si="57"/>
        <v>42858.208333333328</v>
      </c>
      <c r="N931">
        <v>1494997200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112.28571428571428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 s="8">
        <f t="shared" si="57"/>
        <v>42060.25</v>
      </c>
      <c r="N932">
        <v>1425448800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72.51898734177216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 s="8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212.30434782608697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 s="8">
        <f t="shared" si="57"/>
        <v>41709.208333333336</v>
      </c>
      <c r="N934">
        <v>1394773200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239.74657534246577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 s="8">
        <f t="shared" si="57"/>
        <v>41372.208333333336</v>
      </c>
      <c r="N935">
        <v>1366520400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181.93548387096774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 s="8">
        <f t="shared" si="57"/>
        <v>42422.25</v>
      </c>
      <c r="N936">
        <v>1456639200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164.13114754098362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 s="8">
        <f t="shared" si="57"/>
        <v>42209.208333333328</v>
      </c>
      <c r="N937">
        <v>1438318800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 s="8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49.64385964912281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 s="8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109.70652173913042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 s="8">
        <f t="shared" si="57"/>
        <v>43263.208333333328</v>
      </c>
      <c r="N940">
        <v>1531890000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49.217948717948715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 s="8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62.232323232323225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 s="8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13.05813953488372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 s="8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64.635416666666671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 s="8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159.58666666666667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 s="8">
        <f t="shared" si="57"/>
        <v>41906.208333333336</v>
      </c>
      <c r="N945">
        <v>1414558800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81.42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 s="8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32.444767441860463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 s="8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 s="8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26.694444444444443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 s="8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62.957446808510639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 s="8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161.35593220338984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 s="8">
        <f t="shared" si="57"/>
        <v>42112.208333333328</v>
      </c>
      <c r="N951">
        <v>1430974800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 s="8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1096.9379310344827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 s="8">
        <f t="shared" si="57"/>
        <v>42730.25</v>
      </c>
      <c r="N953">
        <v>1482818400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70.094158075601371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 s="8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60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 s="8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367.0985915492958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 s="8">
        <f t="shared" si="57"/>
        <v>41174.208333333336</v>
      </c>
      <c r="N956">
        <v>1350363600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 s="8">
        <f t="shared" si="57"/>
        <v>41238.25</v>
      </c>
      <c r="N957">
        <v>1353996000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19.028784648187631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 s="8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126.87755102040816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 s="8">
        <f t="shared" si="57"/>
        <v>40955.25</v>
      </c>
      <c r="N959">
        <v>1329631200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734.63636363636363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 s="8">
        <f t="shared" si="57"/>
        <v>40350.208333333336</v>
      </c>
      <c r="N960">
        <v>1278997200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4.5731034482758623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 s="8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85.054545454545448</v>
      </c>
      <c r="G962" t="s">
        <v>14</v>
      </c>
      <c r="H962">
        <v>55</v>
      </c>
      <c r="I962" s="5">
        <f t="shared" si="56"/>
        <v>85.054545454545448</v>
      </c>
      <c r="J962" t="s">
        <v>21</v>
      </c>
      <c r="K962" t="s">
        <v>22</v>
      </c>
      <c r="L962">
        <v>1454911200</v>
      </c>
      <c r="M962" s="8">
        <f t="shared" si="57"/>
        <v>42408.25</v>
      </c>
      <c r="N962">
        <v>1458104400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119.29824561403508</v>
      </c>
      <c r="G963" t="s">
        <v>20</v>
      </c>
      <c r="H963">
        <v>155</v>
      </c>
      <c r="I963" s="5">
        <f t="shared" ref="I963:I1001" si="60">IFERROR(E963/H963,0)</f>
        <v>43.87096774193548</v>
      </c>
      <c r="J963" t="s">
        <v>21</v>
      </c>
      <c r="K963" t="s">
        <v>22</v>
      </c>
      <c r="L963">
        <v>1297922400</v>
      </c>
      <c r="M963" s="8">
        <f t="shared" ref="M963:M1001" si="61">(((L963/60)/60)/24)+DATE(1970,1,1)</f>
        <v>40591.25</v>
      </c>
      <c r="N963">
        <v>1298268000</v>
      </c>
      <c r="O963" s="8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63">E964/D964*(100)</f>
        <v>296.02777777777777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 s="8">
        <f t="shared" si="61"/>
        <v>41592.25</v>
      </c>
      <c r="N964">
        <v>1386223200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3"/>
        <v>84.694915254237287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 s="8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3"/>
        <v>355.7837837837838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 s="8">
        <f t="shared" si="61"/>
        <v>42135.208333333328</v>
      </c>
      <c r="N966">
        <v>1431752400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386.40909090909093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 s="8">
        <f t="shared" si="61"/>
        <v>40203.25</v>
      </c>
      <c r="N967">
        <v>1267855200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792.23529411764707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 s="8">
        <f t="shared" si="61"/>
        <v>42901.208333333328</v>
      </c>
      <c r="N968">
        <v>1497675600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137.03393665158373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 s="8">
        <f t="shared" si="61"/>
        <v>41005.208333333336</v>
      </c>
      <c r="N969">
        <v>1336885200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338.20833333333337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 s="8">
        <f t="shared" si="61"/>
        <v>40544.25</v>
      </c>
      <c r="N970">
        <v>1295157600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108.22784810126582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 s="8">
        <f t="shared" si="61"/>
        <v>43821.25</v>
      </c>
      <c r="N971">
        <v>1577599200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60.757639620653315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 s="8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27.725490196078432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 s="8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228.3934426229508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 s="8">
        <f t="shared" si="61"/>
        <v>41792.208333333336</v>
      </c>
      <c r="N974">
        <v>1402462800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21.615194054500414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 s="8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373.875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 s="8">
        <f t="shared" si="61"/>
        <v>41412.208333333336</v>
      </c>
      <c r="N976">
        <v>1368939600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154.92592592592592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 s="8">
        <f t="shared" si="61"/>
        <v>42337.25</v>
      </c>
      <c r="N977">
        <v>1452146400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322.14999999999998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 s="8">
        <f t="shared" si="61"/>
        <v>40571.25</v>
      </c>
      <c r="N978">
        <v>1296712800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73.957142857142856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 s="8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864.1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 s="8">
        <f t="shared" si="61"/>
        <v>42686.25</v>
      </c>
      <c r="N980">
        <v>1480831200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143.26245847176079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 s="8">
        <f t="shared" si="61"/>
        <v>42078.208333333328</v>
      </c>
      <c r="N981">
        <v>1426914000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40.281762295081968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 s="8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178.22388059701493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 s="8">
        <f t="shared" si="61"/>
        <v>43094.25</v>
      </c>
      <c r="N983">
        <v>1517032800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84.930555555555557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 s="8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145.93648334624322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 s="8">
        <f t="shared" si="61"/>
        <v>43681.208333333328</v>
      </c>
      <c r="N985">
        <v>1566190800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152.46153846153848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 s="8">
        <f t="shared" si="61"/>
        <v>43716.208333333328</v>
      </c>
      <c r="N986">
        <v>1570165200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67.129542790152414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 s="8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40.307692307692307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 s="8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216.79032258064518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 s="8">
        <f t="shared" si="61"/>
        <v>42852.208333333328</v>
      </c>
      <c r="N989">
        <v>1494478800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52.117021276595743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 s="8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499.58333333333337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 s="8">
        <f t="shared" si="61"/>
        <v>43571.208333333328</v>
      </c>
      <c r="N991">
        <v>1555822800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87.679487179487182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 s="8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113.17346938775511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 s="8">
        <f t="shared" si="61"/>
        <v>41907.208333333336</v>
      </c>
      <c r="N993">
        <v>1411966800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426.54838709677421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 s="8">
        <f t="shared" si="61"/>
        <v>43227.208333333328</v>
      </c>
      <c r="N994">
        <v>1526878800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77.632653061224488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 s="8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52.496810772501767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 s="8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157.46762589928059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 s="8">
        <f t="shared" si="61"/>
        <v>43408.208333333328</v>
      </c>
      <c r="N997">
        <v>1543816800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72.939393939393938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 s="8">
        <f t="shared" si="61"/>
        <v>41276.25</v>
      </c>
      <c r="N998">
        <v>1359698400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60.565789473684205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 s="8">
        <f t="shared" si="61"/>
        <v>41659.25</v>
      </c>
      <c r="N999">
        <v>1390629600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56.791291291291287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 s="8">
        <f t="shared" si="61"/>
        <v>40220.25</v>
      </c>
      <c r="N1000">
        <v>1267077600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56.542754275427541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 s="8">
        <f t="shared" si="61"/>
        <v>42550.208333333328</v>
      </c>
      <c r="N1001">
        <v>1467781200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C00000"/>
        <color rgb="FF00B050"/>
        <color theme="4"/>
      </colorScale>
    </cfRule>
  </conditionalFormatting>
  <conditionalFormatting sqref="G1:G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01">
    <cfRule type="containsText" dxfId="11" priority="2" operator="containsText" text="live">
      <formula>NOT(ISERROR(SEARCH("live",G2)))</formula>
    </cfRule>
    <cfRule type="containsText" dxfId="10" priority="3" operator="containsText" text="canceled">
      <formula>NOT(ISERROR(SEARCH("canceled",G2)))</formula>
    </cfRule>
    <cfRule type="containsText" dxfId="9" priority="4" operator="containsText" text="failed">
      <formula>NOT(ISERROR(SEARCH("failed",G2)))</formula>
    </cfRule>
    <cfRule type="containsText" dxfId="8" priority="5" operator="containsText" text="successful">
      <formula>NOT(ISERROR(SEARCH("successful",G2)))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71FB-AFF6-4B28-AF4D-0568EE8C7D38}">
  <dimension ref="A1:F14"/>
  <sheetViews>
    <sheetView workbookViewId="0">
      <selection activeCell="E23" sqref="E23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6" t="s">
        <v>6</v>
      </c>
      <c r="B1" t="s">
        <v>2069</v>
      </c>
    </row>
    <row r="3" spans="1:6" x14ac:dyDescent="0.35">
      <c r="A3" s="6" t="s">
        <v>2070</v>
      </c>
      <c r="B3" s="6" t="s">
        <v>2068</v>
      </c>
    </row>
    <row r="4" spans="1:6" x14ac:dyDescent="0.3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7" t="s">
        <v>2064</v>
      </c>
      <c r="E8">
        <v>4</v>
      </c>
      <c r="F8">
        <v>4</v>
      </c>
    </row>
    <row r="9" spans="1:6" x14ac:dyDescent="0.35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CFA0-74F5-4E74-AB48-447AA304A212}">
  <dimension ref="A1:F32"/>
  <sheetViews>
    <sheetView workbookViewId="0">
      <selection activeCell="C32" sqref="C32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11" bestFit="1" customWidth="1"/>
  </cols>
  <sheetData>
    <row r="1" spans="1:6" x14ac:dyDescent="0.35">
      <c r="A1" s="6" t="s">
        <v>6</v>
      </c>
      <c r="B1" t="s">
        <v>2069</v>
      </c>
    </row>
    <row r="2" spans="1:6" x14ac:dyDescent="0.35">
      <c r="A2" s="6" t="s">
        <v>2031</v>
      </c>
      <c r="B2" t="s">
        <v>2069</v>
      </c>
    </row>
    <row r="4" spans="1:6" x14ac:dyDescent="0.35">
      <c r="A4" s="6" t="s">
        <v>2070</v>
      </c>
      <c r="B4" s="6" t="s">
        <v>2068</v>
      </c>
    </row>
    <row r="5" spans="1:6" x14ac:dyDescent="0.3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7" t="s">
        <v>2065</v>
      </c>
      <c r="E7">
        <v>4</v>
      </c>
      <c r="F7">
        <v>4</v>
      </c>
    </row>
    <row r="8" spans="1:6" x14ac:dyDescent="0.35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7" t="s">
        <v>2043</v>
      </c>
      <c r="C10">
        <v>8</v>
      </c>
      <c r="E10">
        <v>10</v>
      </c>
      <c r="F10">
        <v>18</v>
      </c>
    </row>
    <row r="11" spans="1:6" x14ac:dyDescent="0.35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7" t="s">
        <v>2057</v>
      </c>
      <c r="C15">
        <v>3</v>
      </c>
      <c r="E15">
        <v>4</v>
      </c>
      <c r="F15">
        <v>7</v>
      </c>
    </row>
    <row r="16" spans="1:6" x14ac:dyDescent="0.35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7" t="s">
        <v>2056</v>
      </c>
      <c r="C20">
        <v>4</v>
      </c>
      <c r="E20">
        <v>4</v>
      </c>
      <c r="F20">
        <v>8</v>
      </c>
    </row>
    <row r="21" spans="1:6" x14ac:dyDescent="0.35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7" t="s">
        <v>2063</v>
      </c>
      <c r="C22">
        <v>9</v>
      </c>
      <c r="E22">
        <v>5</v>
      </c>
      <c r="F22">
        <v>14</v>
      </c>
    </row>
    <row r="23" spans="1:6" x14ac:dyDescent="0.35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7" t="s">
        <v>2059</v>
      </c>
      <c r="C25">
        <v>7</v>
      </c>
      <c r="E25">
        <v>14</v>
      </c>
      <c r="F25">
        <v>21</v>
      </c>
    </row>
    <row r="26" spans="1:6" x14ac:dyDescent="0.35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7" t="s">
        <v>2062</v>
      </c>
      <c r="E29">
        <v>3</v>
      </c>
      <c r="F29">
        <v>3</v>
      </c>
    </row>
    <row r="30" spans="1:6" x14ac:dyDescent="0.35">
      <c r="A30" s="7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  <row r="32" spans="1:6" x14ac:dyDescent="0.35">
      <c r="E32" s="11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F27D-9724-4D9C-9D36-7DE39783358D}">
  <dimension ref="A1:E18"/>
  <sheetViews>
    <sheetView workbookViewId="0">
      <selection activeCell="S16" sqref="S16"/>
    </sheetView>
  </sheetViews>
  <sheetFormatPr defaultRowHeight="15.5" x14ac:dyDescent="0.35"/>
  <cols>
    <col min="1" max="1" width="27.83203125" bestFit="1" customWidth="1"/>
    <col min="2" max="2" width="15.33203125" bestFit="1" customWidth="1"/>
    <col min="3" max="3" width="5.58203125" bestFit="1" customWidth="1"/>
    <col min="4" max="4" width="9.25" bestFit="1" customWidth="1"/>
    <col min="5" max="6" width="11" bestFit="1" customWidth="1"/>
  </cols>
  <sheetData>
    <row r="1" spans="1:5" x14ac:dyDescent="0.35">
      <c r="A1" s="6" t="s">
        <v>2031</v>
      </c>
      <c r="B1" t="s">
        <v>2069</v>
      </c>
    </row>
    <row r="2" spans="1:5" x14ac:dyDescent="0.35">
      <c r="A2" s="6" t="s">
        <v>2085</v>
      </c>
      <c r="B2" t="s">
        <v>2069</v>
      </c>
    </row>
    <row r="4" spans="1:5" x14ac:dyDescent="0.35">
      <c r="A4" s="6" t="s">
        <v>2070</v>
      </c>
      <c r="B4" s="6" t="s">
        <v>2068</v>
      </c>
    </row>
    <row r="5" spans="1:5" x14ac:dyDescent="0.35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7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85BC-3091-4258-8671-49D57EC97FA1}">
  <dimension ref="A1:H14"/>
  <sheetViews>
    <sheetView workbookViewId="0">
      <selection activeCell="K17" sqref="K17"/>
    </sheetView>
  </sheetViews>
  <sheetFormatPr defaultRowHeight="15.5" x14ac:dyDescent="0.35"/>
  <cols>
    <col min="1" max="1" width="23.75" bestFit="1" customWidth="1"/>
    <col min="2" max="2" width="17.25" bestFit="1" customWidth="1"/>
    <col min="3" max="3" width="13" bestFit="1" customWidth="1"/>
    <col min="4" max="4" width="15.58203125" bestFit="1" customWidth="1"/>
    <col min="5" max="5" width="12.58203125" bestFit="1" customWidth="1"/>
    <col min="6" max="6" width="19.83203125" bestFit="1" customWidth="1"/>
    <col min="7" max="7" width="16.08203125" bestFit="1" customWidth="1"/>
    <col min="8" max="8" width="18.83203125" bestFit="1" customWidth="1"/>
    <col min="9" max="10" width="8.5" customWidth="1"/>
  </cols>
  <sheetData>
    <row r="1" spans="1:8" s="10" customFormat="1" x14ac:dyDescent="0.35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35">
      <c r="A2" s="9" t="s">
        <v>2094</v>
      </c>
      <c r="B2">
        <f>COUNTIFS('Crowdfunding Main'!$G$2:$G$1001,"successful",'Crowdfunding Main'!$D$2:$D$1001,"&lt;1000")</f>
        <v>30</v>
      </c>
      <c r="C2">
        <f>COUNTIFS('Crowdfunding Main'!$G$2:$G$1001,"failed",'Crowdfunding Main'!$D$2:$D$1001,"&lt;1000")</f>
        <v>20</v>
      </c>
      <c r="D2">
        <f>COUNTIFS('Crowdfunding Main'!$G$2:$G$1001,"canceled",'Crowdfunding Main'!$D$2:$D$1001,"&lt;1000")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35">
      <c r="A3" s="9" t="s">
        <v>2095</v>
      </c>
      <c r="B3">
        <f>COUNTIFS('Crowdfunding Main'!$G$2:$G$1001,"successful",'Crowdfunding Main'!$D$2:$D$1001,"&gt;=1000",'Crowdfunding Main'!$D$2:$D$1001,"&lt;=4999")</f>
        <v>191</v>
      </c>
      <c r="C3">
        <f>COUNTIFS('Crowdfunding Main'!$G$2:$G$1001,"failed",'Crowdfunding Main'!$D$2:$D$1001,"&gt;=1000",'Crowdfunding Main'!$D$2:$D$1001,"&lt;=4999")</f>
        <v>38</v>
      </c>
      <c r="D3">
        <f>COUNTIFS('Crowdfunding Main'!$G$2:$G$1001,"canceled",'Crowdfunding Main'!$D$2:$D$1001,"&gt;=1000",'Crowdfunding Main'!$D$2:$D$1001,"&lt;=4999")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35">
      <c r="A4" s="9" t="s">
        <v>2096</v>
      </c>
      <c r="B4">
        <f>COUNTIFS('Crowdfunding Main'!$G$2:$G$1001,"successful",'Crowdfunding Main'!$D$2:$D$1001,"&gt;=5000",'Crowdfunding Main'!$D$2:$D$1001,"&lt;=9999")</f>
        <v>164</v>
      </c>
      <c r="C4">
        <f>COUNTIFS('Crowdfunding Main'!$G$2:$G$1001,"failed",'Crowdfunding Main'!$D$2:$D$1001,"&gt;=5000",'Crowdfunding Main'!$D$2:$D$1001,"&lt;=9999")</f>
        <v>126</v>
      </c>
      <c r="D4">
        <f>COUNTIFS('Crowdfunding Main'!$G$2:$G$1001,"canceled",'Crowdfunding Main'!$D$2:$D$1001,"&gt;=5000",'Crowdfunding Main'!$D$2:$D$1001,"&lt;=9999")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35">
      <c r="A5" s="9" t="s">
        <v>2097</v>
      </c>
      <c r="B5">
        <f>COUNTIFS('Crowdfunding Main'!$G$2:$G$1001,"successful",'Crowdfunding Main'!$D$2:$D$1001,"&gt;=10000",'Crowdfunding Main'!$D$2:$D$1001,"&lt;=14999")</f>
        <v>4</v>
      </c>
      <c r="C5">
        <f>COUNTIFS('Crowdfunding Main'!$G$2:$G$1001,"failed",'Crowdfunding Main'!$D$2:$D$1001,"&gt;=10000",'Crowdfunding Main'!$D$2:$D$1001,"&lt;=14999")</f>
        <v>5</v>
      </c>
      <c r="D5">
        <f>COUNTIFS('Crowdfunding Main'!$G$2:$G$1001,"canceled",'Crowdfunding Main'!$D$2:$D$1001,"&gt;=10000",'Crowdfunding Main'!$D$2:$D$1001,"&lt;=14999")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35">
      <c r="A6" s="9" t="s">
        <v>2098</v>
      </c>
      <c r="B6">
        <f>COUNTIFS('Crowdfunding Main'!$G$2:$G$1001,"successful",'Crowdfunding Main'!$D$2:$D$1001,"&gt;=15000",'Crowdfunding Main'!$D$2:$D$1001,"&lt;=19999")</f>
        <v>10</v>
      </c>
      <c r="C6">
        <f>COUNTIFS('Crowdfunding Main'!$G$2:$G$1001,"failed",'Crowdfunding Main'!$D$2:$D$1001,"&gt;=15000",'Crowdfunding Main'!$D$2:$D$1001,"&lt;=19999")</f>
        <v>0</v>
      </c>
      <c r="D6">
        <f>COUNTIFS('Crowdfunding Main'!$G$2:$G$1001,"canceled",'Crowdfunding Main'!$D$2:$D$1001,"&gt;=15000",'Crowdfunding Main'!$D$2:$D$1001,"&lt;=19999")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35">
      <c r="A7" s="9" t="s">
        <v>2099</v>
      </c>
      <c r="B7">
        <f>COUNTIFS('Crowdfunding Main'!$G$2:$G$1001,"successful",'Crowdfunding Main'!$D$2:$D$1001,"&gt;=20000",'Crowdfunding Main'!$D$2:$D$1001,"&lt;=24999")</f>
        <v>7</v>
      </c>
      <c r="C7">
        <f>COUNTIFS('Crowdfunding Main'!$G$2:$G$1001,"failed",'Crowdfunding Main'!$D$2:$D$1001,"&gt;=20000",'Crowdfunding Main'!$D$2:$D$1001,"&lt;=24999")</f>
        <v>0</v>
      </c>
      <c r="D7">
        <f>COUNTIFS('Crowdfunding Main'!$G$2:$G$1001,"canceled",'Crowdfunding Main'!$D$2:$D$1001,"&gt;=20000",'Crowdfunding Main'!$D$2:$D$1001,"&lt;=24999")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35">
      <c r="A8" s="9" t="s">
        <v>2100</v>
      </c>
      <c r="B8">
        <f>COUNTIFS('Crowdfunding Main'!$G$2:$G$1001,"successful",'Crowdfunding Main'!$D$2:$D$1001,"&gt;=25000",'Crowdfunding Main'!$D$2:$D$1001,"&lt;=29999")</f>
        <v>11</v>
      </c>
      <c r="C8">
        <f>COUNTIFS('Crowdfunding Main'!$G$2:$G$1001,"failed",'Crowdfunding Main'!$D$2:$D$1001,"&gt;=25000",'Crowdfunding Main'!$D$2:$D$1001,"&lt;=29999")</f>
        <v>3</v>
      </c>
      <c r="D8">
        <f>COUNTIFS('Crowdfunding Main'!$G$2:$G$1001,"canceled",'Crowdfunding Main'!$D$2:$D$1001,"&gt;=25000",'Crowdfunding Main'!$D$2:$D$1001,"&lt;=29999")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35">
      <c r="A9" s="9" t="s">
        <v>2101</v>
      </c>
      <c r="B9">
        <f>COUNTIFS('Crowdfunding Main'!$G$2:$G$1001,"successful",'Crowdfunding Main'!$D$2:$D$1001,"&gt;=30000",'Crowdfunding Main'!$D$2:$D$1001,"&lt;=34999")</f>
        <v>7</v>
      </c>
      <c r="C9">
        <f>COUNTIFS('Crowdfunding Main'!$G$2:$G$1001,"failed",'Crowdfunding Main'!$D$2:$D$1001,"&gt;=30000",'Crowdfunding Main'!$D$2:$D$1001,"&lt;=34999")</f>
        <v>0</v>
      </c>
      <c r="D9">
        <f>COUNTIFS('Crowdfunding Main'!$G$2:$G$1001,"canceled",'Crowdfunding Main'!$D$2:$D$1001,"&gt;=30000",'Crowdfunding Main'!$D$2:$D$1001,"&lt;=34999")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35">
      <c r="A10" s="9" t="s">
        <v>2102</v>
      </c>
      <c r="B10">
        <f>COUNTIFS('Crowdfunding Main'!$G$2:$G$1001,"successful",'Crowdfunding Main'!$D$2:$D$1001,"&gt;=35000",'Crowdfunding Main'!$D$2:$D$1001,"&lt;=39999")</f>
        <v>8</v>
      </c>
      <c r="C10">
        <f>COUNTIFS('Crowdfunding Main'!$G$2:$G$1001,"failed",'Crowdfunding Main'!$D$2:$D$1001,"&gt;=35000",'Crowdfunding Main'!$D$2:$D$1001,"&lt;=39999")</f>
        <v>3</v>
      </c>
      <c r="D10">
        <f>COUNTIFS('Crowdfunding Main'!$G$2:$G$1001,"canceled",'Crowdfunding Main'!$D$2:$D$1001,"&gt;=35000",'Crowdfunding Main'!$D$2:$D$1001,"&lt;=39999")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35">
      <c r="A11" s="9" t="s">
        <v>2103</v>
      </c>
      <c r="B11">
        <f>COUNTIFS('Crowdfunding Main'!$G$2:$G$1001,"successful",'Crowdfunding Main'!$D$2:$D$1001,"&gt;=40000",'Crowdfunding Main'!$D$2:$D$1001,"&lt;=44999")</f>
        <v>11</v>
      </c>
      <c r="C11">
        <f>COUNTIFS('Crowdfunding Main'!$G$2:$G$1001,"failed",'Crowdfunding Main'!$D$2:$D$1001,"&gt;=40000",'Crowdfunding Main'!$D$2:$D$1001,"&lt;=44999")</f>
        <v>3</v>
      </c>
      <c r="D11">
        <f>COUNTIFS('Crowdfunding Main'!$G$2:$G$1001,"canceled",'Crowdfunding Main'!$D$2:$D$1001,"&gt;=40000",'Crowdfunding Main'!$D$2:$D$1001,"&lt;=44999")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35">
      <c r="A12" s="9" t="s">
        <v>2104</v>
      </c>
      <c r="B12">
        <f>COUNTIFS('Crowdfunding Main'!$G$2:$G$1001,"successful",'Crowdfunding Main'!$D$2:$D$1001,"&gt;=45000",'Crowdfunding Main'!$D$2:$D$1001,"&lt;=49999")</f>
        <v>8</v>
      </c>
      <c r="C12">
        <f>COUNTIFS('Crowdfunding Main'!$G$2:$G$1001,"failed",'Crowdfunding Main'!$D$2:$D$1001,"&gt;=45000",'Crowdfunding Main'!$D$2:$D$1001,"&lt;=49999")</f>
        <v>3</v>
      </c>
      <c r="D12">
        <f>COUNTIFS('Crowdfunding Main'!$G$2:$G$1001,"canceled",'Crowdfunding Main'!$D$2:$D$1001,"&gt;=45000",'Crowdfunding Main'!$D$2:$D$1001,"&lt;=49999")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ht="25" x14ac:dyDescent="0.35">
      <c r="A13" s="9" t="s">
        <v>2105</v>
      </c>
      <c r="B13">
        <f>COUNTIFS('Crowdfunding Main'!$G$2:$G$1001,"successful",'Crowdfunding Main'!$D$2:$D$1001,"&gt;50000")</f>
        <v>114</v>
      </c>
      <c r="C13">
        <f>COUNTIFS('Crowdfunding Main'!$G$2:$G$1001,"failed",'Crowdfunding Main'!$D$2:$D$1001,"&gt;50000")</f>
        <v>163</v>
      </c>
      <c r="D13">
        <f>COUNTIFS('Crowdfunding Main'!$G$2:$G$1001,"canceled",'Crowdfunding Main'!$D$2:$D$1001,"&gt;50000")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  <row r="14" spans="1:8" x14ac:dyDescent="0.35">
      <c r="F14" s="11"/>
      <c r="G14" s="11"/>
      <c r="H14" s="1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5516-C10D-473D-AF8C-E13582E3E08F}">
  <dimension ref="A1:L566"/>
  <sheetViews>
    <sheetView workbookViewId="0">
      <selection activeCell="H28" sqref="H28"/>
    </sheetView>
  </sheetViews>
  <sheetFormatPr defaultRowHeight="15.5" x14ac:dyDescent="0.35"/>
  <cols>
    <col min="1" max="1" width="9.33203125" bestFit="1" customWidth="1"/>
    <col min="2" max="2" width="13.5" bestFit="1" customWidth="1"/>
    <col min="4" max="4" width="8.5" bestFit="1" customWidth="1"/>
    <col min="5" max="5" width="13.5" bestFit="1" customWidth="1"/>
    <col min="8" max="8" width="20.83203125" bestFit="1" customWidth="1"/>
    <col min="9" max="9" width="17.1640625" customWidth="1"/>
    <col min="10" max="10" width="11" customWidth="1"/>
    <col min="12" max="12" width="20.83203125" bestFit="1" customWidth="1"/>
    <col min="13" max="13" width="15.25" bestFit="1" customWidth="1"/>
  </cols>
  <sheetData>
    <row r="1" spans="1:12" x14ac:dyDescent="0.35">
      <c r="A1" s="1" t="s">
        <v>4</v>
      </c>
      <c r="B1" s="1" t="s">
        <v>5</v>
      </c>
      <c r="D1" s="1" t="s">
        <v>4</v>
      </c>
      <c r="E1" s="1" t="s">
        <v>5</v>
      </c>
    </row>
    <row r="2" spans="1:12" x14ac:dyDescent="0.35">
      <c r="A2" t="s">
        <v>20</v>
      </c>
      <c r="B2">
        <v>158</v>
      </c>
      <c r="D2" t="s">
        <v>14</v>
      </c>
      <c r="E2">
        <v>0</v>
      </c>
      <c r="G2" t="str">
        <f>IF('Crowdfunding Main'!G2="successful", 'Crowdfunding Main'!G2, "")</f>
        <v/>
      </c>
      <c r="I2" t="s">
        <v>2112</v>
      </c>
      <c r="J2" t="s">
        <v>2113</v>
      </c>
    </row>
    <row r="3" spans="1:12" x14ac:dyDescent="0.35">
      <c r="A3" t="s">
        <v>20</v>
      </c>
      <c r="B3">
        <v>1425</v>
      </c>
      <c r="D3" t="s">
        <v>14</v>
      </c>
      <c r="E3">
        <v>24</v>
      </c>
      <c r="H3" s="13" t="s">
        <v>2114</v>
      </c>
      <c r="I3" s="14">
        <f>SUM(Succ)</f>
        <v>480898</v>
      </c>
      <c r="J3" s="14">
        <f>SUM(FAILED)</f>
        <v>213164</v>
      </c>
      <c r="L3" t="s">
        <v>2116</v>
      </c>
    </row>
    <row r="4" spans="1:12" x14ac:dyDescent="0.35">
      <c r="A4" t="s">
        <v>20</v>
      </c>
      <c r="B4">
        <v>174</v>
      </c>
      <c r="D4" t="s">
        <v>14</v>
      </c>
      <c r="E4">
        <v>53</v>
      </c>
      <c r="H4" t="s">
        <v>2106</v>
      </c>
      <c r="I4" s="15">
        <f>AVERAGE(B2:B566)</f>
        <v>851.14690265486729</v>
      </c>
      <c r="J4" s="15">
        <f>AVERAGE(FAILED)</f>
        <v>585.61538461538464</v>
      </c>
      <c r="L4" t="s">
        <v>2115</v>
      </c>
    </row>
    <row r="5" spans="1:12" x14ac:dyDescent="0.35">
      <c r="A5" t="s">
        <v>20</v>
      </c>
      <c r="B5">
        <v>227</v>
      </c>
      <c r="D5" t="s">
        <v>14</v>
      </c>
      <c r="E5">
        <v>18</v>
      </c>
      <c r="G5" t="str">
        <f>IF('Crowdfunding Main'!G5="successful", G5, "")</f>
        <v/>
      </c>
      <c r="H5" t="s">
        <v>2107</v>
      </c>
      <c r="I5" s="16">
        <f>MEDIAN(B2:B566)</f>
        <v>201</v>
      </c>
      <c r="J5" s="14">
        <f>MEDIAN(FAILED)</f>
        <v>114.5</v>
      </c>
    </row>
    <row r="6" spans="1:12" x14ac:dyDescent="0.35">
      <c r="A6" t="s">
        <v>20</v>
      </c>
      <c r="B6">
        <v>220</v>
      </c>
      <c r="D6" t="s">
        <v>14</v>
      </c>
      <c r="E6">
        <v>44</v>
      </c>
      <c r="G6" t="str">
        <f>IF('Crowdfunding Main'!G6="successful", G6, "")</f>
        <v/>
      </c>
      <c r="H6" t="s">
        <v>2108</v>
      </c>
      <c r="I6" s="14">
        <f>MIN(Succ)</f>
        <v>16</v>
      </c>
      <c r="J6" s="14">
        <f>MIN(FAILED)</f>
        <v>0</v>
      </c>
      <c r="L6" t="s">
        <v>2117</v>
      </c>
    </row>
    <row r="7" spans="1:12" x14ac:dyDescent="0.35">
      <c r="A7" t="s">
        <v>20</v>
      </c>
      <c r="B7">
        <v>98</v>
      </c>
      <c r="D7" t="s">
        <v>14</v>
      </c>
      <c r="E7">
        <v>27</v>
      </c>
      <c r="H7" t="s">
        <v>2109</v>
      </c>
      <c r="I7" s="14">
        <f>MAX(Succ)</f>
        <v>7295</v>
      </c>
      <c r="J7" s="14">
        <f>MAX(FAILED)</f>
        <v>6080</v>
      </c>
      <c r="L7" t="s">
        <v>2118</v>
      </c>
    </row>
    <row r="8" spans="1:12" x14ac:dyDescent="0.35">
      <c r="A8" t="s">
        <v>20</v>
      </c>
      <c r="B8">
        <v>100</v>
      </c>
      <c r="D8" t="s">
        <v>14</v>
      </c>
      <c r="E8">
        <v>55</v>
      </c>
      <c r="H8" t="s">
        <v>2110</v>
      </c>
      <c r="I8" s="15">
        <f>_xlfn.VAR.P(Succ)</f>
        <v>1603373.7324019109</v>
      </c>
      <c r="J8" s="15">
        <f>_xlfn.VAR.P(FAILED)</f>
        <v>921574.68174133555</v>
      </c>
    </row>
    <row r="9" spans="1:12" x14ac:dyDescent="0.35">
      <c r="A9" t="s">
        <v>20</v>
      </c>
      <c r="B9">
        <v>1249</v>
      </c>
      <c r="D9" t="s">
        <v>14</v>
      </c>
      <c r="E9">
        <v>200</v>
      </c>
      <c r="H9" t="s">
        <v>2111</v>
      </c>
      <c r="I9" s="15">
        <f>_xlfn.STDEV.P(Succ)</f>
        <v>1266.2439466397898</v>
      </c>
      <c r="J9" s="15">
        <f>_xlfn.STDEV.P(FAILED)</f>
        <v>959.98681331637863</v>
      </c>
    </row>
    <row r="10" spans="1:12" x14ac:dyDescent="0.35">
      <c r="A10" t="s">
        <v>20</v>
      </c>
      <c r="B10">
        <v>1396</v>
      </c>
      <c r="D10" t="s">
        <v>14</v>
      </c>
      <c r="E10">
        <v>452</v>
      </c>
      <c r="I10" s="14"/>
      <c r="J10" s="14"/>
    </row>
    <row r="11" spans="1:12" x14ac:dyDescent="0.35">
      <c r="A11" t="s">
        <v>20</v>
      </c>
      <c r="B11">
        <v>890</v>
      </c>
      <c r="D11" t="s">
        <v>14</v>
      </c>
      <c r="E11">
        <v>674</v>
      </c>
      <c r="I11" s="14"/>
      <c r="J11" s="14"/>
    </row>
    <row r="12" spans="1:12" x14ac:dyDescent="0.35">
      <c r="A12" t="s">
        <v>20</v>
      </c>
      <c r="B12">
        <v>142</v>
      </c>
      <c r="D12" t="s">
        <v>14</v>
      </c>
      <c r="E12">
        <v>558</v>
      </c>
      <c r="I12" s="14"/>
      <c r="J12" s="14"/>
    </row>
    <row r="13" spans="1:12" x14ac:dyDescent="0.35">
      <c r="A13" t="s">
        <v>20</v>
      </c>
      <c r="B13">
        <v>2673</v>
      </c>
      <c r="D13" t="s">
        <v>14</v>
      </c>
      <c r="E13">
        <v>15</v>
      </c>
      <c r="H13" s="12"/>
      <c r="I13" s="14"/>
      <c r="J13" s="14"/>
    </row>
    <row r="14" spans="1:12" x14ac:dyDescent="0.35">
      <c r="A14" t="s">
        <v>20</v>
      </c>
      <c r="B14">
        <v>163</v>
      </c>
      <c r="D14" t="s">
        <v>14</v>
      </c>
      <c r="E14">
        <v>2307</v>
      </c>
      <c r="I14" s="14"/>
      <c r="J14" s="14"/>
    </row>
    <row r="15" spans="1:12" x14ac:dyDescent="0.35">
      <c r="A15" t="s">
        <v>20</v>
      </c>
      <c r="B15">
        <v>2220</v>
      </c>
      <c r="D15" t="s">
        <v>14</v>
      </c>
      <c r="E15">
        <v>88</v>
      </c>
      <c r="I15" s="14"/>
      <c r="J15" s="14"/>
    </row>
    <row r="16" spans="1:12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autoFilter ref="A1:E1" xr:uid="{06885516-C10D-473D-AF8C-E13582E3E08F}"/>
  <conditionalFormatting sqref="A1:A104814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A566">
    <cfRule type="containsText" dxfId="7" priority="8" operator="containsText" text="live">
      <formula>NOT(ISERROR(SEARCH("live",A2)))</formula>
    </cfRule>
    <cfRule type="containsText" dxfId="6" priority="9" operator="containsText" text="canceled">
      <formula>NOT(ISERROR(SEARCH("canceled",A2)))</formula>
    </cfRule>
    <cfRule type="containsText" dxfId="5" priority="10" operator="containsText" text="failed">
      <formula>NOT(ISERROR(SEARCH("failed",A2)))</formula>
    </cfRule>
    <cfRule type="containsText" dxfId="4" priority="11" operator="containsText" text="successful">
      <formula>NOT(ISERROR(SEARCH("successful",A2)))</formula>
    </cfRule>
  </conditionalFormatting>
  <conditionalFormatting sqref="D1:D10479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365">
    <cfRule type="containsText" dxfId="3" priority="3" operator="containsText" text="live">
      <formula>NOT(ISERROR(SEARCH("live",D2)))</formula>
    </cfRule>
    <cfRule type="containsText" dxfId="2" priority="4" operator="containsText" text="canceled">
      <formula>NOT(ISERROR(SEARCH("canceled",D2)))</formula>
    </cfRule>
    <cfRule type="containsText" dxfId="1" priority="5" operator="containsText" text="failed">
      <formula>NOT(ISERROR(SEARCH("failed",D2)))</formula>
    </cfRule>
    <cfRule type="containsText" dxfId="0" priority="6" operator="containsText" text="successful">
      <formula>NOT(ISERROR(SEARCH("successful",D2)))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 Main</vt:lpstr>
      <vt:lpstr>Pivot Table (Category)</vt:lpstr>
      <vt:lpstr>Pivot Table (Sub-Category)</vt:lpstr>
      <vt:lpstr>Pivot Table (Date Created)</vt:lpstr>
      <vt:lpstr>Crowdfunding Goal Analysis</vt:lpstr>
      <vt:lpstr>Successful VS Failed</vt:lpstr>
      <vt:lpstr>FAILED</vt:lpstr>
      <vt:lpstr>Succ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Sharvil K</cp:lastModifiedBy>
  <dcterms:created xsi:type="dcterms:W3CDTF">2021-09-29T18:52:28Z</dcterms:created>
  <dcterms:modified xsi:type="dcterms:W3CDTF">2023-11-02T02:22:30Z</dcterms:modified>
</cp:coreProperties>
</file>