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OneDrive\Desktop\"/>
    </mc:Choice>
  </mc:AlternateContent>
  <xr:revisionPtr revIDLastSave="0" documentId="8_{E24FE66F-C9EF-4310-B1A7-CBBD089F5128}" xr6:coauthVersionLast="47" xr6:coauthVersionMax="47" xr10:uidLastSave="{00000000-0000-0000-0000-000000000000}"/>
  <bookViews>
    <workbookView xWindow="28830" yWindow="5295" windowWidth="29040" windowHeight="15720" xr2:uid="{00000000-000D-0000-FFFF-FFFF00000000}"/>
  </bookViews>
  <sheets>
    <sheet name="Crowdfunding Main" sheetId="1" r:id="rId1"/>
    <sheet name="Pivot Table (Category)" sheetId="2" r:id="rId2"/>
    <sheet name="Pivot Table (Sub-Category)" sheetId="4" r:id="rId3"/>
    <sheet name="Pivot Table (Date Created)" sheetId="8" r:id="rId4"/>
    <sheet name="Crowdfunding Goal Analysis" sheetId="9" r:id="rId5"/>
    <sheet name="Successful VS Failed" sheetId="12" r:id="rId6"/>
  </sheets>
  <definedNames>
    <definedName name="_xlnm._FilterDatabase" localSheetId="0" hidden="1">'Crowdfunding Main'!$A$1:$T$1001</definedName>
    <definedName name="_xlnm._FilterDatabase" localSheetId="5" hidden="1">'Successful VS Failed'!$A$1:$E$1</definedName>
    <definedName name="FAILED">'Successful VS Failed'!$E$2:$E$365</definedName>
    <definedName name="Succ">'Successful VS Failed'!$B$2:$B$566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2" l="1"/>
  <c r="I3" i="12"/>
  <c r="J9" i="12"/>
  <c r="J8" i="12"/>
  <c r="J7" i="12"/>
  <c r="J6" i="12"/>
  <c r="J5" i="12"/>
  <c r="J4" i="12"/>
  <c r="I9" i="12"/>
  <c r="I8" i="12"/>
  <c r="I7" i="12"/>
  <c r="I6" i="12"/>
  <c r="I5" i="12"/>
  <c r="I4" i="12"/>
  <c r="G2" i="12"/>
  <c r="G5" i="12"/>
  <c r="G6" i="12"/>
  <c r="D2" i="9"/>
  <c r="D13" i="9"/>
  <c r="D12" i="9"/>
  <c r="D11" i="9"/>
  <c r="D10" i="9"/>
  <c r="D9" i="9"/>
  <c r="D8" i="9"/>
  <c r="D7" i="9"/>
  <c r="D6" i="9"/>
  <c r="D5" i="9"/>
  <c r="D4" i="9"/>
  <c r="D3" i="9"/>
  <c r="C2" i="9"/>
  <c r="C13" i="9"/>
  <c r="C12" i="9"/>
  <c r="C11" i="9"/>
  <c r="C10" i="9"/>
  <c r="C9" i="9"/>
  <c r="C8" i="9"/>
  <c r="C7" i="9"/>
  <c r="C6" i="9"/>
  <c r="C5" i="9"/>
  <c r="C4" i="9"/>
  <c r="C3" i="9"/>
  <c r="B13" i="9"/>
  <c r="B12" i="9"/>
  <c r="B11" i="9"/>
  <c r="B10" i="9"/>
  <c r="B9" i="9"/>
  <c r="B8" i="9"/>
  <c r="B7" i="9"/>
  <c r="B6" i="9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C14" i="9" l="1"/>
  <c r="E6" i="9"/>
  <c r="G6" i="9" s="1"/>
  <c r="B14" i="9"/>
  <c r="D14" i="9"/>
  <c r="E3" i="9"/>
  <c r="F3" i="9" s="1"/>
  <c r="E5" i="9"/>
  <c r="G5" i="9" s="1"/>
  <c r="E9" i="9"/>
  <c r="H9" i="9" s="1"/>
  <c r="E7" i="9"/>
  <c r="G7" i="9" s="1"/>
  <c r="E8" i="9"/>
  <c r="F8" i="9" s="1"/>
  <c r="E10" i="9"/>
  <c r="F10" i="9" s="1"/>
  <c r="H3" i="9"/>
  <c r="H5" i="9"/>
  <c r="G3" i="9"/>
  <c r="E4" i="9"/>
  <c r="F4" i="9" s="1"/>
  <c r="E2" i="9"/>
  <c r="E13" i="9"/>
  <c r="H13" i="9" s="1"/>
  <c r="E12" i="9"/>
  <c r="G12" i="9" s="1"/>
  <c r="E11" i="9"/>
  <c r="F11" i="9" s="1"/>
  <c r="H6" i="9" l="1"/>
  <c r="F5" i="9"/>
  <c r="F6" i="9"/>
  <c r="H7" i="9"/>
  <c r="F2" i="9"/>
  <c r="E14" i="9"/>
  <c r="F9" i="9"/>
  <c r="G9" i="9"/>
  <c r="H8" i="9"/>
  <c r="F7" i="9"/>
  <c r="G8" i="9"/>
  <c r="G4" i="9"/>
  <c r="G2" i="9"/>
  <c r="H2" i="9"/>
  <c r="G10" i="9"/>
  <c r="H12" i="9"/>
  <c r="H4" i="9"/>
  <c r="H11" i="9"/>
  <c r="H10" i="9"/>
  <c r="F12" i="9"/>
  <c r="F13" i="9"/>
  <c r="G11" i="9"/>
  <c r="G13" i="9"/>
  <c r="G14" i="9" l="1"/>
  <c r="F14" i="9"/>
  <c r="H14" i="9"/>
  <c r="G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<sst xmlns="http://schemas.openxmlformats.org/spreadsheetml/2006/main" count="7067" uniqueCount="2119">
  <si>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</si>
  <si>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</si>
  <si>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</si>
  <si>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</si>
  <si>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</si>
  <si>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</si>
  <si>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</si>
  <si>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</si>
  <si>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</si>
  <si>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</si>
  <si>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</si>
  <si>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</si>
  <si>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</si>
  <si>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</si>
  <si>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</si>
  <si>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</si>
  <si>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</si>
  <si>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</si>
  <si>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</si>
  <si>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</si>
  <si>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</si>
  <si>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</si>
  <si>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</si>
  <si>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</si>
  <si>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</si>
  <si>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</si>
  <si>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</si>
  <si>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</si>
  <si>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</si>
  <si>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</si>
  <si>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</si>
  <si>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</si>
  <si>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</si>
  <si>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</si>
  <si>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</si>
  <si>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</si>
  <si>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</si>
  <si>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</si>
  <si>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</si>
  <si>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</si>
  <si>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</si>
  <si>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</si>
  <si>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</si>
  <si>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</si>
  <si>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</si>
  <si>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</si>
  <si>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</si>
  <si>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</si>
  <si>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</si>
  <si>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</si>
  <si>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</si>
  <si>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</si>
  <si>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</si>
  <si>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</si>
  <si>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</si>
  <si>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</si>
  <si>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</si>
  <si>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</si>
  <si>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</si>
  <si>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</si>
  <si>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</si>
  <si>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</si>
  <si>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</si>
  <si>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</si>
  <si>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</si>
  <si>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</si>
  <si>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</si>
  <si>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</si>
  <si>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</si>
  <si>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</si>
  <si>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</si>
  <si>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</si>
  <si>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</si>
  <si>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</si>
  <si>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</si>
  <si>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</si>
  <si>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</si>
  <si>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</si>
  <si>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</si>
  <si>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</si>
  <si>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</si>
  <si>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</si>
  <si>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</si>
  <si>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</si>
  <si>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</si>
  <si>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</si>
  <si>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</si>
  <si>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</si>
  <si>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</si>
  <si>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</si>
  <si>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</si>
  <si>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</si>
  <si>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</si>
  <si>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</si>
  <si>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</si>
  <si>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</si>
  <si>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</si>
  <si>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</si>
  <si>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</si>
  <si>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</si>
  <si>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</si>
  <si>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</si>
  <si>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</si>
  <si>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</si>
  <si>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</si>
  <si>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</si>
  <si>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</si>
  <si>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</si>
  <si>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</si>
  <si>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</si>
  <si>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</si>
  <si>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</si>
  <si>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</si>
  <si>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</si>
  <si>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</si>
  <si>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</si>
  <si>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</si>
  <si>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</si>
  <si>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</si>
  <si>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</si>
  <si>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</si>
  <si>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</si>
  <si>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</si>
  <si>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</si>
  <si>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</si>
  <si>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</si>
  <si>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</si>
  <si>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</si>
  <si>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</si>
  <si>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</si>
  <si>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</si>
  <si>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</si>
  <si>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</si>
  <si>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</si>
  <si>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</si>
  <si>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</si>
  <si>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</si>
  <si>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</si>
  <si>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</si>
  <si>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</si>
  <si>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</si>
  <si>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</si>
  <si>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</si>
  <si>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</si>
  <si>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</si>
  <si>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</si>
  <si>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</si>
  <si>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</si>
  <si>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</si>
  <si>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</si>
  <si>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</si>
  <si>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</si>
  <si>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</si>
  <si>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</si>
  <si>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</si>
  <si>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</si>
  <si>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</si>
  <si>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</si>
  <si>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</si>
  <si>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</si>
  <si>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</si>
  <si>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</si>
  <si>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</si>
  <si>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</si>
  <si>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</si>
  <si>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</si>
  <si>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</si>
  <si>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</si>
  <si>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</si>
  <si>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</si>
  <si>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</si>
  <si>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</si>
  <si>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</si>
  <si>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</si>
  <si>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</si>
  <si>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</si>
  <si>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</si>
  <si>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</si>
  <si>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</si>
  <si>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</si>
  <si>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</si>
  <si>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</si>
  <si>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</si>
  <si>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</si>
  <si>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</si>
  <si>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</si>
  <si>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</si>
  <si>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</si>
  <si>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</si>
  <si>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</si>
  <si>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</si>
  <si>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</si>
  <si>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</si>
  <si>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</si>
  <si>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</si>
  <si>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</si>
  <si>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</si>
  <si>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</si>
  <si>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</si>
  <si>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</si>
  <si>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</si>
  <si>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</si>
  <si>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</si>
  <si>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</si>
  <si>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</si>
  <si>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</si>
  <si>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</si>
  <si>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</si>
  <si>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</si>
  <si>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</si>
  <si>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</si>
  <si>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</si>
  <si>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</si>
  <si>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</si>
  <si>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</si>
  <si>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</si>
  <si>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</si>
  <si>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</si>
  <si>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</si>
  <si>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</si>
  <si>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</si>
  <si>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</si>
  <si>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</si>
  <si>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</si>
  <si>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</si>
  <si>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</si>
  <si>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</si>
  <si>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</si>
  <si>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</si>
  <si>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</si>
  <si>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</si>
  <si>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</si>
  <si>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</si>
  <si>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</si>
  <si>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</si>
  <si>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</si>
  <si>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</si>
  <si>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</si>
  <si>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</si>
  <si>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</si>
  <si>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</si>
  <si>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</si>
  <si>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</si>
  <si>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</si>
  <si>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</si>
  <si>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</si>
  <si>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</si>
  <si>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</si>
  <si>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</si>
  <si>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</si>
  <si>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</si>
  <si>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</si>
  <si>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</si>
  <si>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</si>
  <si>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</si>
  <si>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</si>
  <si>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</si>
  <si>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</si>
  <si>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</si>
  <si>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</si>
  <si>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</si>
  <si>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</si>
  <si>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</si>
  <si>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</si>
  <si>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</si>
  <si>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</si>
  <si>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</si>
  <si>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</si>
  <si>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</si>
  <si>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</si>
  <si>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</si>
  <si>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</si>
  <si>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</si>
  <si>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</si>
  <si>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</si>
  <si>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</si>
  <si>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</si>
  <si>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</si>
  <si>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</si>
  <si>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</si>
  <si>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</si>
  <si>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</si>
  <si>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</si>
  <si>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</si>
  <si>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</si>
  <si>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</si>
  <si>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</si>
  <si>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</si>
  <si>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</si>
  <si>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</si>
  <si>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</si>
  <si>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</si>
  <si>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</si>
  <si>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</si>
  <si>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</si>
  <si>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</si>
  <si>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</si>
  <si>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</si>
  <si>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</si>
  <si>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</si>
  <si>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</si>
  <si>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</si>
  <si>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</si>
  <si>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</si>
  <si>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</si>
  <si>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</si>
  <si>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</si>
  <si>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</si>
  <si>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</si>
  <si>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</si>
  <si>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</si>
  <si>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</si>
  <si>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</si>
  <si>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</si>
  <si>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</si>
  <si>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</si>
  <si>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</si>
  <si>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</si>
  <si>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</si>
  <si>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</si>
  <si>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</si>
  <si>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</si>
  <si>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</si>
  <si>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</si>
  <si>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</si>
  <si>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</si>
  <si>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</si>
  <si>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</si>
  <si>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</si>
  <si>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</si>
  <si>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</si>
  <si>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</si>
  <si>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</si>
  <si>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</si>
  <si>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</si>
  <si>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</si>
  <si>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</si>
  <si>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</si>
  <si>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</si>
  <si>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</si>
  <si>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</si>
  <si>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</si>
  <si>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</si>
  <si>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</si>
  <si>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</si>
  <si>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</si>
  <si>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</si>
  <si>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</si>
  <si>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</si>
  <si>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</si>
  <si>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</si>
  <si>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</si>
  <si>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</si>
  <si>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</si>
  <si>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</si>
  <si>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</si>
  <si>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</si>
  <si>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</si>
  <si>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</si>
  <si>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</si>
  <si>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</si>
  <si>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</si>
  <si>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</si>
  <si>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</si>
  <si>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</si>
  <si>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</si>
  <si>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</si>
  <si>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</si>
  <si>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</si>
  <si>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</si>
  <si>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</si>
  <si>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</si>
  <si>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</si>
  <si>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</si>
  <si>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</si>
  <si>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</si>
  <si>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</si>
  <si>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</si>
  <si>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</si>
  <si>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</si>
  <si>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</si>
  <si>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</si>
  <si>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</si>
  <si>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</si>
  <si>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</si>
  <si>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</si>
  <si>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</si>
  <si>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</si>
  <si>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</si>
  <si>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</si>
  <si>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</si>
  <si>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</si>
  <si>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</si>
  <si>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</si>
  <si>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</si>
  <si>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</si>
  <si>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</si>
  <si>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</si>
  <si>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</si>
  <si>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</si>
  <si>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</si>
  <si>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</si>
  <si>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</si>
  <si>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</si>
  <si>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</si>
  <si>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</si>
  <si>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</si>
  <si>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</si>
  <si>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</si>
  <si>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</si>
  <si>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</si>
  <si>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</si>
  <si>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</si>
  <si>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</si>
  <si>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</si>
  <si>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</si>
  <si>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</si>
  <si>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</si>
  <si>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</si>
  <si>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</si>
  <si>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</si>
  <si>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</si>
  <si>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</si>
  <si>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</si>
  <si>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</si>
  <si>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</si>
  <si>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</si>
  <si>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</si>
  <si>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</si>
  <si>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</si>
  <si>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</si>
  <si>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</si>
  <si>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</si>
  <si>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</si>
  <si>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</si>
  <si>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</si>
  <si>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</si>
  <si>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</si>
  <si>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</si>
  <si>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</si>
  <si>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</si>
  <si>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</si>
  <si>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</si>
  <si>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</si>
  <si>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</si>
  <si>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</si>
  <si>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</si>
  <si>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</si>
  <si>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</si>
  <si>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</si>
  <si>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</si>
  <si>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</si>
  <si>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</si>
  <si>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</si>
  <si>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</si>
  <si>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</si>
  <si>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</si>
  <si>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</si>
  <si>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</si>
  <si>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</si>
  <si>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</si>
  <si>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</si>
  <si>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</si>
  <si>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</si>
  <si>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</si>
  <si>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</si>
  <si>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</si>
  <si>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</si>
  <si>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</si>
  <si>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</si>
  <si>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</si>
  <si>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</si>
  <si>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</si>
  <si>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</si>
  <si>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</si>
  <si>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</si>
  <si>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</si>
  <si>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</si>
  <si>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</si>
  <si>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</si>
  <si>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</si>
  <si>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</si>
  <si>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</si>
  <si>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</si>
  <si>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</si>
  <si>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</si>
  <si>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</si>
  <si>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</si>
  <si>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</si>
  <si>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</si>
  <si>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</si>
  <si>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</si>
  <si>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</si>
  <si>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</si>
  <si>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</si>
  <si>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</si>
  <si>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</si>
  <si>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</si>
  <si>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</si>
  <si>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</si>
  <si>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</si>
  <si>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</si>
  <si>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</si>
  <si>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</si>
  <si>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</si>
  <si>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</si>
  <si>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</si>
  <si>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</si>
  <si>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</si>
  <si>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</si>
  <si>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</si>
  <si>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</si>
  <si>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</si>
  <si>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</si>
  <si>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</si>
  <si>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</si>
  <si>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</si>
  <si>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</si>
  <si>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</si>
  <si>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</si>
  <si>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</si>
  <si>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</si>
  <si>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</si>
  <si>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</si>
  <si>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</si>
  <si>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</si>
  <si>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</si>
  <si>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</si>
  <si>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</si>
  <si>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</si>
  <si>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</si>
  <si>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</si>
  <si>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</si>
  <si>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</si>
  <si>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</si>
  <si>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</si>
  <si>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</si>
  <si>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</si>
  <si>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</si>
  <si>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</si>
  <si>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</si>
  <si>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</si>
  <si>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</si>
  <si>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</si>
  <si>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</si>
  <si>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</si>
  <si>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</si>
  <si>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</si>
  <si>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</si>
  <si>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</si>
  <si>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</si>
  <si>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</si>
  <si>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</si>
  <si>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</si>
  <si>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</si>
  <si>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</si>
  <si>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</si>
  <si>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</si>
  <si>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</si>
  <si>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</si>
  <si>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</si>
  <si>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</si>
  <si>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</si>
  <si>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</si>
  <si>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</si>
  <si>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</si>
  <si>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</si>
  <si>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</si>
  <si>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</si>
  <si>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</si>
  <si>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</si>
  <si>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</si>
  <si>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</si>
  <si>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</si>
  <si>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</si>
  <si>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</si>
  <si>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</si>
  <si>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</si>
  <si>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</si>
  <si>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</si>
  <si>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</si>
  <si>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</si>
  <si>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</si>
  <si>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</si>
  <si>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</si>
  <si>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</si>
  <si>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</si>
  <si>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</si>
  <si>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</si>
  <si>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</si>
  <si>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</si>
  <si>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</si>
  <si>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</si>
  <si>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</si>
  <si>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</si>
  <si>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</si>
  <si>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</si>
  <si>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</si>
  <si>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</si>
  <si>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</si>
  <si>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</si>
  <si>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</si>
  <si>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</si>
  <si>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</si>
  <si>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</si>
  <si>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</si>
  <si>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</si>
  <si>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</si>
  <si>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</si>
  <si>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</si>
  <si>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</si>
  <si>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</si>
  <si>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</si>
  <si>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</si>
  <si>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</si>
  <si>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</si>
  <si>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</si>
  <si>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</si>
  <si>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</si>
  <si>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</si>
  <si>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</si>
  <si>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</si>
  <si>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</si>
  <si>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</si>
  <si>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</si>
  <si>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</si>
  <si>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</si>
  <si>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</si>
  <si>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</si>
  <si>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</si>
  <si>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</si>
  <si>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</si>
  <si>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</si>
  <si>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</si>
  <si>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</si>
  <si>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</si>
  <si>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</si>
  <si>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</si>
  <si>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</si>
  <si>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</si>
  <si>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</si>
  <si>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</si>
  <si>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</si>
  <si>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</si>
  <si>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</si>
  <si>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</si>
  <si>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</si>
  <si>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</si>
  <si>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</si>
  <si>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</si>
  <si>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</si>
  <si>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</si>
  <si>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</si>
  <si>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</si>
  <si>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</si>
  <si>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</si>
  <si>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</si>
  <si>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</si>
  <si>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</si>
  <si>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</si>
  <si>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</si>
  <si>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</si>
  <si>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</si>
  <si>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</si>
  <si>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</si>
  <si>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</si>
  <si>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</si>
  <si>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</si>
  <si>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</si>
  <si>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</si>
  <si>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</si>
  <si>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</si>
  <si>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</si>
  <si>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</si>
  <si>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</si>
  <si>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</si>
  <si>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</si>
  <si>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</si>
  <si>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</si>
  <si>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</si>
  <si>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</si>
  <si>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</si>
  <si>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</si>
  <si>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</si>
  <si>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</si>
  <si>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</si>
  <si>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</si>
  <si>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</si>
  <si>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</si>
  <si>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</si>
  <si>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</si>
  <si>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</si>
  <si>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</si>
  <si>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</si>
  <si>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</si>
  <si>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</si>
  <si>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</si>
  <si>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</si>
  <si>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</si>
  <si>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</si>
  <si>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</si>
  <si>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</si>
  <si>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</si>
  <si>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</si>
  <si>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</si>
  <si>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</si>
  <si>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</si>
  <si>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</si>
  <si>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</si>
  <si>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</si>
  <si>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</si>
  <si>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</si>
  <si>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</si>
  <si>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</si>
  <si>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</si>
  <si>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</si>
  <si>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</si>
  <si>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</si>
  <si>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</si>
  <si>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</si>
  <si>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</si>
  <si>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</si>
  <si>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</si>
  <si>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</si>
  <si>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</si>
  <si>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</si>
  <si>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</si>
  <si>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</si>
  <si>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</si>
  <si>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</si>
  <si>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</si>
  <si>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</si>
  <si>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</si>
  <si>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</si>
  <si>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</si>
  <si>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</si>
  <si>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</si>
  <si>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</si>
  <si>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</si>
  <si>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</si>
  <si>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</si>
  <si>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</si>
  <si>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</si>
  <si>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</si>
  <si>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</si>
  <si>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</si>
  <si>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</si>
  <si>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</si>
  <si>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</si>
  <si>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</si>
  <si>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</si>
  <si>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</si>
  <si>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</si>
  <si>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</si>
  <si>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</si>
  <si>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</si>
  <si>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</si>
  <si>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</si>
  <si>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</si>
  <si>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</si>
  <si>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</si>
  <si>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</si>
  <si>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</si>
  <si>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</si>
  <si>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</si>
  <si>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</si>
  <si>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</si>
  <si>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</si>
  <si>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</si>
  <si>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</si>
  <si>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</si>
  <si>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</si>
  <si>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</si>
  <si>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</si>
  <si>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</si>
  <si>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</si>
  <si>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</si>
  <si>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</si>
  <si>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</si>
  <si>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</si>
  <si>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</si>
  <si>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</si>
  <si>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</si>
  <si>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</si>
  <si>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</si>
  <si>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</si>
  <si>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</si>
  <si>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</si>
  <si>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</si>
  <si>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</si>
  <si>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</si>
  <si>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</si>
  <si>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</si>
  <si>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</si>
  <si>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</si>
  <si>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</si>
  <si>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</si>
  <si>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</si>
  <si>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</si>
  <si>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</si>
  <si>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</si>
  <si>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</si>
  <si>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</si>
  <si>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</si>
  <si>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</si>
  <si>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</si>
  <si>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</si>
  <si>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</si>
  <si>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</si>
  <si>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</si>
  <si>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</si>
  <si>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</si>
  <si>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</si>
  <si>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</si>
  <si>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</si>
  <si>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</si>
  <si>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</si>
  <si>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</si>
  <si>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</si>
  <si>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</si>
  <si>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</si>
  <si>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</si>
  <si>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</si>
  <si>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</si>
  <si>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</si>
  <si>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</si>
  <si>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</si>
  <si>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</si>
  <si>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</si>
  <si>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</si>
  <si>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</si>
  <si>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</si>
  <si>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</si>
  <si>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</si>
  <si>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</si>
  <si>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</si>
  <si>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</si>
  <si>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</si>
  <si>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</si>
  <si>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</si>
  <si>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</si>
  <si>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</si>
  <si>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</si>
  <si>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</si>
  <si>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</si>
  <si>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</si>
  <si>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</si>
  <si>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</si>
  <si>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</si>
  <si>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</si>
  <si>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</si>
  <si>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</si>
  <si>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</si>
  <si>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</si>
  <si>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</si>
  <si>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</si>
  <si>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</si>
  <si>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</si>
  <si>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</si>
  <si>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</si>
  <si>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</si>
  <si>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</si>
  <si>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</si>
  <si>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</si>
  <si>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</si>
  <si>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</si>
  <si>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</si>
  <si>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</si>
  <si>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</si>
  <si>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</si>
  <si>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</si>
  <si>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</si>
  <si>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</si>
  <si>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</si>
  <si>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</si>
  <si>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</si>
  <si>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</si>
  <si>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</si>
  <si>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</si>
  <si>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</si>
  <si>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</si>
  <si>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</si>
  <si>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</si>
  <si>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</si>
  <si>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</si>
  <si>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</si>
  <si>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</si>
  <si>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</si>
  <si>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</si>
  <si>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</si>
  <si>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</si>
  <si>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</si>
  <si>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</si>
  <si>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</si>
  <si>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</si>
  <si>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</si>
  <si>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</si>
  <si>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</si>
  <si>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</si>
  <si>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</si>
  <si>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</si>
  <si>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</si>
  <si>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</si>
  <si>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</si>
  <si>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</si>
  <si>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</si>
  <si>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</si>
  <si>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</si>
  <si>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</si>
  <si>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</si>
  <si>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</si>
  <si>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</si>
  <si>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</si>
  <si>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</si>
  <si>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</si>
  <si>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</si>
  <si>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</si>
  <si>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</si>
  <si>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</si>
  <si>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</si>
  <si>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</si>
  <si>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</si>
  <si>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</si>
  <si>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</si>
  <si>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</si>
  <si>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</si>
  <si>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</si>
  <si>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</si>
  <si>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</si>
  <si>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</si>
  <si>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</si>
  <si>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</si>
  <si>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</si>
  <si>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</si>
  <si>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</si>
  <si>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</si>
  <si>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</si>
  <si>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</si>
  <si>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</si>
  <si>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</si>
  <si>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</si>
  <si>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</si>
  <si>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</si>
  <si>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</si>
  <si>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</si>
  <si>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</si>
  <si>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</si>
  <si>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</si>
  <si>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</si>
  <si>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</si>
  <si>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</si>
  <si>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</si>
  <si>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</si>
  <si>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</si>
  <si>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</si>
  <si>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</si>
  <si>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</si>
  <si>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</si>
  <si>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</si>
  <si>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</si>
  <si>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</si>
  <si>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</si>
  <si>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</si>
  <si>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</si>
  <si>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</si>
  <si>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</si>
  <si>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</si>
  <si>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</si>
  <si>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</si>
  <si>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</si>
  <si>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</si>
  <si>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</si>
  <si>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</si>
  <si>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</si>
  <si>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</si>
  <si>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</si>
  <si>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</si>
  <si>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</si>
  <si>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</si>
  <si>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</si>
  <si>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</si>
  <si>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</si>
  <si>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</si>
  <si>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</si>
  <si>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</si>
  <si>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</si>
  <si>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</si>
  <si>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</si>
  <si>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</si>
  <si>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</si>
  <si>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</si>
  <si>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</si>
  <si>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</si>
  <si>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</si>
  <si>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</si>
  <si>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</si>
  <si>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</si>
  <si>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</si>
  <si>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</si>
  <si>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</si>
  <si>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</si>
  <si>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</si>
  <si>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</si>
  <si>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</si>
  <si>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</si>
  <si>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</si>
  <si>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</si>
  <si>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</si>
  <si>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</si>
  <si>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</si>
  <si>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</si>
  <si>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</si>
  <si>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</si>
  <si>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</si>
  <si>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</si>
  <si>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</si>
  <si>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</si>
  <si>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</si>
  <si>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</si>
  <si>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</si>
  <si>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</si>
  <si>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</si>
  <si>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</si>
  <si>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</si>
  <si>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</si>
  <si>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</si>
  <si>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</si>
  <si>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</si>
  <si>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</si>
  <si>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</si>
  <si>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</si>
  <si>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</si>
  <si>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</si>
  <si>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</si>
  <si>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</si>
  <si>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</si>
  <si>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</si>
  <si>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</si>
  <si>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</si>
  <si>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</si>
  <si>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</si>
  <si>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</si>
  <si>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</si>
  <si>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</si>
  <si>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</si>
  <si>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</si>
  <si>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</si>
  <si>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</si>
  <si>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</si>
  <si>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</si>
  <si>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</si>
  <si>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</si>
  <si>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</si>
  <si>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</si>
  <si>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</si>
  <si>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</si>
  <si>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</si>
  <si>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</si>
  <si>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</si>
  <si>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</si>
  <si>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</si>
  <si>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</si>
  <si>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</si>
  <si>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</si>
  <si>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</si>
  <si>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</si>
  <si>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</si>
  <si>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</si>
  <si>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</si>
  <si>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</si>
  <si>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</si>
  <si>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</si>
  <si>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</si>
  <si>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</si>
  <si>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</si>
  <si>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</si>
  <si>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</si>
  <si>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</si>
  <si>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</si>
  <si>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</si>
  <si>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</si>
  <si>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</si>
  <si>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</si>
  <si>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</si>
  <si>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</si>
  <si>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</si>
  <si>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</si>
  <si>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</si>
  <si>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</si>
  <si>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</si>
  <si>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</si>
  <si>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</si>
  <si>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</si>
  <si>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</si>
  <si>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</si>
  <si>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</si>
  <si>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</si>
  <si>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</si>
  <si>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</si>
  <si>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</si>
  <si>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</si>
  <si>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</si>
  <si>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</si>
  <si>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</si>
  <si>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</si>
  <si>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</si>
  <si>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</si>
  <si>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</si>
  <si>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</si>
  <si>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</si>
  <si>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</si>
  <si>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</si>
  <si>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</si>
  <si>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</si>
  <si>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</si>
  <si>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</si>
  <si>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</si>
  <si>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</si>
  <si>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</si>
  <si>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</si>
  <si>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</si>
  <si>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</si>
  <si>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</si>
  <si>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</si>
  <si>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</si>
  <si>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</si>
  <si>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</si>
  <si>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</si>
  <si>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</si>
  <si>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</si>
  <si>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</si>
  <si>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</si>
  <si>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</si>
  <si>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</si>
  <si>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</si>
  <si>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</si>
  <si>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</si>
  <si>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</si>
  <si>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</si>
  <si>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</si>
  <si>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</si>
  <si>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</si>
  <si>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</si>
  <si>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</si>
  <si>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</si>
  <si>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</si>
  <si>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</si>
  <si>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</si>
  <si>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</si>
  <si>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</si>
  <si>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</si>
  <si>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</si>
  <si>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</si>
  <si>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</si>
  <si>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</si>
  <si>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</si>
  <si>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</si>
  <si>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</si>
  <si>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</si>
  <si>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</si>
  <si>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</si>
  <si>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</si>
  <si>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</si>
  <si>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</si>
  <si>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</si>
  <si>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</si>
  <si>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</si>
  <si>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</si>
  <si>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</si>
  <si>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</si>
  <si>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</si>
  <si>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</si>
  <si>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</si>
  <si>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</si>
  <si>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</si>
  <si>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</si>
  <si>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</si>
  <si>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</si>
  <si>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</si>
  <si>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</si>
  <si>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</si>
  <si>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</si>
  <si>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</si>
  <si>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</si>
  <si>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</si>
  <si>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</si>
  <si>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</si>
  <si>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</si>
  <si>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</si>
  <si>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</si>
  <si>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</si>
  <si>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</si>
  <si>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</si>
  <si>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</si>
  <si>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</si>
  <si>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</si>
  <si>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</si>
  <si>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</si>
  <si>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</si>
  <si>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</si>
  <si>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</si>
  <si>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</si>
  <si>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</si>
  <si>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</si>
  <si>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</si>
  <si>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</si>
  <si>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</si>
  <si>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</si>
  <si>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</si>
  <si>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</si>
  <si>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</si>
  <si>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</si>
  <si>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</si>
  <si>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</si>
  <si>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</si>
  <si>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</si>
  <si>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</si>
  <si>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</si>
  <si>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</si>
  <si>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</si>
  <si>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</si>
  <si>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</si>
  <si>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</si>
  <si>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</si>
  <si>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</si>
  <si>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</si>
  <si>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</si>
  <si>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</si>
  <si>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</si>
  <si>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</si>
  <si>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</si>
  <si>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</si>
  <si>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</si>
  <si>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</si>
  <si>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</si>
  <si>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</si>
  <si>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</si>
  <si>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</si>
  <si>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</si>
  <si>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</si>
  <si>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</si>
  <si>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</si>
  <si>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</si>
  <si>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</si>
  <si>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</si>
  <si>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</si>
  <si>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</si>
  <si>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</si>
  <si>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</si>
  <si>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</si>
  <si>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</si>
  <si>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</si>
  <si>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</si>
  <si>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</si>
  <si>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</si>
  <si>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</si>
  <si>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</si>
  <si>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</si>
  <si>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</si>
  <si>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</si>
  <si>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</si>
  <si>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</si>
  <si>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</si>
  <si>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</si>
  <si>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</si>
  <si>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</si>
  <si>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</si>
  <si>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</si>
  <si>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</si>
  <si>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</si>
  <si>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</si>
  <si>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</si>
  <si>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</si>
  <si>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</si>
  <si>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</si>
  <si>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</si>
  <si>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</si>
  <si>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</si>
  <si>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</si>
  <si>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</si>
  <si>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</si>
  <si>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</si>
  <si>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</si>
  <si>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</si>
  <si>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</si>
  <si>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</si>
  <si>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</si>
  <si>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</si>
  <si>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</si>
  <si>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</si>
  <si>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</si>
  <si>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</si>
  <si>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</si>
  <si>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</si>
  <si>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</si>
  <si>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</si>
  <si>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</si>
  <si>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</si>
  <si>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</si>
  <si>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</si>
  <si>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</si>
  <si>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</si>
  <si>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</si>
  <si>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</si>
  <si>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</si>
  <si>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</si>
  <si>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</si>
  <si>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</si>
  <si>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</si>
  <si>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</si>
  <si>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</si>
  <si>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</si>
  <si>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</si>
  <si>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</si>
  <si>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</si>
  <si>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</si>
  <si>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</si>
  <si>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</si>
  <si>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</si>
  <si>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</si>
  <si>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</si>
  <si>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</si>
  <si>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</si>
  <si>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</si>
  <si>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</si>
  <si>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</si>
  <si>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</si>
  <si>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</si>
  <si>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</si>
  <si>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</si>
  <si>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</si>
  <si>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</si>
  <si>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</si>
  <si>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</si>
  <si>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</si>
  <si>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</si>
  <si>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</si>
  <si>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</si>
  <si>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</si>
  <si>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</si>
  <si>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</si>
  <si>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</si>
  <si>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</si>
  <si>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</si>
  <si>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</si>
  <si>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</si>
  <si>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</si>
  <si>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</si>
  <si>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</si>
  <si>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</si>
  <si>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</si>
  <si>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</si>
  <si>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</si>
  <si>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</si>
  <si>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</si>
  <si>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</si>
  <si>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</si>
  <si>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</si>
  <si>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</si>
  <si>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</si>
  <si>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</si>
  <si>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</si>
  <si>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</si>
  <si>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</si>
  <si>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</si>
  <si>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</si>
  <si>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</si>
  <si>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</si>
  <si>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</si>
  <si>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</si>
  <si>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</si>
  <si>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</si>
  <si>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</si>
  <si>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</si>
  <si>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</si>
  <si>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</si>
  <si>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</si>
  <si>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</si>
  <si>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</si>
  <si>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</si>
  <si>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</si>
  <si>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</si>
  <si>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</si>
  <si>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</si>
  <si>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</si>
  <si>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</si>
  <si>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</si>
  <si>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</si>
  <si>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</si>
  <si>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</si>
  <si>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</si>
  <si>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</si>
  <si>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</si>
  <si>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</si>
  <si>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</si>
  <si>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</si>
  <si>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</si>
  <si>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</si>
  <si>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</si>
  <si>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</si>
  <si>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</si>
  <si>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</si>
  <si>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</si>
  <si>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</si>
  <si>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</si>
  <si>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</si>
  <si>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</si>
  <si>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</si>
  <si>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</si>
  <si>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</si>
  <si>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</si>
  <si>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</si>
  <si>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</si>
  <si>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</si>
  <si>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</si>
  <si>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</si>
  <si>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</si>
  <si>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</si>
  <si>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</si>
  <si>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</si>
  <si>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</si>
  <si>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</si>
  <si>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</si>
  <si>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</si>
  <si>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</si>
  <si>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</si>
  <si>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</si>
  <si>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</si>
  <si>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</si>
  <si>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</si>
  <si>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</si>
  <si>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</si>
  <si>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</si>
  <si>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</si>
  <si>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</si>
  <si>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</si>
  <si>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</si>
  <si>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</si>
  <si>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</si>
  <si>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</si>
  <si>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</si>
  <si>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</si>
  <si>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</si>
  <si>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</si>
  <si>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</si>
  <si>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</si>
  <si>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</si>
  <si>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</si>
  <si>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</si>
  <si>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</si>
  <si>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</si>
  <si>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</si>
  <si>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</si>
  <si>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</si>
  <si>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</si>
  <si>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</si>
  <si>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</si>
  <si>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</si>
  <si>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</si>
  <si>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</si>
  <si>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</si>
  <si>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</si>
  <si>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</si>
  <si>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</si>
  <si>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</si>
  <si>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</si>
  <si>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</si>
  <si>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</si>
  <si>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</si>
  <si>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</si>
  <si>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</si>
  <si>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</si>
  <si>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</si>
  <si>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</si>
  <si>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</si>
  <si>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</si>
  <si>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</si>
  <si>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</si>
  <si>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</si>
  <si>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</si>
  <si>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</si>
  <si>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</si>
  <si>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</si>
  <si>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</si>
  <si>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</si>
  <si>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</si>
  <si>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</si>
  <si>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</si>
  <si>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</si>
  <si>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</si>
  <si>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</si>
  <si>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</si>
  <si>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</si>
  <si>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</si>
  <si>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</si>
  <si>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</si>
  <si>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</si>
  <si>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</si>
  <si>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</si>
  <si>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</si>
  <si>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</si>
  <si>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</si>
  <si>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</si>
  <si>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</si>
  <si>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</si>
  <si>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</si>
  <si>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</si>
  <si>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</si>
  <si>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</si>
  <si>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</si>
  <si>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</si>
  <si>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</si>
  <si>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</si>
  <si>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</si>
  <si>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</si>
  <si>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</si>
  <si>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</si>
  <si>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</si>
  <si>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</si>
  <si>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</si>
  <si>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</si>
  <si>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</si>
  <si>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</si>
  <si>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</si>
  <si>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</si>
  <si>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</si>
  <si>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</si>
  <si>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</si>
  <si>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</si>
  <si>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</si>
  <si>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</si>
  <si>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</si>
  <si>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</si>
  <si>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</si>
  <si>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</si>
  <si>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</si>
  <si>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</si>
  <si>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</si>
  <si>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</si>
  <si>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</si>
  <si>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</si>
  <si>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</si>
  <si>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</si>
  <si>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</si>
  <si>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</si>
  <si>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</si>
  <si>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</si>
  <si>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</si>
  <si>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</si>
  <si>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</si>
  <si>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</si>
  <si>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</si>
  <si>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</si>
  <si>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</si>
  <si>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</si>
  <si>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</si>
  <si>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</si>
  <si>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</si>
  <si>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</si>
  <si>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</si>
  <si>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</si>
  <si>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</si>
  <si>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</si>
  <si>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</si>
  <si>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</si>
  <si>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</si>
  <si>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</si>
  <si>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</si>
  <si>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</si>
  <si>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</si>
  <si>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</si>
  <si>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</si>
  <si>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</si>
  <si>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</si>
  <si>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</si>
  <si>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</si>
  <si>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</si>
  <si>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</si>
  <si>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</si>
  <si>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</si>
  <si>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</si>
  <si>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</si>
  <si>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</si>
  <si>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</si>
  <si>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</si>
  <si>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</si>
  <si>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</si>
  <si>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</si>
  <si>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</si>
  <si>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</si>
  <si>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</si>
  <si>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</si>
  <si>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</si>
  <si>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</si>
  <si>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</si>
  <si>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</si>
  <si>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</si>
  <si>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</si>
  <si>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</si>
  <si>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</si>
  <si>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</si>
  <si>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</si>
  <si>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</si>
  <si>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</si>
  <si>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</si>
  <si>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</si>
  <si>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</si>
  <si>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</si>
  <si>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</si>
  <si>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</si>
  <si>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</si>
  <si>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</si>
  <si>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</si>
  <si>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</si>
  <si>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</si>
  <si>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</si>
  <si>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</si>
  <si>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</si>
  <si>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</si>
  <si>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</si>
  <si>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</si>
  <si>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</si>
  <si>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</si>
  <si>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</si>
  <si>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</si>
  <si>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</si>
  <si>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</si>
  <si>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</si>
  <si>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</si>
  <si>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</si>
  <si>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</si>
  <si>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</si>
  <si>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</si>
  <si>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</si>
  <si>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</si>
  <si>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</si>
  <si>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</si>
  <si>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</si>
  <si>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</si>
  <si>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</si>
  <si>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</si>
  <si>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</si>
  <si>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</si>
  <si>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</si>
  <si>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</si>
  <si>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</si>
  <si>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</si>
  <si>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</si>
  <si>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</si>
  <si>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</si>
  <si>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</si>
  <si>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</si>
  <si>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</si>
  <si>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</si>
  <si>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</si>
  <si>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</si>
  <si>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</si>
  <si>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</si>
  <si>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</si>
  <si>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</si>
  <si>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</si>
  <si>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</si>
  <si>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</si>
  <si>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</si>
  <si>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</si>
  <si>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</si>
  <si>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</si>
  <si>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</si>
  <si>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</si>
  <si>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</si>
  <si>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</si>
  <si>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</si>
  <si>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</si>
  <si>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</si>
  <si>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</si>
  <si>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</si>
  <si>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</si>
  <si>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</si>
  <si>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</si>
  <si>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</si>
  <si>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</si>
  <si>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</si>
  <si>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</si>
  <si>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</si>
  <si>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</si>
  <si>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</si>
  <si>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</si>
  <si>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</si>
  <si>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</si>
  <si>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</si>
  <si>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</si>
  <si>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</si>
  <si>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</si>
  <si>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</si>
  <si>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</si>
  <si>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</si>
  <si>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</si>
  <si>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</si>
  <si>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</si>
  <si>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</si>
  <si>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</si>
  <si>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</si>
  <si>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</si>
  <si>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</si>
  <si>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</si>
  <si>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</si>
  <si>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</si>
  <si>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</si>
  <si>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</si>
  <si>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</si>
  <si>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</si>
  <si>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</si>
  <si>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</si>
  <si>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</si>
  <si>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</si>
  <si>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</si>
  <si>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</si>
  <si>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</si>
  <si>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</si>
  <si>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</si>
  <si>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</si>
  <si>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</si>
  <si>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</si>
  <si>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</si>
  <si>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</si>
  <si>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</si>
  <si>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</si>
  <si>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</si>
  <si>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</si>
  <si>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</si>
  <si>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</si>
  <si>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</si>
  <si>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</si>
  <si>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</si>
  <si>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</si>
  <si>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</si>
  <si>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</si>
  <si>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</si>
  <si>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</si>
  <si>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</si>
  <si>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</si>
  <si>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</si>
  <si>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</si>
  <si>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</si>
  <si>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</si>
  <si>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</si>
  <si>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</si>
  <si>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</si>
  <si>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</si>
  <si>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</si>
  <si>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</si>
  <si>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</si>
  <si>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</si>
  <si>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</si>
  <si>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</si>
  <si>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</si>
  <si>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</si>
  <si>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</si>
  <si>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</si>
  <si>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</si>
  <si>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</si>
  <si>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</si>
  <si>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</si>
  <si>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</si>
  <si>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</si>
  <si>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</si>
  <si>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</si>
  <si>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</si>
  <si>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</si>
  <si>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</si>
  <si>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</si>
  <si>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</si>
  <si>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</si>
  <si>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</si>
  <si>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</si>
  <si>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</si>
  <si>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</si>
  <si>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</si>
  <si>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</si>
  <si>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</si>
  <si>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</si>
  <si>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</si>
  <si>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</si>
  <si>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</si>
  <si>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</si>
  <si>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</si>
  <si>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</si>
  <si>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</si>
  <si>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</si>
  <si>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</si>
  <si>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</si>
  <si>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</si>
  <si>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</si>
  <si>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</si>
  <si>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</si>
  <si>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</si>
  <si>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</si>
  <si>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</si>
  <si>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</si>
  <si>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</si>
  <si>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</si>
  <si>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</si>
  <si>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</si>
  <si>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</si>
  <si>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</si>
  <si>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</si>
  <si>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</si>
  <si>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</si>
  <si>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</si>
  <si>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</si>
  <si>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</si>
  <si>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</si>
  <si>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</si>
  <si>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</si>
  <si>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</si>
  <si>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</si>
  <si>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</si>
  <si>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</si>
  <si>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</si>
  <si>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</si>
  <si>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</si>
  <si>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</si>
  <si>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</si>
  <si>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</si>
  <si>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</si>
  <si>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</si>
  <si>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</si>
  <si>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</si>
  <si>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</si>
  <si>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</si>
  <si>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</si>
  <si>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</si>
  <si>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</si>
  <si>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</si>
  <si>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</si>
  <si>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</si>
  <si>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</si>
  <si>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</si>
  <si>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</si>
  <si>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</si>
  <si>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</si>
  <si>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</si>
  <si>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</si>
  <si>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</si>
  <si>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</si>
  <si>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</si>
  <si>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</si>
  <si>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</si>
  <si>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</si>
  <si>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</si>
  <si>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</si>
  <si>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</si>
  <si>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</si>
  <si>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</si>
  <si>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</si>
  <si>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</si>
  <si>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</si>
  <si>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</si>
  <si>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</si>
  <si>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</si>
  <si>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</si>
  <si>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</si>
  <si>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</si>
  <si>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</si>
  <si>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</si>
  <si>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</si>
  <si>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</si>
  <si>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</si>
  <si>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</si>
  <si>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</si>
  <si>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</si>
  <si>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</si>
  <si>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</si>
  <si>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</si>
  <si>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</si>
  <si>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</si>
  <si>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</si>
  <si>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</si>
  <si>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</si>
  <si>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</si>
  <si>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</si>
  <si>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</si>
  <si>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</si>
  <si>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</si>
  <si>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</si>
  <si>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</si>
  <si>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</si>
  <si>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</si>
  <si>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</si>
  <si>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</si>
  <si>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</si>
  <si>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</si>
  <si>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</si>
  <si>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</si>
  <si>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</si>
  <si>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</si>
  <si>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</si>
  <si>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</si>
  <si>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</si>
  <si>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</si>
  <si>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</si>
  <si>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</si>
  <si>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</si>
  <si>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</si>
  <si>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</si>
  <si>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</si>
  <si>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</si>
  <si>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</si>
  <si>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</si>
  <si>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</si>
  <si>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</si>
  <si>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</si>
  <si>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</si>
  <si>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</si>
  <si>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</si>
  <si>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</si>
  <si>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</si>
  <si>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</si>
  <si>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</si>
  <si>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</si>
  <si>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</si>
  <si>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</si>
  <si>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</si>
  <si>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</si>
  <si>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</si>
  <si>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</si>
  <si>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</si>
  <si>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</si>
  <si>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</si>
  <si>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</si>
  <si>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</si>
  <si>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</si>
  <si>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</si>
  <si>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</si>
  <si>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</si>
  <si>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</si>
  <si>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</si>
  <si>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</si>
  <si>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</si>
  <si>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</si>
  <si>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</si>
  <si>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</si>
  <si>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</si>
  <si>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</si>
  <si>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</si>
  <si>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</si>
  <si>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</si>
  <si>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</si>
  <si>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</si>
  <si>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</si>
  <si>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</si>
  <si>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</si>
  <si>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</si>
  <si>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</si>
  <si>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</si>
  <si>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</si>
  <si>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</si>
  <si>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</si>
  <si>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</si>
  <si>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</si>
  <si>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</si>
  <si>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</si>
  <si>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</si>
  <si>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</si>
  <si>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</si>
  <si>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</si>
  <si>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</si>
  <si>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</si>
  <si>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</si>
  <si>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</si>
  <si>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</si>
  <si>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</si>
  <si>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</si>
  <si>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</si>
  <si>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</si>
  <si>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</si>
  <si>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</si>
  <si>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</si>
  <si>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</si>
  <si>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</si>
  <si>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</si>
  <si>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</si>
  <si>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</si>
  <si>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</si>
  <si>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</si>
  <si>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</si>
  <si>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</si>
  <si>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</si>
  <si>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</si>
  <si>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</si>
  <si>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</si>
  <si>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</si>
  <si>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</si>
  <si>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</si>
  <si>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</si>
  <si>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</si>
  <si>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</si>
  <si>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</si>
  <si>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</si>
  <si>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</si>
  <si>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</si>
  <si>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</si>
  <si>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</si>
  <si>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</si>
  <si>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</si>
  <si>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</si>
  <si>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</si>
  <si>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</si>
  <si>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</si>
  <si>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</si>
  <si>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</si>
  <si>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</si>
  <si>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</si>
  <si>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</si>
  <si>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</si>
  <si>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</si>
  <si>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</si>
  <si>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</si>
  <si>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</si>
  <si>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</si>
  <si>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</si>
  <si>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</si>
  <si>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</si>
  <si>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</si>
  <si>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</si>
  <si>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</si>
  <si>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</si>
  <si>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</si>
  <si>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</si>
  <si>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</si>
  <si>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</si>
  <si>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</si>
  <si>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</si>
  <si>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</si>
  <si>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</si>
  <si>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</si>
  <si>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</si>
  <si>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</si>
  <si>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</si>
  <si>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</si>
  <si>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</si>
  <si>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</si>
  <si>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</si>
  <si>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</si>
  <si>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</si>
  <si>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</si>
  <si>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</si>
  <si>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</si>
  <si>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</si>
  <si>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</si>
  <si>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</si>
  <si>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</si>
  <si>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</si>
  <si>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</si>
  <si>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</si>
  <si>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</si>
  <si>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</si>
  <si>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</si>
  <si>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</si>
  <si>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</si>
  <si>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</si>
  <si>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</si>
  <si>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</si>
  <si>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</si>
  <si>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</si>
  <si>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</si>
  <si>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</si>
  <si>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</si>
  <si>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</si>
  <si>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</si>
  <si>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</si>
  <si>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</si>
  <si>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</si>
  <si>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</si>
  <si>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</si>
  <si>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</si>
  <si>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</si>
  <si>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</si>
  <si>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</si>
  <si>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</si>
  <si>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</si>
  <si>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</si>
  <si>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</si>
  <si>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</si>
  <si>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</si>
  <si>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</si>
  <si>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</si>
  <si>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</si>
  <si>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</si>
  <si>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</si>
  <si>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</si>
  <si>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</si>
  <si>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</si>
  <si>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</si>
  <si>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</si>
  <si>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</si>
  <si>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</si>
  <si>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</si>
  <si>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</si>
  <si>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</si>
  <si>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</si>
  <si>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</si>
  <si>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</si>
  <si>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</si>
  <si>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</si>
  <si>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</si>
  <si>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# of Backers</t>
  </si>
  <si>
    <t>Median # of Backers</t>
  </si>
  <si>
    <t>Minimum # of Backers</t>
  </si>
  <si>
    <t>Maximum # of Backers</t>
  </si>
  <si>
    <t>Variance of # of Backers</t>
  </si>
  <si>
    <t>Std Dev of # of Backers</t>
  </si>
  <si>
    <t>Successful</t>
  </si>
  <si>
    <t>Failed</t>
  </si>
  <si>
    <t>Total # of backers</t>
  </si>
  <si>
    <t>In both cases, we can assume that the median is best to summarize the data as the two datasets are more right skew than a normal distribution</t>
  </si>
  <si>
    <t>Determination:</t>
  </si>
  <si>
    <t>Variability:</t>
  </si>
  <si>
    <t>We notice that there is slightly more variability with the successful campaigns. This would make sense and it is expected because overall, there are noticeably more successful campaigns than 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</si>
</sst>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9" fontId="0" fillId="0" borderId="0" xfId="43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(Category)!PivotTable1</c:name>
    <c:fmtId val="1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0-4AF9-A1FC-043861B40C01}"/>
            </c:ext>
          </c:extLst>
        </c:ser>
        <c:ser>
          <c:idx val="1"/>
          <c:order val="1"/>
          <c:tx>
            <c:strRef>
              <c:f>'Pivot Table (Category)'!$C$3:$C$4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0-4AF9-A1FC-043861B40C01}"/>
            </c:ext>
          </c:extLst>
        </c:ser>
        <c:ser>
          <c:idx val="2"/>
          <c:order val="2"/>
          <c:tx>
            <c:strRef>
              <c:f>'Pivot Table (Category)'!$D$3:$D$4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B0-4AF9-A1FC-043861B40C01}"/>
            </c:ext>
          </c:extLst>
        </c:ser>
        <c:ser>
          <c:idx val="3"/>
          <c:order val="3"/>
          <c:tx>
            <c:strRef>
              <c:f>'Pivot Table (Category)'!$E$3:$E$4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B0-4AF9-A1FC-043861B40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818191"/>
        <c:axId val="1160242383"/>
      </c:barChart>
      <c:catAx>
        <c:axId val="81781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42383"/>
        <c:crosses val="autoZero"/>
        <c:auto val="1"/>
        <c:lblAlgn val="ctr"/>
        <c:lblOffset val="100"/>
        <c:noMultiLvlLbl val="0"/>
      </c:catAx>
      <c:valAx>
        <c:axId val="11602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1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(Sub-Category)!PivotTable2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F-4ADB-ACA4-E985BA735B56}"/>
            </c:ext>
          </c:extLst>
        </c:ser>
        <c:ser>
          <c:idx val="1"/>
          <c:order val="1"/>
          <c:tx>
            <c:strRef>
              <c:f>'Pivot Table 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F-4ADB-ACA4-E985BA735B56}"/>
            </c:ext>
          </c:extLst>
        </c:ser>
        <c:ser>
          <c:idx val="2"/>
          <c:order val="2"/>
          <c:tx>
            <c:strRef>
              <c:f>'Pivot Table 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5F-4ADB-ACA4-E985BA735B56}"/>
            </c:ext>
          </c:extLst>
        </c:ser>
        <c:ser>
          <c:idx val="3"/>
          <c:order val="3"/>
          <c:tx>
            <c:strRef>
              <c:f>'Pivot Table 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6D-4711-A547-CE6DD1FE4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9314479"/>
        <c:axId val="1153653807"/>
      </c:barChart>
      <c:catAx>
        <c:axId val="101931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53807"/>
        <c:crosses val="autoZero"/>
        <c:auto val="1"/>
        <c:lblAlgn val="ctr"/>
        <c:lblOffset val="100"/>
        <c:noMultiLvlLbl val="0"/>
      </c:catAx>
      <c:valAx>
        <c:axId val="11536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31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(Date Created)!PivotTable3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(Date Created)'!$B$4:$B$5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(Date Created)'!$B$6:$B$18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6-4E4D-B7D6-D8A19A24A4BB}"/>
            </c:ext>
          </c:extLst>
        </c:ser>
        <c:ser>
          <c:idx val="1"/>
          <c:order val="1"/>
          <c:tx>
            <c:strRef>
              <c:f>'Pivot Table (Date Created)'!$C$4:$C$5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'Pivot Table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(Date Created)'!$C$6:$C$18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94-4D91-8F64-D6D59BB92E6D}"/>
            </c:ext>
          </c:extLst>
        </c:ser>
        <c:ser>
          <c:idx val="2"/>
          <c:order val="2"/>
          <c:tx>
            <c:strRef>
              <c:f>'Pivot Table (Date Created)'!$D$4:$D$5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(Date Created)'!$D$6:$D$18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94-4D91-8F64-D6D59BB92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227807"/>
        <c:axId val="1781641455"/>
      </c:lineChart>
      <c:catAx>
        <c:axId val="178722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641455"/>
        <c:crosses val="autoZero"/>
        <c:auto val="1"/>
        <c:lblAlgn val="ctr"/>
        <c:lblOffset val="100"/>
        <c:noMultiLvlLbl val="0"/>
      </c:catAx>
      <c:valAx>
        <c:axId val="178164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2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% Outcomes Based</a:t>
            </a:r>
            <a:r>
              <a:rPr lang="en-CA" baseline="0"/>
              <a:t>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4-493D-9E9C-E10CAFC165EA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4-493D-9E9C-E10CAFC165EA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84-493D-9E9C-E10CAFC16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713151"/>
        <c:axId val="137260575"/>
      </c:lineChart>
      <c:catAx>
        <c:axId val="212371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0575"/>
        <c:crosses val="autoZero"/>
        <c:auto val="1"/>
        <c:lblAlgn val="ctr"/>
        <c:lblOffset val="100"/>
        <c:noMultiLvlLbl val="0"/>
      </c:catAx>
      <c:valAx>
        <c:axId val="1372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1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458786</xdr:colOff>
      <xdr:row>1</xdr:row>
      <xdr:rowOff>3174</xdr:rowOff>
    </xdr:from>
    <xdr:to>
      <xdr:col>16</xdr:col>
      <xdr:colOff>419099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794E8D-E1F2-1FBC-45D5-E479C03AC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217487</xdr:colOff>
      <xdr:row>2</xdr:row>
      <xdr:rowOff>120649</xdr:rowOff>
    </xdr:from>
    <xdr:to>
      <xdr:col>20</xdr:col>
      <xdr:colOff>314325</xdr:colOff>
      <xdr:row>37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11682-C730-B742-B9A2-653EC28BB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239711</xdr:colOff>
      <xdr:row>3</xdr:row>
      <xdr:rowOff>66674</xdr:rowOff>
    </xdr:from>
    <xdr:to>
      <xdr:col>16</xdr:col>
      <xdr:colOff>561974</xdr:colOff>
      <xdr:row>25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4632B-4FB5-7A2D-E0C6-E7969DDE7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15</xdr:row>
      <xdr:rowOff>6350</xdr:rowOff>
    </xdr:from>
    <xdr:to>
      <xdr:col>7</xdr:col>
      <xdr:colOff>1428750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8AFD6-C93C-0C17-664C-759B6B005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vil" refreshedDate="45227.718814236112" createdVersion="8" refreshedVersion="8" minRefreshableVersion="3" recordCount="1000" xr:uid="{374E34B9-7645-40C2-B1E3-70300536847B}">
  <cacheSource type="worksheet">
    <worksheetSource ref="A1:T1001" sheet="Crowdfunding Main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6F23A-61A7-47AF-A356-11CF58D4F1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A0307-9B3C-4734-910D-98D2A1CEA00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4F681-15C1-464C-B2DC-4C624DCC025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7" workbookViewId="0">
      <selection activeCell="J7" sqref="J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7.75" bestFit="1" customWidth="1"/>
    <col min="6" max="6" width="14.5" bestFit="1" customWidth="1"/>
    <col min="8" max="8" width="13" bestFit="1" customWidth="1"/>
    <col min="9" max="9" width="13" customWidth="1"/>
    <col min="12" max="12" width="15.58203125" bestFit="1" customWidth="1"/>
    <col min="13" max="13" width="15.58203125" customWidth="1"/>
    <col min="14" max="14" width="12.33203125" bestFit="1" customWidth="1"/>
    <col min="15" max="15" width="12.33203125" customWidth="1"/>
    <col min="18" max="18" width="28" bestFit="1" customWidth="1"/>
    <col min="19" max="19" width="14.83203125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E2/D2*(100)</f>
        <v>0</v>
      </c>
      <c r="G2" t="s">
        <v>14</v>
      </c>
      <c r="H2">
        <v>0</v>
      </c>
      <c r="I2" s="5">
        <f t="shared" ref="I2:I66" si="0"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E3/D3*(100)</f>
        <v>1040</v>
      </c>
      <c r="G3" t="s">
        <v>20</v>
      </c>
      <c r="H3">
        <v>158</v>
      </c>
      <c r="I3" s="5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E4/D4*(100)</f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IFERROR(E67/H67,0)</f>
        <v>61.038135593220339</v>
      </c>
      <c r="J67" t="s">
        <v>21</v>
      </c>
      <c r="K67" t="s">
        <v>22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E68/D68*(100)</f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5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E132/D132*(100)</f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IFERROR(E195/H195,0)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E196/D196*(100)</f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IFERROR(E259/H259,0)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E260/D260*(100)</f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5">
        <f t="shared" ref="I323:I386" si="20">IFERROR(E323/H323,0)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E324/D324*(100)</f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IFERROR(E387/H387,0)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E388/D388*(100)</f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IFERROR(E451/H451,0)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E452/D452*(100)</f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5">
        <f t="shared" ref="I515:I578" si="32">IFERROR(E515/H515,0)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E516/D516*(100)</f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IFERROR(E579/H579,0)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E580/D580*(100)</f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IFERROR(E643/H643,0)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E644/D644*(100)</f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IFERROR(E707/H707,0)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E708/D708*(100)</f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IFERROR(E771/H771,0)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E772/D772*(100)</f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IFERROR(E835/H835,0)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E836/D836*(100)</f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IFERROR(E899/H899,0)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E900/D900*(100)</f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IFERROR(E963/H963,0)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E964/D964*(100)</f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theme="4"/>
      </colorScale>
    </cfRule>
  </conditionalFormatting>
  <conditionalFormatting sqref="G1:G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failed">
      <formula>NOT(ISERROR(SEARCH("failed",G2)))</formula>
    </cfRule>
    <cfRule type="containsText" dxfId="8" priority="5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71FB-AFF6-4B28-AF4D-0568EE8C7D38}">
  <dimension ref="A1:F14"/>
  <sheetViews>
    <sheetView workbookViewId="0">
      <selection activeCell="E23" sqref="E23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3" spans="1:6" x14ac:dyDescent="0.35">
      <c r="A3" s="6" t="s">
        <v>2070</v>
      </c>
      <c r="B3" s="6" t="s">
        <v>2068</v>
      </c>
    </row>
    <row r="4" spans="1:6" x14ac:dyDescent="0.3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2064</v>
      </c>
      <c r="E8">
        <v>4</v>
      </c>
      <c r="F8">
        <v>4</v>
      </c>
    </row>
    <row r="9" spans="1:6" x14ac:dyDescent="0.3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CFA0-74F5-4E74-AB48-447AA304A212}">
  <dimension ref="A1:F32"/>
  <sheetViews>
    <sheetView workbookViewId="0">
      <selection activeCell="C32" sqref="C32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2" spans="1:6" x14ac:dyDescent="0.35">
      <c r="A2" s="6" t="s">
        <v>2031</v>
      </c>
      <c r="B2" t="s">
        <v>2069</v>
      </c>
    </row>
    <row r="4" spans="1:6" x14ac:dyDescent="0.35">
      <c r="A4" s="6" t="s">
        <v>2070</v>
      </c>
      <c r="B4" s="6" t="s">
        <v>2068</v>
      </c>
    </row>
    <row r="5" spans="1:6" x14ac:dyDescent="0.3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7" t="s">
        <v>2065</v>
      </c>
      <c r="E7">
        <v>4</v>
      </c>
      <c r="F7">
        <v>4</v>
      </c>
    </row>
    <row r="8" spans="1:6" x14ac:dyDescent="0.3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7" t="s">
        <v>2043</v>
      </c>
      <c r="C10">
        <v>8</v>
      </c>
      <c r="E10">
        <v>10</v>
      </c>
      <c r="F10">
        <v>18</v>
      </c>
    </row>
    <row r="11" spans="1:6" x14ac:dyDescent="0.3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7" t="s">
        <v>2057</v>
      </c>
      <c r="C15">
        <v>3</v>
      </c>
      <c r="E15">
        <v>4</v>
      </c>
      <c r="F15">
        <v>7</v>
      </c>
    </row>
    <row r="16" spans="1:6" x14ac:dyDescent="0.3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7" t="s">
        <v>2056</v>
      </c>
      <c r="C20">
        <v>4</v>
      </c>
      <c r="E20">
        <v>4</v>
      </c>
      <c r="F20">
        <v>8</v>
      </c>
    </row>
    <row r="21" spans="1:6" x14ac:dyDescent="0.3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7" t="s">
        <v>2063</v>
      </c>
      <c r="C22">
        <v>9</v>
      </c>
      <c r="E22">
        <v>5</v>
      </c>
      <c r="F22">
        <v>14</v>
      </c>
    </row>
    <row r="23" spans="1:6" x14ac:dyDescent="0.3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7" t="s">
        <v>2059</v>
      </c>
      <c r="C25">
        <v>7</v>
      </c>
      <c r="E25">
        <v>14</v>
      </c>
      <c r="F25">
        <v>21</v>
      </c>
    </row>
    <row r="26" spans="1:6" x14ac:dyDescent="0.3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7" t="s">
        <v>2062</v>
      </c>
      <c r="E29">
        <v>3</v>
      </c>
      <c r="F29">
        <v>3</v>
      </c>
    </row>
    <row r="30" spans="1:6" x14ac:dyDescent="0.3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  <row r="32" spans="1:6" x14ac:dyDescent="0.35">
      <c r="E32" s="1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F27D-9724-4D9C-9D36-7DE39783358D}">
  <dimension ref="A1:E18"/>
  <sheetViews>
    <sheetView workbookViewId="0">
      <selection activeCell="S16" sqref="S16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6" t="s">
        <v>2031</v>
      </c>
      <c r="B1" t="s">
        <v>2069</v>
      </c>
    </row>
    <row r="2" spans="1:5" x14ac:dyDescent="0.35">
      <c r="A2" s="6" t="s">
        <v>2085</v>
      </c>
      <c r="B2" t="s">
        <v>2069</v>
      </c>
    </row>
    <row r="4" spans="1:5" x14ac:dyDescent="0.35">
      <c r="A4" s="6" t="s">
        <v>2070</v>
      </c>
      <c r="B4" s="6" t="s">
        <v>2068</v>
      </c>
    </row>
    <row r="5" spans="1:5" x14ac:dyDescent="0.3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85BC-3091-4258-8671-49D57EC97FA1}">
  <dimension ref="A1:H14"/>
  <sheetViews>
    <sheetView workbookViewId="0">
      <selection activeCell="M19" sqref="M19"/>
    </sheetView>
  </sheetViews>
  <sheetFormatPr defaultRowHeight="15.5" x14ac:dyDescent="0.35"/>
  <cols>
    <col min="1" max="1" width="23.9140625" customWidth="1"/>
    <col min="2" max="2" width="17.25" bestFit="1" customWidth="1"/>
    <col min="3" max="3" width="13" bestFit="1" customWidth="1"/>
    <col min="4" max="4" width="15.5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  <col min="9" max="10" width="8.5" customWidth="1"/>
  </cols>
  <sheetData>
    <row r="1" spans="1:8" s="10" customFormat="1" x14ac:dyDescent="0.3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5">
      <c r="A2" s="9" t="s">
        <v>2094</v>
      </c>
      <c r="B2">
        <f>COUNTIFS('Crowdfunding Main'!$G$2:$G$1001,"successful",'Crowdfunding Main'!$D$2:$D$1001,"&lt;1000")</f>
        <v>30</v>
      </c>
      <c r="C2">
        <f>COUNTIFS('Crowdfunding Main'!$G$2:$G$1001,"failed",'Crowdfunding Main'!$D$2:$D$1001,"&lt;1000")</f>
        <v>20</v>
      </c>
      <c r="D2">
        <f>COUNTIFS('Crowdfunding Main'!$G$2:$G$1001,"canceled",'Crowdfunding Main'!$D$2:$D$1001,"&lt;1000")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9" t="s">
        <v>2095</v>
      </c>
      <c r="B3">
        <f>COUNTIFS('Crowdfunding Main'!$G$2:$G$1001,"successful",'Crowdfunding Main'!$D$2:$D$1001,"&gt;=1000",'Crowdfunding Main'!$D$2:$D$1001,"&lt;=4999")</f>
        <v>191</v>
      </c>
      <c r="C3">
        <f>COUNTIFS('Crowdfunding Main'!$G$2:$G$1001,"failed",'Crowdfunding Main'!$D$2:$D$1001,"&gt;=1000",'Crowdfunding Main'!$D$2:$D$1001,"&lt;=4999")</f>
        <v>38</v>
      </c>
      <c r="D3">
        <f>COUNTIFS('Crowdfunding Main'!$G$2:$G$1001,"canceled",'Crowdfunding Main'!$D$2:$D$1001,"&gt;=1000",'Crowdfunding Main'!$D$2:$D$1001,"&lt;=4999")</f>
        <v>2</v>
      </c>
      <c r="E3">
        <f t="shared" ref="E3:E13" si="0">SUM(B3:D3)</f>
        <v>231</v>
      </c>
      <c r="F3" s="11">
        <f t="shared" ref="F3:F14" si="1">B3/E3</f>
        <v>0.82683982683982682</v>
      </c>
      <c r="G3" s="11">
        <f t="shared" ref="G3:G14" si="2">C3/E3</f>
        <v>0.16450216450216451</v>
      </c>
      <c r="H3" s="11">
        <f t="shared" ref="H3:H14" si="3">D3/E3</f>
        <v>8.658008658008658E-3</v>
      </c>
    </row>
    <row r="4" spans="1:8" x14ac:dyDescent="0.35">
      <c r="A4" s="9" t="s">
        <v>2096</v>
      </c>
      <c r="B4">
        <f>COUNTIFS('Crowdfunding Main'!$G$2:$G$1001,"successful",'Crowdfunding Main'!$D$2:$D$1001,"&gt;=5000",'Crowdfunding Main'!$D$2:$D$1001,"&lt;=9999")</f>
        <v>164</v>
      </c>
      <c r="C4">
        <f>COUNTIFS('Crowdfunding Main'!$G$2:$G$1001,"failed",'Crowdfunding Main'!$D$2:$D$1001,"&gt;=5000",'Crowdfunding Main'!$D$2:$D$1001,"&lt;=9999")</f>
        <v>126</v>
      </c>
      <c r="D4">
        <f>COUNTIFS('Crowdfunding Main'!$G$2:$G$1001,"canceled",'Crowdfunding Main'!$D$2:$D$1001,"&gt;=5000",'Crowdfunding Main'!$D$2:$D$1001,"&lt;=9999")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s="9" t="s">
        <v>2097</v>
      </c>
      <c r="B5">
        <f>COUNTIFS('Crowdfunding Main'!$G$2:$G$1001,"successful",'Crowdfunding Main'!$D$2:$D$1001,"&gt;=10000",'Crowdfunding Main'!$D$2:$D$1001,"&lt;=14999")</f>
        <v>4</v>
      </c>
      <c r="C5">
        <f>COUNTIFS('Crowdfunding Main'!$G$2:$G$1001,"failed",'Crowdfunding Main'!$D$2:$D$1001,"&gt;=10000",'Crowdfunding Main'!$D$2:$D$1001,"&lt;=14999")</f>
        <v>5</v>
      </c>
      <c r="D5">
        <f>COUNTIFS('Crowdfunding Main'!$G$2:$G$1001,"canceled",'Crowdfunding Main'!$D$2:$D$1001,"&gt;=10000",'Crowdfunding Main'!$D$2:$D$1001,"&lt;=14999")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9" t="s">
        <v>2098</v>
      </c>
      <c r="B6">
        <f>COUNTIFS('Crowdfunding Main'!$G$2:$G$1001,"successful",'Crowdfunding Main'!$D$2:$D$1001,"&gt;=15000",'Crowdfunding Main'!$D$2:$D$1001,"&lt;=19999")</f>
        <v>10</v>
      </c>
      <c r="C6">
        <f>COUNTIFS('Crowdfunding Main'!$G$2:$G$1001,"failed",'Crowdfunding Main'!$D$2:$D$1001,"&gt;=15000",'Crowdfunding Main'!$D$2:$D$1001,"&lt;=19999")</f>
        <v>0</v>
      </c>
      <c r="D6">
        <f>COUNTIFS('Crowdfunding Main'!$G$2:$G$1001,"canceled",'Crowdfunding Main'!$D$2:$D$1001,"&gt;=15000",'Crowdfunding Main'!$D$2:$D$1001,"&lt;=19999")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s="9" t="s">
        <v>2099</v>
      </c>
      <c r="B7">
        <f>COUNTIFS('Crowdfunding Main'!$G$2:$G$1001,"successful",'Crowdfunding Main'!$D$2:$D$1001,"&gt;=20000",'Crowdfunding Main'!$D$2:$D$1001,"&lt;=24999")</f>
        <v>7</v>
      </c>
      <c r="C7">
        <f>COUNTIFS('Crowdfunding Main'!$G$2:$G$1001,"failed",'Crowdfunding Main'!$D$2:$D$1001,"&gt;=20000",'Crowdfunding Main'!$D$2:$D$1001,"&lt;=24999")</f>
        <v>0</v>
      </c>
      <c r="D7">
        <f>COUNTIFS('Crowdfunding Main'!$G$2:$G$1001,"canceled",'Crowdfunding Main'!$D$2:$D$1001,"&gt;=20000",'Crowdfunding Main'!$D$2:$D$1001,"&lt;=24999")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9" t="s">
        <v>2100</v>
      </c>
      <c r="B8">
        <f>COUNTIFS('Crowdfunding Main'!$G$2:$G$1001,"successful",'Crowdfunding Main'!$D$2:$D$1001,"&gt;=25000",'Crowdfunding Main'!$D$2:$D$1001,"&lt;=29999")</f>
        <v>11</v>
      </c>
      <c r="C8">
        <f>COUNTIFS('Crowdfunding Main'!$G$2:$G$1001,"failed",'Crowdfunding Main'!$D$2:$D$1001,"&gt;=25000",'Crowdfunding Main'!$D$2:$D$1001,"&lt;=29999")</f>
        <v>3</v>
      </c>
      <c r="D8">
        <f>COUNTIFS('Crowdfunding Main'!$G$2:$G$1001,"canceled",'Crowdfunding Main'!$D$2:$D$1001,"&gt;=25000",'Crowdfunding Main'!$D$2:$D$1001,"&lt;=29999")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9" t="s">
        <v>2101</v>
      </c>
      <c r="B9">
        <f>COUNTIFS('Crowdfunding Main'!$G$2:$G$1001,"successful",'Crowdfunding Main'!$D$2:$D$1001,"&gt;=30000",'Crowdfunding Main'!$D$2:$D$1001,"&lt;=34999")</f>
        <v>7</v>
      </c>
      <c r="C9">
        <f>COUNTIFS('Crowdfunding Main'!$G$2:$G$1001,"failed",'Crowdfunding Main'!$D$2:$D$1001,"&gt;=30000",'Crowdfunding Main'!$D$2:$D$1001,"&lt;=34999")</f>
        <v>0</v>
      </c>
      <c r="D9">
        <f>COUNTIFS('Crowdfunding Main'!$G$2:$G$1001,"canceled",'Crowdfunding Main'!$D$2:$D$1001,"&gt;=30000",'Crowdfunding Main'!$D$2:$D$1001,"&lt;=34999")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s="9" t="s">
        <v>2102</v>
      </c>
      <c r="B10">
        <f>COUNTIFS('Crowdfunding Main'!$G$2:$G$1001,"successful",'Crowdfunding Main'!$D$2:$D$1001,"&gt;=35000",'Crowdfunding Main'!$D$2:$D$1001,"&lt;=39999")</f>
        <v>8</v>
      </c>
      <c r="C10">
        <f>COUNTIFS('Crowdfunding Main'!$G$2:$G$1001,"failed",'Crowdfunding Main'!$D$2:$D$1001,"&gt;=35000",'Crowdfunding Main'!$D$2:$D$1001,"&lt;=39999")</f>
        <v>3</v>
      </c>
      <c r="D10">
        <f>COUNTIFS('Crowdfunding Main'!$G$2:$G$1001,"canceled",'Crowdfunding Main'!$D$2:$D$1001,"&gt;=35000",'Crowdfunding Main'!$D$2:$D$1001,"&lt;=39999")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9" t="s">
        <v>2103</v>
      </c>
      <c r="B11">
        <f>COUNTIFS('Crowdfunding Main'!$G$2:$G$1001,"successful",'Crowdfunding Main'!$D$2:$D$1001,"&gt;=40000",'Crowdfunding Main'!$D$2:$D$1001,"&lt;=44999")</f>
        <v>11</v>
      </c>
      <c r="C11">
        <f>COUNTIFS('Crowdfunding Main'!$G$2:$G$1001,"failed",'Crowdfunding Main'!$D$2:$D$1001,"&gt;=40000",'Crowdfunding Main'!$D$2:$D$1001,"&lt;=44999")</f>
        <v>3</v>
      </c>
      <c r="D11">
        <f>COUNTIFS('Crowdfunding Main'!$G$2:$G$1001,"canceled",'Crowdfunding Main'!$D$2:$D$1001,"&gt;=40000",'Crowdfunding Main'!$D$2:$D$1001,"&lt;=44999")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9" t="s">
        <v>2104</v>
      </c>
      <c r="B12">
        <f>COUNTIFS('Crowdfunding Main'!$G$2:$G$1001,"successful",'Crowdfunding Main'!$D$2:$D$1001,"&gt;=45000",'Crowdfunding Main'!$D$2:$D$1001,"&lt;=49999")</f>
        <v>8</v>
      </c>
      <c r="C12">
        <f>COUNTIFS('Crowdfunding Main'!$G$2:$G$1001,"failed",'Crowdfunding Main'!$D$2:$D$1001,"&gt;=45000",'Crowdfunding Main'!$D$2:$D$1001,"&lt;=49999")</f>
        <v>3</v>
      </c>
      <c r="D12">
        <f>COUNTIFS('Crowdfunding Main'!$G$2:$G$1001,"canceled",'Crowdfunding Main'!$D$2:$D$1001,"&gt;=45000",'Crowdfunding Main'!$D$2:$D$1001,"&lt;=49999")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ht="25" x14ac:dyDescent="0.35">
      <c r="A13" s="9" t="s">
        <v>2105</v>
      </c>
      <c r="B13">
        <f>COUNTIFS('Crowdfunding Main'!$G$2:$G$1001,"successful",'Crowdfunding Main'!$D$2:$D$1001,"&gt;50000")</f>
        <v>114</v>
      </c>
      <c r="C13">
        <f>COUNTIFS('Crowdfunding Main'!$G$2:$G$1001,"failed",'Crowdfunding Main'!$D$2:$D$1001,"&gt;50000")</f>
        <v>163</v>
      </c>
      <c r="D13">
        <f>COUNTIFS('Crowdfunding Main'!$G$2:$G$1001,"canceled",'Crowdfunding Main'!$D$2:$D$1001,"&gt;50000")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35">
      <c r="B14">
        <f>SUM(B2:B13)</f>
        <v>565</v>
      </c>
      <c r="C14">
        <f>SUM(C2:C13)</f>
        <v>364</v>
      </c>
      <c r="D14">
        <f>SUM(D2:D13)</f>
        <v>57</v>
      </c>
      <c r="E14">
        <f>SUM(E2:E13)</f>
        <v>986</v>
      </c>
      <c r="F14" s="11">
        <f t="shared" si="1"/>
        <v>0.57302231237322521</v>
      </c>
      <c r="G14" s="11">
        <f t="shared" si="2"/>
        <v>0.36916835699797163</v>
      </c>
      <c r="H14" s="11">
        <f t="shared" si="3"/>
        <v>5.7809330628803245E-2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5516-C10D-473D-AF8C-E13582E3E08F}">
  <dimension ref="A1:L566"/>
  <sheetViews>
    <sheetView workbookViewId="0">
      <selection activeCell="K10" sqref="K10"/>
    </sheetView>
  </sheetViews>
  <sheetFormatPr defaultRowHeight="15.5" x14ac:dyDescent="0.35"/>
  <cols>
    <col min="1" max="1" width="9.33203125" bestFit="1" customWidth="1"/>
    <col min="2" max="2" width="13.5" bestFit="1" customWidth="1"/>
    <col min="4" max="4" width="8.5" bestFit="1" customWidth="1"/>
    <col min="5" max="5" width="13.5" bestFit="1" customWidth="1"/>
    <col min="8" max="8" width="20.83203125" bestFit="1" customWidth="1"/>
    <col min="9" max="9" width="17.1640625" customWidth="1"/>
    <col min="10" max="10" width="11" customWidth="1"/>
    <col min="12" max="12" width="20.83203125" bestFit="1" customWidth="1"/>
    <col min="13" max="13" width="15.25" bestFit="1" customWidth="1"/>
  </cols>
  <sheetData>
    <row r="1" spans="1:12" x14ac:dyDescent="0.35">
      <c r="A1" s="1" t="s">
        <v>4</v>
      </c>
      <c r="B1" s="1" t="s">
        <v>5</v>
      </c>
      <c r="D1" s="1" t="s">
        <v>4</v>
      </c>
      <c r="E1" s="1" t="s">
        <v>5</v>
      </c>
    </row>
    <row r="2" spans="1:12" x14ac:dyDescent="0.35">
      <c r="A2" t="s">
        <v>20</v>
      </c>
      <c r="B2">
        <v>158</v>
      </c>
      <c r="D2" t="s">
        <v>14</v>
      </c>
      <c r="E2">
        <v>0</v>
      </c>
      <c r="G2" t="str">
        <f>IF('Crowdfunding Main'!G2="successful", 'Crowdfunding Main'!G2, "")</f>
        <v/>
      </c>
      <c r="I2" t="s">
        <v>2112</v>
      </c>
      <c r="J2" t="s">
        <v>2113</v>
      </c>
    </row>
    <row r="3" spans="1:12" x14ac:dyDescent="0.35">
      <c r="A3" t="s">
        <v>20</v>
      </c>
      <c r="B3">
        <v>1425</v>
      </c>
      <c r="D3" t="s">
        <v>14</v>
      </c>
      <c r="E3">
        <v>24</v>
      </c>
      <c r="H3" s="13" t="s">
        <v>2114</v>
      </c>
      <c r="I3" s="14">
        <f>SUM(Succ)</f>
        <v>480898</v>
      </c>
      <c r="J3" s="14">
        <f>SUM(FAILED)</f>
        <v>213164</v>
      </c>
      <c r="L3" t="s">
        <v>2116</v>
      </c>
    </row>
    <row r="4" spans="1:12" x14ac:dyDescent="0.35">
      <c r="A4" t="s">
        <v>20</v>
      </c>
      <c r="B4">
        <v>174</v>
      </c>
      <c r="D4" t="s">
        <v>14</v>
      </c>
      <c r="E4">
        <v>53</v>
      </c>
      <c r="G4" t="str">
        <f ca="1">IF('Crowdfunding Main'!G4="successful", G4, "")</f>
        <v/>
      </c>
      <c r="H4" t="s">
        <v>2106</v>
      </c>
      <c r="I4" s="15">
        <f>AVERAGE(B2:B566)</f>
        <v>851.14690265486729</v>
      </c>
      <c r="J4" s="15">
        <f>AVERAGE(FAILED)</f>
        <v>585.61538461538464</v>
      </c>
      <c r="L4" t="s">
        <v>2115</v>
      </c>
    </row>
    <row r="5" spans="1:12" x14ac:dyDescent="0.35">
      <c r="A5" t="s">
        <v>20</v>
      </c>
      <c r="B5">
        <v>227</v>
      </c>
      <c r="D5" t="s">
        <v>14</v>
      </c>
      <c r="E5">
        <v>18</v>
      </c>
      <c r="G5" t="str">
        <f>IF('Crowdfunding Main'!G5="successful", G5, "")</f>
        <v/>
      </c>
      <c r="H5" t="s">
        <v>2107</v>
      </c>
      <c r="I5" s="16">
        <f>MEDIAN(B2:B566)</f>
        <v>201</v>
      </c>
      <c r="J5" s="14">
        <f>MEDIAN(FAILED)</f>
        <v>114.5</v>
      </c>
    </row>
    <row r="6" spans="1:12" x14ac:dyDescent="0.35">
      <c r="A6" t="s">
        <v>20</v>
      </c>
      <c r="B6">
        <v>220</v>
      </c>
      <c r="D6" t="s">
        <v>14</v>
      </c>
      <c r="E6">
        <v>44</v>
      </c>
      <c r="G6" t="str">
        <f>IF('Crowdfunding Main'!G6="successful", G6, "")</f>
        <v/>
      </c>
      <c r="H6" t="s">
        <v>2108</v>
      </c>
      <c r="I6" s="14">
        <f>MIN(Succ)</f>
        <v>16</v>
      </c>
      <c r="J6" s="14">
        <f>MIN(FAILED)</f>
        <v>0</v>
      </c>
      <c r="L6" t="s">
        <v>2117</v>
      </c>
    </row>
    <row r="7" spans="1:12" x14ac:dyDescent="0.35">
      <c r="A7" t="s">
        <v>20</v>
      </c>
      <c r="B7">
        <v>98</v>
      </c>
      <c r="D7" t="s">
        <v>14</v>
      </c>
      <c r="E7">
        <v>27</v>
      </c>
      <c r="H7" t="s">
        <v>2109</v>
      </c>
      <c r="I7" s="14">
        <f>MAX(Succ)</f>
        <v>7295</v>
      </c>
      <c r="J7" s="14">
        <f>MAX(FAILED)</f>
        <v>6080</v>
      </c>
      <c r="L7" t="s">
        <v>2118</v>
      </c>
    </row>
    <row r="8" spans="1:12" x14ac:dyDescent="0.35">
      <c r="A8" t="s">
        <v>20</v>
      </c>
      <c r="B8">
        <v>100</v>
      </c>
      <c r="D8" t="s">
        <v>14</v>
      </c>
      <c r="E8">
        <v>55</v>
      </c>
      <c r="H8" t="s">
        <v>2110</v>
      </c>
      <c r="I8" s="15">
        <f>_xlfn.VAR.P(Succ)</f>
        <v>1603373.7324019109</v>
      </c>
      <c r="J8" s="15">
        <f>_xlfn.VAR.P(FAILED)</f>
        <v>921574.68174133555</v>
      </c>
    </row>
    <row r="9" spans="1:12" x14ac:dyDescent="0.35">
      <c r="A9" t="s">
        <v>20</v>
      </c>
      <c r="B9">
        <v>1249</v>
      </c>
      <c r="D9" t="s">
        <v>14</v>
      </c>
      <c r="E9">
        <v>200</v>
      </c>
      <c r="H9" t="s">
        <v>2111</v>
      </c>
      <c r="I9" s="15">
        <f>_xlfn.STDEV.P(Succ)</f>
        <v>1266.2439466397898</v>
      </c>
      <c r="J9" s="15">
        <f>_xlfn.STDEV.P(FAILED)</f>
        <v>959.98681331637863</v>
      </c>
    </row>
    <row r="10" spans="1:12" x14ac:dyDescent="0.35">
      <c r="A10" t="s">
        <v>20</v>
      </c>
      <c r="B10">
        <v>1396</v>
      </c>
      <c r="D10" t="s">
        <v>14</v>
      </c>
      <c r="E10">
        <v>452</v>
      </c>
      <c r="I10" s="14"/>
      <c r="J10" s="14"/>
    </row>
    <row r="11" spans="1:12" x14ac:dyDescent="0.35">
      <c r="A11" t="s">
        <v>20</v>
      </c>
      <c r="B11">
        <v>890</v>
      </c>
      <c r="D11" t="s">
        <v>14</v>
      </c>
      <c r="E11">
        <v>674</v>
      </c>
      <c r="I11" s="14"/>
      <c r="J11" s="14"/>
    </row>
    <row r="12" spans="1:12" x14ac:dyDescent="0.35">
      <c r="A12" t="s">
        <v>20</v>
      </c>
      <c r="B12">
        <v>142</v>
      </c>
      <c r="D12" t="s">
        <v>14</v>
      </c>
      <c r="E12">
        <v>558</v>
      </c>
      <c r="I12" s="14"/>
      <c r="J12" s="14"/>
    </row>
    <row r="13" spans="1:12" x14ac:dyDescent="0.35">
      <c r="A13" t="s">
        <v>20</v>
      </c>
      <c r="B13">
        <v>2673</v>
      </c>
      <c r="D13" t="s">
        <v>14</v>
      </c>
      <c r="E13">
        <v>15</v>
      </c>
      <c r="H13" s="12"/>
      <c r="I13" s="14"/>
      <c r="J13" s="14"/>
    </row>
    <row r="14" spans="1:12" x14ac:dyDescent="0.35">
      <c r="A14" t="s">
        <v>20</v>
      </c>
      <c r="B14">
        <v>163</v>
      </c>
      <c r="D14" t="s">
        <v>14</v>
      </c>
      <c r="E14">
        <v>2307</v>
      </c>
      <c r="I14" s="14"/>
      <c r="J14" s="14"/>
    </row>
    <row r="15" spans="1:12" x14ac:dyDescent="0.35">
      <c r="A15" t="s">
        <v>20</v>
      </c>
      <c r="B15">
        <v>2220</v>
      </c>
      <c r="D15" t="s">
        <v>14</v>
      </c>
      <c r="E15">
        <v>88</v>
      </c>
      <c r="I15" s="14"/>
      <c r="J15" s="14"/>
    </row>
    <row r="16" spans="1:12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autoFilter ref="A1:E1" xr:uid="{06885516-C10D-473D-AF8C-E13582E3E08F}"/>
  <conditionalFormatting sqref="A1:A104814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566">
    <cfRule type="containsText" dxfId="7" priority="8" operator="containsText" text="live">
      <formula>NOT(ISERROR(SEARCH("live",A2)))</formula>
    </cfRule>
    <cfRule type="containsText" dxfId="6" priority="9" operator="containsText" text="canceled">
      <formula>NOT(ISERROR(SEARCH("canceled",A2)))</formula>
    </cfRule>
    <cfRule type="containsText" dxfId="5" priority="10" operator="containsText" text="failed">
      <formula>NOT(ISERROR(SEARCH("failed",A2)))</formula>
    </cfRule>
    <cfRule type="containsText" dxfId="4" priority="11" operator="containsText" text="successful">
      <formula>NOT(ISERROR(SEARCH("successful",A2)))</formula>
    </cfRule>
  </conditionalFormatting>
  <conditionalFormatting sqref="D1:D10479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65">
    <cfRule type="containsText" dxfId="3" priority="3" operator="containsText" text="live">
      <formula>NOT(ISERROR(SEARCH("live",D2)))</formula>
    </cfRule>
    <cfRule type="containsText" dxfId="2" priority="4" operator="containsText" text="canceled">
      <formula>NOT(ISERROR(SEARCH("canceled",D2)))</formula>
    </cfRule>
    <cfRule type="containsText" dxfId="1" priority="5" operator="containsText" text="failed">
      <formula>NOT(ISERROR(SEARCH("failed",D2)))</formula>
    </cfRule>
    <cfRule type="containsText" dxfId="0" priority="6" operator="containsText" text="successful">
      <formula>NOT(ISERROR(SEARCH("successful",D2)))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 Main</vt:lpstr>
      <vt:lpstr>Pivot Table (Category)</vt:lpstr>
      <vt:lpstr>Pivot Table (Sub-Category)</vt:lpstr>
      <vt:lpstr>Pivot Table (Date Created)</vt:lpstr>
      <vt:lpstr>Crowdfunding Goal Analysis</vt:lpstr>
      <vt:lpstr>Successful VS Failed</vt:lpstr>
      <vt:lpstr>FAILED</vt:lpstr>
      <vt:lpstr>Succ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Sharvil K</cp:lastModifiedBy>
  <dcterms:created xsi:type="dcterms:W3CDTF">2021-09-29T18:52:28Z</dcterms:created>
  <dcterms:modified xsi:type="dcterms:W3CDTF">2023-11-01T01:59:08Z</dcterms:modified>
</cp:coreProperties>
</file>