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econcile" sheetId="2" r:id="rId5"/>
    <sheet state="visible" name="References" sheetId="3" r:id="rId6"/>
    <sheet state="visible" name="Production - Consumer" sheetId="4" r:id="rId7"/>
    <sheet state="visible" name="Production - Application" sheetId="5" r:id="rId8"/>
    <sheet state="visible" name="References with calc" sheetId="6" r:id="rId9"/>
  </sheets>
  <definedNames/>
  <calcPr/>
  <extLst>
    <ext uri="GoogleSheetsCustomDataVersion2">
      <go:sheetsCustomData xmlns:go="http://customooxmlschemas.google.com/" r:id="rId10" roundtripDataChecksum="+oBjmzRSivMs98KNn9zMJk/mdIquX7xDgHv/dspDakI="/>
    </ext>
  </extLst>
</workbook>
</file>

<file path=xl/sharedStrings.xml><?xml version="1.0" encoding="utf-8"?>
<sst xmlns="http://schemas.openxmlformats.org/spreadsheetml/2006/main" count="127" uniqueCount="89">
  <si>
    <t>Element</t>
  </si>
  <si>
    <t>Units</t>
  </si>
  <si>
    <t>Year</t>
  </si>
  <si>
    <t>Aluminum</t>
  </si>
  <si>
    <t>Mt</t>
  </si>
  <si>
    <t>Category</t>
  </si>
  <si>
    <t>Source 1 (Wikipedia)</t>
  </si>
  <si>
    <t>Source 2 (AluCycle)</t>
  </si>
  <si>
    <t>Source 3 (USGS)</t>
  </si>
  <si>
    <t>Source 4 (Statista.com)</t>
  </si>
  <si>
    <t>Source 5 (aluminum.org.au)</t>
  </si>
  <si>
    <t>Reconciled Value (Final, Mt)</t>
  </si>
  <si>
    <t>Questions 
Comments</t>
  </si>
  <si>
    <t>Production (2023)</t>
  </si>
  <si>
    <t>70 Mt (excl. recycling)</t>
  </si>
  <si>
    <t>78 Mt (excl. recycling)</t>
  </si>
  <si>
    <t>70 Mt (excl recycling)</t>
  </si>
  <si>
    <t>Average (B1, C1, D1, F1)</t>
  </si>
  <si>
    <t>Recycling Contribution (2023)</t>
  </si>
  <si>
    <t>Not provided</t>
  </si>
  <si>
    <t>31% of 78 (21.7 Mt)</t>
  </si>
  <si>
    <t>global Not provided</t>
  </si>
  <si>
    <t>Applied  31% to G2</t>
  </si>
  <si>
    <t>Total Production</t>
  </si>
  <si>
    <t>-</t>
  </si>
  <si>
    <t>95.4 Mt (incl. recycling)</t>
  </si>
  <si>
    <t>G2+G3 (minor variation from C4)</t>
  </si>
  <si>
    <t>Consumption (2023)</t>
  </si>
  <si>
    <t>Keeping Consumption same as Production (72)</t>
  </si>
  <si>
    <t>Applications (2020)</t>
  </si>
  <si>
    <t>Categories only</t>
  </si>
  <si>
    <t>Provided with percentages</t>
  </si>
  <si>
    <t>Is it ok to use same % for 2023?</t>
  </si>
  <si>
    <t>Country-wise Consumption (2022)</t>
  </si>
  <si>
    <t xml:space="preserve">China: 61% 
USA: 7% 
germany: 3% 
Japan: 3% 
India: 3% </t>
  </si>
  <si>
    <t>Applied % from source 5 to G4 (Total Production)</t>
  </si>
  <si>
    <t>Source 1 (Wiki)</t>
  </si>
  <si>
    <t>https://en.wikipedia.org/wiki/List_of_countries_by_aluminium_production</t>
  </si>
  <si>
    <t>https://alucycle.international-aluminium.org/public/global/index.html</t>
  </si>
  <si>
    <t>https://pubs.usgs.gov/periodicals/mcs2024/mcs2024-aluminum.pdf</t>
  </si>
  <si>
    <t>https://www-statista-com.stanford.idm.oclc.org/statistics/280983/share-of-aluminum-consumption-by-sector/</t>
  </si>
  <si>
    <t xml:space="preserve">Source 5 </t>
  </si>
  <si>
    <t>https://aluminium.org.au/wp-content/uploads/2023/04/March-2023-Aluminium.pdf</t>
  </si>
  <si>
    <t>Producer</t>
  </si>
  <si>
    <t>Producer Mass Flow</t>
  </si>
  <si>
    <t>Consumer Mass Flow</t>
  </si>
  <si>
    <t>Consumer</t>
  </si>
  <si>
    <t>China</t>
  </si>
  <si>
    <t>India</t>
  </si>
  <si>
    <t>United States</t>
  </si>
  <si>
    <t>Russia</t>
  </si>
  <si>
    <t>Germany</t>
  </si>
  <si>
    <t>Canada</t>
  </si>
  <si>
    <t>Japan</t>
  </si>
  <si>
    <t>UAE</t>
  </si>
  <si>
    <t>Bahrain</t>
  </si>
  <si>
    <t>Other Consumers</t>
  </si>
  <si>
    <t>Australia</t>
  </si>
  <si>
    <t>Brazil</t>
  </si>
  <si>
    <t>Norway</t>
  </si>
  <si>
    <t>Other Producers</t>
  </si>
  <si>
    <t>Recycling Contribution</t>
  </si>
  <si>
    <t>Application Mass Flow</t>
  </si>
  <si>
    <t>Application</t>
  </si>
  <si>
    <t>Construction</t>
  </si>
  <si>
    <t>Transport</t>
  </si>
  <si>
    <t>Electrical</t>
  </si>
  <si>
    <t>Machinery and equipment</t>
  </si>
  <si>
    <t>Foil Stock</t>
  </si>
  <si>
    <t>Packaging</t>
  </si>
  <si>
    <t>Consumer durables</t>
  </si>
  <si>
    <t>Others</t>
  </si>
  <si>
    <t>Comments</t>
  </si>
  <si>
    <t>70 Mt</t>
  </si>
  <si>
    <t>Production mass flow available</t>
  </si>
  <si>
    <t>https://en.wikipedia.org/wiki/Aluminium_recycling</t>
  </si>
  <si>
    <t>US : 34%</t>
  </si>
  <si>
    <t>US recycling: 38%</t>
  </si>
  <si>
    <t xml:space="preserve"> In 2023, aluminum recovered from purchased scrap in the United States was about 3.3 million tons, of</t>
  </si>
  <si>
    <t>which about 55% came from new (manufacturing) scrap and 45% from old scrap (discarded aluminum products).</t>
  </si>
  <si>
    <t>Aluminum recovered from old scrap was equivalent to about 38% of apparent consumption.</t>
  </si>
  <si>
    <t>https://www.aluminum.org/sites/default/files/2021-11/FactSheet2018.pdf</t>
  </si>
  <si>
    <t>in kt</t>
  </si>
  <si>
    <t>Total Ingot Production (figure)</t>
  </si>
  <si>
    <t>Primary Aluminum (from refining) (figure)</t>
  </si>
  <si>
    <t>Recycled Old Scrap (figure)</t>
  </si>
  <si>
    <t>Internal Scrap Recycling (calculated)</t>
  </si>
  <si>
    <t>Recycling %</t>
  </si>
  <si>
    <t>Used in Sankey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</si>
</sst>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u/>
      <sz val="11.0"/>
      <color theme="10"/>
      <name val="Calibri"/>
    </font>
    <font>
      <b/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center" wrapText="1"/>
    </xf>
    <xf borderId="0" fillId="0" fontId="2" numFmtId="0" xfId="0" applyFont="1"/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wrapText="1"/>
    </xf>
    <xf borderId="3" fillId="2" fontId="3" numFmtId="0" xfId="0" applyBorder="1" applyFill="1" applyFont="1"/>
    <xf borderId="0" fillId="3" fontId="4" numFmtId="0" xfId="0" applyAlignment="1" applyFill="1" applyFont="1">
      <alignment shrinkToFit="0" wrapText="1"/>
    </xf>
    <xf borderId="3" fillId="2" fontId="3" numFmtId="0" xfId="0" applyAlignment="1" applyBorder="1" applyFont="1">
      <alignment shrinkToFit="0" wrapText="1"/>
    </xf>
    <xf borderId="0" fillId="0" fontId="4" numFmtId="0" xfId="0" applyFont="1"/>
    <xf borderId="0" fillId="4" fontId="2" numFmtId="0" xfId="0" applyFill="1" applyFont="1"/>
    <xf borderId="0" fillId="3" fontId="4" numFmtId="0" xfId="0" applyAlignment="1" applyFont="1">
      <alignment shrinkToFit="0" vertical="top" wrapText="1"/>
    </xf>
    <xf borderId="0" fillId="0" fontId="5" numFmtId="0" xfId="0" applyFont="1"/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" fillId="0" fontId="1" numFmtId="0" xfId="0" applyAlignment="1" applyBorder="1" applyFont="1">
      <alignment horizontal="center" readingOrder="0" vertical="top"/>
    </xf>
    <xf borderId="0" fillId="0" fontId="3" numFmtId="3" xfId="0" applyAlignment="1" applyFont="1" applyNumberFormat="1">
      <alignment horizontal="right" vertical="center"/>
    </xf>
    <xf borderId="0" fillId="0" fontId="3" numFmtId="3" xfId="0" applyFont="1" applyNumberFormat="1"/>
    <xf borderId="0" fillId="0" fontId="6" numFmtId="0" xfId="0" applyAlignment="1" applyFont="1">
      <alignment horizontal="center" vertical="center"/>
    </xf>
    <xf borderId="3" fillId="5" fontId="3" numFmtId="0" xfId="0" applyBorder="1" applyFill="1" applyFont="1"/>
    <xf borderId="3" fillId="3" fontId="3" numFmtId="0" xfId="0" applyBorder="1" applyFont="1"/>
    <xf borderId="3" fillId="5" fontId="3" numFmtId="9" xfId="0" applyBorder="1" applyFont="1" applyNumberFormat="1"/>
    <xf borderId="1" fillId="0" fontId="1" numFmtId="3" xfId="0" applyAlignment="1" applyBorder="1" applyFont="1" applyNumberFormat="1">
      <alignment horizontal="center" vertical="top"/>
    </xf>
    <xf borderId="3" fillId="2" fontId="1" numFmtId="0" xfId="0" applyBorder="1" applyFont="1"/>
    <xf borderId="3" fillId="2" fontId="3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20</xdr:row>
      <xdr:rowOff>0</xdr:rowOff>
    </xdr:from>
    <xdr:ext cx="7591425" cy="3457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7077075" cy="43148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ubs.usgs.gov/periodicals/mcs2024/mcs2024-aluminum.pdf" TargetMode="External"/><Relationship Id="rId2" Type="http://schemas.openxmlformats.org/officeDocument/2006/relationships/hyperlink" Target="https://www-statista-com.stanford.idm.oclc.org/statistics/280983/share-of-aluminum-consumption-by-sector/" TargetMode="External"/><Relationship Id="rId3" Type="http://schemas.openxmlformats.org/officeDocument/2006/relationships/hyperlink" Target="https://aluminium.org.au/wp-content/uploads/2023/04/March-2023-Aluminium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ubs.usgs.gov/periodicals/mcs2024/mcs2024-aluminum.pdf" TargetMode="External"/><Relationship Id="rId2" Type="http://schemas.openxmlformats.org/officeDocument/2006/relationships/hyperlink" Target="https://www-statista-com.stanford.idm.oclc.org/statistics/280983/share-of-aluminum-consumption-by-sector/" TargetMode="External"/><Relationship Id="rId3" Type="http://schemas.openxmlformats.org/officeDocument/2006/relationships/hyperlink" Target="https://aluminium.org.au/wp-content/uploads/2023/04/March-2023-Aluminium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ist_of_countries_by_aluminium_production" TargetMode="External"/><Relationship Id="rId2" Type="http://schemas.openxmlformats.org/officeDocument/2006/relationships/hyperlink" Target="https://en.wikipedia.org/wiki/Aluminium_recycling" TargetMode="External"/><Relationship Id="rId3" Type="http://schemas.openxmlformats.org/officeDocument/2006/relationships/hyperlink" Target="https://www.aluminum.org/sites/default/files/2021-11/FactSheet2018.pdf" TargetMode="External"/><Relationship Id="rId4" Type="http://schemas.openxmlformats.org/officeDocument/2006/relationships/hyperlink" Target="https://alucycle.international-aluminium.org/public/global/index.html" TargetMode="Externa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2.57"/>
    <col customWidth="1" min="3" max="26" width="8.71"/>
  </cols>
  <sheetData>
    <row r="1" ht="14.25" customHeight="1">
      <c r="A1" s="1" t="s">
        <v>0</v>
      </c>
      <c r="B1" s="1" t="s">
        <v>1</v>
      </c>
      <c r="C1" s="2" t="s">
        <v>2</v>
      </c>
    </row>
    <row r="2" ht="14.25" customHeight="1">
      <c r="A2" s="3" t="s">
        <v>3</v>
      </c>
      <c r="B2" s="3" t="s">
        <v>4</v>
      </c>
      <c r="C2" s="4">
        <v>2023.0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28.0"/>
    <col customWidth="1" min="3" max="3" width="19.71"/>
    <col customWidth="1" min="4" max="5" width="21.29"/>
    <col customWidth="1" min="6" max="6" width="23.29"/>
    <col customWidth="1" min="7" max="7" width="24.71"/>
    <col customWidth="1" min="8" max="8" width="25.29"/>
    <col customWidth="1" min="9" max="26" width="8.71"/>
  </cols>
  <sheetData>
    <row r="1" ht="14.25" customHeight="1">
      <c r="A1" s="5" t="s">
        <v>5</v>
      </c>
      <c r="B1" s="5" t="s">
        <v>6</v>
      </c>
      <c r="C1" s="5" t="s">
        <v>7</v>
      </c>
      <c r="D1" s="5" t="s">
        <v>8</v>
      </c>
      <c r="E1" s="6" t="s">
        <v>9</v>
      </c>
      <c r="F1" s="6" t="s">
        <v>10</v>
      </c>
      <c r="G1" s="7" t="s">
        <v>11</v>
      </c>
      <c r="H1" s="8" t="s">
        <v>12</v>
      </c>
    </row>
    <row r="2" ht="14.25" customHeight="1">
      <c r="A2" s="4" t="s">
        <v>13</v>
      </c>
      <c r="B2" s="4" t="s">
        <v>14</v>
      </c>
      <c r="C2" s="4" t="s">
        <v>15</v>
      </c>
      <c r="D2" s="4" t="s">
        <v>14</v>
      </c>
      <c r="F2" s="4" t="s">
        <v>16</v>
      </c>
      <c r="G2" s="4">
        <v>72.0</v>
      </c>
      <c r="H2" s="9" t="s">
        <v>17</v>
      </c>
    </row>
    <row r="3" ht="14.25" customHeight="1">
      <c r="A3" s="4" t="s">
        <v>18</v>
      </c>
      <c r="B3" s="4" t="s">
        <v>19</v>
      </c>
      <c r="C3" s="4" t="s">
        <v>20</v>
      </c>
      <c r="D3" s="4" t="s">
        <v>21</v>
      </c>
      <c r="G3" s="10">
        <f>31/100*G2</f>
        <v>22.32</v>
      </c>
      <c r="H3" s="11" t="s">
        <v>22</v>
      </c>
    </row>
    <row r="4" ht="14.25" customHeight="1">
      <c r="A4" s="10" t="s">
        <v>23</v>
      </c>
      <c r="B4" s="10" t="s">
        <v>24</v>
      </c>
      <c r="C4" s="10" t="s">
        <v>25</v>
      </c>
      <c r="D4" s="10" t="s">
        <v>24</v>
      </c>
      <c r="E4" s="10"/>
      <c r="F4" s="10"/>
      <c r="G4" s="10">
        <f>G2+G3</f>
        <v>94.32</v>
      </c>
      <c r="H4" s="12" t="s">
        <v>26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4" t="s">
        <v>27</v>
      </c>
      <c r="B5" s="4" t="s">
        <v>19</v>
      </c>
      <c r="C5" s="4" t="s">
        <v>19</v>
      </c>
      <c r="D5" s="4" t="s">
        <v>24</v>
      </c>
      <c r="F5" s="4">
        <v>69.0</v>
      </c>
      <c r="G5" s="13">
        <v>72.0</v>
      </c>
      <c r="H5" s="11" t="s">
        <v>28</v>
      </c>
    </row>
    <row r="6" ht="14.25" customHeight="1">
      <c r="A6" s="4" t="s">
        <v>29</v>
      </c>
      <c r="B6" s="4" t="s">
        <v>30</v>
      </c>
      <c r="C6" s="4" t="s">
        <v>19</v>
      </c>
      <c r="E6" s="14" t="s">
        <v>31</v>
      </c>
      <c r="H6" s="11" t="s">
        <v>32</v>
      </c>
    </row>
    <row r="7" ht="14.25" customHeight="1">
      <c r="A7" s="4" t="s">
        <v>33</v>
      </c>
      <c r="B7" s="4" t="s">
        <v>19</v>
      </c>
      <c r="C7" s="4" t="s">
        <v>19</v>
      </c>
      <c r="D7" s="4" t="s">
        <v>24</v>
      </c>
      <c r="F7" s="4" t="s">
        <v>31</v>
      </c>
      <c r="G7" s="2" t="s">
        <v>34</v>
      </c>
      <c r="H7" s="15" t="s">
        <v>35</v>
      </c>
    </row>
    <row r="8" ht="14.25" customHeight="1"/>
    <row r="9" ht="14.25" customHeight="1">
      <c r="A9" s="4" t="s">
        <v>36</v>
      </c>
      <c r="B9" s="4" t="s">
        <v>37</v>
      </c>
    </row>
    <row r="10" ht="14.25" customHeight="1">
      <c r="A10" s="4" t="s">
        <v>7</v>
      </c>
      <c r="B10" s="4" t="s">
        <v>38</v>
      </c>
    </row>
    <row r="11" ht="14.25" customHeight="1">
      <c r="A11" s="4" t="s">
        <v>8</v>
      </c>
      <c r="B11" s="16" t="s">
        <v>39</v>
      </c>
    </row>
    <row r="12" ht="14.25" customHeight="1">
      <c r="A12" s="4" t="s">
        <v>9</v>
      </c>
      <c r="B12" s="16" t="s">
        <v>40</v>
      </c>
    </row>
    <row r="13" ht="14.25" customHeight="1">
      <c r="A13" s="4" t="s">
        <v>41</v>
      </c>
      <c r="B13" s="16" t="s">
        <v>42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11"/>
    <hyperlink r:id="rId2" ref="B12"/>
    <hyperlink r:id="rId3" ref="B13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37</v>
      </c>
    </row>
    <row r="2">
      <c r="A2" s="4" t="s">
        <v>38</v>
      </c>
    </row>
    <row r="3">
      <c r="A3" s="16" t="s">
        <v>39</v>
      </c>
    </row>
    <row r="4">
      <c r="A4" s="16" t="s">
        <v>40</v>
      </c>
    </row>
    <row r="5">
      <c r="A5" s="16" t="s">
        <v>42</v>
      </c>
    </row>
  </sheetData>
  <hyperlinks>
    <hyperlink r:id="rId1" ref="A3"/>
    <hyperlink r:id="rId2" ref="A4"/>
    <hyperlink r:id="rId3" ref="A5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30.43"/>
    <col customWidth="1" min="3" max="3" width="32.43"/>
    <col customWidth="1" min="4" max="4" width="38.14"/>
    <col customWidth="1" min="5" max="26" width="8.71"/>
  </cols>
  <sheetData>
    <row r="1" ht="14.25" customHeight="1">
      <c r="A1" s="17" t="s">
        <v>43</v>
      </c>
      <c r="B1" s="17" t="s">
        <v>44</v>
      </c>
      <c r="C1" s="18" t="s">
        <v>45</v>
      </c>
      <c r="D1" s="19" t="s">
        <v>46</v>
      </c>
    </row>
    <row r="2" ht="14.25" customHeight="1">
      <c r="A2" s="4" t="s">
        <v>47</v>
      </c>
      <c r="B2" s="20">
        <v>41.5</v>
      </c>
      <c r="C2" s="4">
        <f>61*B15/100</f>
        <v>55.937</v>
      </c>
      <c r="D2" s="21" t="s">
        <v>47</v>
      </c>
    </row>
    <row r="3" ht="14.25" customHeight="1">
      <c r="A3" s="4" t="s">
        <v>48</v>
      </c>
      <c r="B3" s="20">
        <v>4.1</v>
      </c>
      <c r="C3" s="4">
        <f>7/100*B15</f>
        <v>6.419</v>
      </c>
      <c r="D3" s="21" t="s">
        <v>49</v>
      </c>
    </row>
    <row r="4" ht="14.25" customHeight="1">
      <c r="A4" s="4" t="s">
        <v>50</v>
      </c>
      <c r="B4" s="20">
        <v>3.8</v>
      </c>
      <c r="C4" s="4">
        <f>3/100*B15</f>
        <v>2.751</v>
      </c>
      <c r="D4" s="21" t="s">
        <v>51</v>
      </c>
    </row>
    <row r="5" ht="14.25" customHeight="1">
      <c r="A5" s="4" t="s">
        <v>52</v>
      </c>
      <c r="B5" s="20">
        <v>3.0</v>
      </c>
      <c r="C5" s="4">
        <f>3/100*B15</f>
        <v>2.751</v>
      </c>
      <c r="D5" s="21" t="s">
        <v>53</v>
      </c>
    </row>
    <row r="6" ht="14.25" customHeight="1">
      <c r="A6" s="4" t="s">
        <v>54</v>
      </c>
      <c r="B6" s="20">
        <v>2.7</v>
      </c>
      <c r="C6" s="4">
        <f>3/100*B15</f>
        <v>2.751</v>
      </c>
      <c r="D6" s="21" t="s">
        <v>48</v>
      </c>
    </row>
    <row r="7" ht="14.25" customHeight="1">
      <c r="A7" s="4" t="s">
        <v>55</v>
      </c>
      <c r="B7" s="20">
        <v>1.6</v>
      </c>
      <c r="C7" s="4">
        <f>B15-SUM(C2:C6)</f>
        <v>21.091</v>
      </c>
      <c r="D7" s="21" t="s">
        <v>56</v>
      </c>
    </row>
    <row r="8" ht="14.25" customHeight="1">
      <c r="A8" s="4" t="s">
        <v>57</v>
      </c>
      <c r="B8" s="20">
        <v>1.5</v>
      </c>
      <c r="D8" s="21"/>
    </row>
    <row r="9" ht="14.25" customHeight="1">
      <c r="A9" s="4" t="s">
        <v>58</v>
      </c>
      <c r="B9" s="20">
        <v>1.1</v>
      </c>
      <c r="D9" s="21"/>
    </row>
    <row r="10" ht="14.25" customHeight="1">
      <c r="A10" s="4" t="s">
        <v>59</v>
      </c>
      <c r="B10" s="20">
        <v>1.3</v>
      </c>
      <c r="D10" s="21"/>
    </row>
    <row r="11" ht="14.25" customHeight="1">
      <c r="A11" s="4" t="s">
        <v>49</v>
      </c>
      <c r="B11" s="20">
        <v>0.75</v>
      </c>
      <c r="D11" s="21"/>
    </row>
    <row r="12" ht="14.25" customHeight="1">
      <c r="A12" s="4" t="s">
        <v>60</v>
      </c>
      <c r="B12" s="20">
        <f>B13-(SUM(B2:B11))</f>
        <v>8.65</v>
      </c>
      <c r="D12" s="21"/>
    </row>
    <row r="13" ht="14.25" customHeight="1">
      <c r="B13" s="20">
        <v>70.0</v>
      </c>
      <c r="C13" s="20">
        <f>SUM(C2:C12)</f>
        <v>91.7</v>
      </c>
      <c r="D13" s="21"/>
    </row>
    <row r="14" ht="14.25" customHeight="1">
      <c r="A14" s="4" t="s">
        <v>61</v>
      </c>
      <c r="B14" s="20">
        <f>31/100*B13</f>
        <v>21.7</v>
      </c>
      <c r="C14" s="20"/>
    </row>
    <row r="15" ht="14.25" customHeight="1">
      <c r="B15" s="20">
        <f>SUM(B13:B14)</f>
        <v>91.7</v>
      </c>
      <c r="C15" s="20"/>
    </row>
    <row r="16" ht="14.25" customHeight="1">
      <c r="A16" s="18"/>
      <c r="B16" s="18"/>
      <c r="C16" s="18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9.71"/>
    <col customWidth="1" min="3" max="3" width="8.71"/>
    <col customWidth="1" min="4" max="5" width="24.71"/>
    <col customWidth="1" min="6" max="25" width="8.71"/>
  </cols>
  <sheetData>
    <row r="1" ht="14.25" customHeight="1">
      <c r="A1" s="5" t="s">
        <v>43</v>
      </c>
      <c r="B1" s="5" t="s">
        <v>44</v>
      </c>
      <c r="D1" s="22" t="s">
        <v>62</v>
      </c>
      <c r="E1" s="5" t="s">
        <v>63</v>
      </c>
    </row>
    <row r="2" ht="14.25" customHeight="1">
      <c r="A2" s="4" t="s">
        <v>47</v>
      </c>
      <c r="B2" s="20">
        <v>41.5</v>
      </c>
      <c r="D2" s="23">
        <f>25/100*B15</f>
        <v>22.925</v>
      </c>
      <c r="E2" s="21" t="s">
        <v>64</v>
      </c>
    </row>
    <row r="3" ht="14.25" customHeight="1">
      <c r="A3" s="4" t="s">
        <v>48</v>
      </c>
      <c r="B3" s="20">
        <v>4.1</v>
      </c>
      <c r="D3" s="23">
        <f>23/100*B15</f>
        <v>21.091</v>
      </c>
      <c r="E3" s="21" t="s">
        <v>65</v>
      </c>
    </row>
    <row r="4" ht="14.25" customHeight="1">
      <c r="A4" s="4" t="s">
        <v>50</v>
      </c>
      <c r="B4" s="20">
        <v>3.8</v>
      </c>
      <c r="D4" s="23">
        <f>12/100*B15</f>
        <v>11.004</v>
      </c>
      <c r="E4" s="21" t="s">
        <v>66</v>
      </c>
    </row>
    <row r="5" ht="14.25" customHeight="1">
      <c r="A5" s="4" t="s">
        <v>52</v>
      </c>
      <c r="B5" s="20">
        <v>3.0</v>
      </c>
      <c r="D5" s="23">
        <f>11/100*B15</f>
        <v>10.087</v>
      </c>
      <c r="E5" s="21" t="s">
        <v>67</v>
      </c>
    </row>
    <row r="6" ht="14.25" customHeight="1">
      <c r="A6" s="4" t="s">
        <v>54</v>
      </c>
      <c r="B6" s="20">
        <v>2.7</v>
      </c>
      <c r="D6" s="23">
        <f>9/100*B15</f>
        <v>8.253</v>
      </c>
      <c r="E6" s="21" t="s">
        <v>68</v>
      </c>
    </row>
    <row r="7" ht="14.25" customHeight="1">
      <c r="A7" s="4" t="s">
        <v>55</v>
      </c>
      <c r="B7" s="20">
        <v>1.6</v>
      </c>
      <c r="D7" s="23">
        <f>8/100*B15</f>
        <v>7.336</v>
      </c>
      <c r="E7" s="21" t="s">
        <v>69</v>
      </c>
    </row>
    <row r="8" ht="14.25" customHeight="1">
      <c r="A8" s="4" t="s">
        <v>57</v>
      </c>
      <c r="B8" s="20">
        <v>1.5</v>
      </c>
      <c r="D8" s="23">
        <f>6/100*B15</f>
        <v>5.502</v>
      </c>
      <c r="E8" s="21" t="s">
        <v>70</v>
      </c>
    </row>
    <row r="9" ht="14.25" customHeight="1">
      <c r="A9" s="4" t="s">
        <v>58</v>
      </c>
      <c r="B9" s="20">
        <v>1.1</v>
      </c>
      <c r="D9" s="4">
        <f>6/100*B15</f>
        <v>5.502</v>
      </c>
      <c r="E9" s="21" t="s">
        <v>71</v>
      </c>
    </row>
    <row r="10" ht="14.25" customHeight="1">
      <c r="A10" s="4" t="s">
        <v>59</v>
      </c>
      <c r="B10" s="20">
        <v>1.3</v>
      </c>
      <c r="D10" s="24">
        <f>SUM(D2:D9)</f>
        <v>91.7</v>
      </c>
    </row>
    <row r="11" ht="14.25" customHeight="1">
      <c r="A11" s="4" t="s">
        <v>49</v>
      </c>
      <c r="B11" s="20">
        <v>0.75</v>
      </c>
    </row>
    <row r="12" ht="14.25" customHeight="1">
      <c r="A12" s="4" t="s">
        <v>60</v>
      </c>
      <c r="B12" s="20">
        <f>B13-(SUM(B2:B11))</f>
        <v>8.65</v>
      </c>
      <c r="C12" s="19"/>
      <c r="D12" s="19"/>
    </row>
    <row r="13" ht="14.25" customHeight="1">
      <c r="B13" s="20">
        <v>70.0</v>
      </c>
      <c r="C13" s="19"/>
    </row>
    <row r="14" ht="14.25" customHeight="1">
      <c r="A14" s="4" t="s">
        <v>61</v>
      </c>
      <c r="B14" s="20">
        <f>31/100*B13</f>
        <v>21.7</v>
      </c>
      <c r="C14" s="19"/>
      <c r="D14" s="25"/>
    </row>
    <row r="15" ht="14.25" customHeight="1">
      <c r="B15" s="20">
        <f>SUM(B13:B14)</f>
        <v>91.7</v>
      </c>
    </row>
    <row r="16" ht="14.25" customHeight="1">
      <c r="B16" s="4">
        <f>ROUND(B15, 0)</f>
        <v>92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3.43"/>
    <col customWidth="1" min="3" max="3" width="43.57"/>
    <col customWidth="1" min="4" max="26" width="8.71"/>
  </cols>
  <sheetData>
    <row r="1" ht="14.25" customHeight="1">
      <c r="C1" s="4" t="s">
        <v>72</v>
      </c>
    </row>
    <row r="2" ht="14.25" customHeight="1">
      <c r="B2" s="16"/>
    </row>
    <row r="3" ht="14.25" customHeight="1">
      <c r="C3" s="26"/>
      <c r="D3" s="26"/>
    </row>
    <row r="4" ht="14.25" customHeight="1">
      <c r="A4" s="4">
        <v>2023.0</v>
      </c>
      <c r="B4" s="16" t="s">
        <v>37</v>
      </c>
      <c r="C4" s="27" t="s">
        <v>73</v>
      </c>
      <c r="D4" s="26" t="s">
        <v>74</v>
      </c>
    </row>
    <row r="5" ht="14.25" customHeight="1">
      <c r="C5" s="26"/>
      <c r="D5" s="26"/>
    </row>
    <row r="6" ht="14.25" customHeight="1">
      <c r="A6" s="4">
        <v>2022.0</v>
      </c>
      <c r="B6" s="16" t="s">
        <v>75</v>
      </c>
      <c r="C6" s="28" t="s">
        <v>76</v>
      </c>
      <c r="D6" s="26"/>
    </row>
    <row r="7" ht="14.25" customHeight="1">
      <c r="C7" s="26"/>
      <c r="D7" s="26"/>
    </row>
    <row r="8" ht="14.25" customHeight="1">
      <c r="A8" s="4">
        <v>2023.0</v>
      </c>
      <c r="B8" s="4" t="s">
        <v>39</v>
      </c>
      <c r="C8" s="26" t="s">
        <v>77</v>
      </c>
      <c r="D8" s="26"/>
    </row>
    <row r="9" ht="14.25" customHeight="1">
      <c r="B9" s="4" t="s">
        <v>78</v>
      </c>
      <c r="C9" s="26"/>
      <c r="D9" s="26"/>
    </row>
    <row r="10" ht="14.25" customHeight="1">
      <c r="B10" s="4" t="s">
        <v>79</v>
      </c>
    </row>
    <row r="11" ht="14.25" customHeight="1">
      <c r="B11" s="4" t="s">
        <v>80</v>
      </c>
    </row>
    <row r="12" ht="14.25" customHeight="1"/>
    <row r="13" ht="14.25" customHeight="1">
      <c r="A13" s="4">
        <v>2018.0</v>
      </c>
      <c r="B13" s="16" t="s">
        <v>81</v>
      </c>
    </row>
    <row r="14" ht="14.25" customHeight="1">
      <c r="A14" s="4">
        <v>2023.0</v>
      </c>
      <c r="B14" s="16" t="s">
        <v>38</v>
      </c>
      <c r="C14" s="28" t="s">
        <v>82</v>
      </c>
    </row>
    <row r="15" ht="14.25" customHeight="1">
      <c r="B15" s="19" t="s">
        <v>83</v>
      </c>
      <c r="C15" s="29">
        <v>112467.0</v>
      </c>
      <c r="D15" s="5"/>
    </row>
    <row r="16" ht="14.25" customHeight="1">
      <c r="B16" s="19" t="s">
        <v>84</v>
      </c>
      <c r="C16" s="27">
        <v>78107.0</v>
      </c>
    </row>
    <row r="17" ht="14.25" customHeight="1">
      <c r="B17" s="19" t="s">
        <v>85</v>
      </c>
      <c r="C17" s="24">
        <v>24744.0</v>
      </c>
    </row>
    <row r="18" ht="14.25" customHeight="1">
      <c r="B18" s="4" t="s">
        <v>86</v>
      </c>
      <c r="C18" s="4">
        <f>112467-(78107+24744)</f>
        <v>9616</v>
      </c>
    </row>
    <row r="19" ht="14.25" customHeight="1">
      <c r="B19" s="30" t="s">
        <v>87</v>
      </c>
      <c r="C19" s="31">
        <f>(24744+9616)*100/112467</f>
        <v>30.5511839</v>
      </c>
      <c r="D19" s="4" t="s">
        <v>88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4"/>
    <hyperlink r:id="rId2" ref="B6"/>
    <hyperlink r:id="rId3" ref="B13"/>
    <hyperlink r:id="rId4" ref="B14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2025-01-05T07:47:38Z</dcterms:created>
  <dc:creator>openpyxl</dc:creator>
</cp:coreProperties>
</file>