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5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2.xml" ContentType="application/vnd.ms-office.chartex+xml"/>
  <Override PartName="/xl/charts/chartEx3.xml" ContentType="application/vnd.ms-office.chartex+xml"/>
  <Override PartName="/xl/charts/chartEx4.xml" ContentType="application/vnd.ms-office.chartex+xml"/>
  <Override PartName="/xl/charts/colors130.xml" ContentType="application/vnd.ms-office.chartcolorstyle+xml"/>
  <Override PartName="/xl/charts/style130.xml" ContentType="application/vnd.ms-office.chartstyle+xml"/>
  <Override PartName="/xl/charts/colors140.xml" ContentType="application/vnd.ms-office.chartcolorstyle+xml"/>
  <Override PartName="/xl/charts/style140.xml" ContentType="application/vnd.ms-office.chartstyle+xml"/>
  <Override PartName="/xl/charts/colors220.xml" ContentType="application/vnd.ms-office.chartcolorstyle+xml"/>
  <Override PartName="/xl/charts/style220.xml" ContentType="application/vnd.ms-office.chartstyle+xml"/>
  <Override PartName="/xl/charts/colors250.xml" ContentType="application/vnd.ms-office.chartcolorstyle+xml"/>
  <Override PartName="/xl/charts/style25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swati\Documents\Financial Models\Excel\Ultratech Cement\"/>
    </mc:Choice>
  </mc:AlternateContent>
  <bookViews>
    <workbookView xWindow="-108" yWindow="-108" windowWidth="23256" windowHeight="13896" firstSheet="41" activeTab="44"/>
  </bookViews>
  <sheets>
    <sheet name="DATASET" sheetId="29" r:id="rId1"/>
    <sheet name="DATA STATEMENTS" sheetId="27" r:id="rId2"/>
    <sheet name="DATA VALUATION &amp; OTHERS" sheetId="23" r:id="rId3"/>
    <sheet name="DATA HISTORICAL" sheetId="28" r:id="rId4"/>
    <sheet name="PIE E.R.R" sheetId="89" r:id="rId5"/>
    <sheet name="ABOUT US" sheetId="1" r:id="rId6"/>
    <sheet name="SCHEDULES" sheetId="72" r:id="rId7"/>
    <sheet name="REVENUE SCHEDULE" sheetId="59" r:id="rId8"/>
    <sheet name="OTHER INCOME SCHEDULE" sheetId="60" r:id="rId9"/>
    <sheet name="COGS SCHEDULE" sheetId="61" r:id="rId10"/>
    <sheet name="DEPRECIATION SCHEDULE" sheetId="62" r:id="rId11"/>
    <sheet name="FINANCE COST SCHEDULE" sheetId="63" r:id="rId12"/>
    <sheet name="TAX SCHEDULE" sheetId="64" r:id="rId13"/>
    <sheet name="EQUITY SCHEDULE" sheetId="65" r:id="rId14"/>
    <sheet name="WORKING CAPITAL SCHEDULE" sheetId="66" r:id="rId15"/>
    <sheet name="LONG TERM SOLVENCY SCHEDULE" sheetId="67" r:id="rId16"/>
    <sheet name="CFS - WC" sheetId="68" r:id="rId17"/>
    <sheet name="STATEMENTS" sheetId="30" r:id="rId18"/>
    <sheet name="INCOME STATEMENT" sheetId="2" r:id="rId19"/>
    <sheet name="BALANCE SHEET" sheetId="3" r:id="rId20"/>
    <sheet name="CASH FLOW STAEMENT" sheetId="4" r:id="rId21"/>
    <sheet name="COMMON SIZE STATEMENT" sheetId="16" r:id="rId22"/>
    <sheet name="GROWTH" sheetId="31" r:id="rId23"/>
    <sheet name="YoY GROWTH %" sheetId="17" r:id="rId24"/>
    <sheet name="PREDICTION" sheetId="34" r:id="rId25"/>
    <sheet name="FORECAST" sheetId="73" r:id="rId26"/>
    <sheet name="VALUATION" sheetId="32" r:id="rId27"/>
    <sheet name="REGRESSION BETA" sheetId="18" r:id="rId28"/>
    <sheet name="COMPS. REGRESSION BETA" sheetId="20" r:id="rId29"/>
    <sheet name="WACC" sheetId="13" r:id="rId30"/>
    <sheet name="INTRINSIC GROWTH" sheetId="10" r:id="rId31"/>
    <sheet name="PV FCFF" sheetId="11" r:id="rId32"/>
    <sheet name="RELATIVE VALUATION" sheetId="22" r:id="rId33"/>
    <sheet name="ANALYSIS" sheetId="33" r:id="rId34"/>
    <sheet name="RATIO ANALYSIS" sheetId="5" r:id="rId35"/>
    <sheet name="KEY FINANCIAL RATIOS" sheetId="36" r:id="rId36"/>
    <sheet name="VAR" sheetId="24" r:id="rId37"/>
    <sheet name="ALTSMAN Z SCORE" sheetId="7" r:id="rId38"/>
    <sheet name="DUPONT ANALYSIS" sheetId="6" r:id="rId39"/>
    <sheet name="FOOTBALL FIELD ANALYSIS" sheetId="9" r:id="rId40"/>
    <sheet name="CONCLUSION" sheetId="35" r:id="rId41"/>
    <sheet name="WHY YOU SHOULD INVEST" sheetId="12" r:id="rId42"/>
    <sheet name="WHY YOU SHOULD WAIT" sheetId="25" r:id="rId43"/>
    <sheet name="EQUITY RESEARCH REPORT" sheetId="77" r:id="rId44"/>
    <sheet name="CALL" sheetId="74" r:id="rId45"/>
    <sheet name="ABOUT ULTRATECH" sheetId="78" r:id="rId46"/>
    <sheet name="WHAT HAPPENED WITHIN YEAR" sheetId="87" r:id="rId47"/>
    <sheet name="PRESENSE" sheetId="88" r:id="rId48"/>
    <sheet name="CONCALL 1" sheetId="79" r:id="rId49"/>
    <sheet name="CONCALL 2" sheetId="80" r:id="rId50"/>
    <sheet name="GROWTH METRICS" sheetId="81" r:id="rId51"/>
    <sheet name="SNAPSHOTS" sheetId="83" r:id="rId52"/>
    <sheet name="KEY RATIOS" sheetId="84" r:id="rId53"/>
    <sheet name="PEER STOCK PERFORMANCE" sheetId="85" r:id="rId54"/>
    <sheet name="ANALYST COVERAGE UNIVERSE" sheetId="86" r:id="rId55"/>
  </sheets>
  <definedNames>
    <definedName name="_xlnm._FilterDatabase" localSheetId="3" hidden="1">'DATA HISTORICAL'!$B$6:$B$109</definedName>
    <definedName name="_xlnm._FilterDatabase" localSheetId="36" hidden="1">VAR!$B$7:$E$7</definedName>
    <definedName name="_xlchart.v1.0" hidden="1">FORECAST!$B$86</definedName>
    <definedName name="_xlchart.v1.1" hidden="1">FORECAST!$C$7:$G$7</definedName>
    <definedName name="_xlchart.v1.2" hidden="1">FORECAST!$C$86:$G$86</definedName>
    <definedName name="_xlchart.v1.3" hidden="1">(FORECAST!$G$7,FORECAST!$J$7,FORECAST!$K$7,FORECAST!$L$7,FORECAST!$M$7,FORECAST!$N$7)</definedName>
    <definedName name="_xlchart.v1.4" hidden="1">(FORECAST!$G$86,FORECAST!$J$86:$N$86)</definedName>
    <definedName name="_xlchart.v1.5" hidden="1">FORECAST!$B$86</definedName>
    <definedName name="_xlchart.v1.8" hidden="1">VAR!$H$9:$H$4378</definedName>
    <definedName name="_xlchart.v2.6" hidden="1">'KEY FINANCIAL RATIOS'!$D$32:$G$32</definedName>
    <definedName name="_xlchart.v2.7" hidden="1">'KEY FINANCIAL RATIOS'!$D$7:$G$7</definedName>
    <definedName name="_xlnm.Print_Area" localSheetId="45">'ABOUT ULTRATECH'!$B$1:$M$56</definedName>
    <definedName name="_xlnm.Print_Area" localSheetId="54">'ANALYST COVERAGE UNIVERSE'!$B$1:$M$66</definedName>
    <definedName name="_xlnm.Print_Area" localSheetId="44">CALL!$B$1:$P$56</definedName>
    <definedName name="_xlnm.Print_Area" localSheetId="20">'CASH FLOW STAEMENT'!$A$1:$S$53</definedName>
    <definedName name="_xlnm.Print_Area" localSheetId="9">'COGS SCHEDULE'!$A$1:$AB$45</definedName>
    <definedName name="_xlnm.Print_Area" localSheetId="48">'CONCALL 1'!$B$1:$M$61</definedName>
    <definedName name="_xlnm.Print_Area" localSheetId="49">'CONCALL 2'!$B$1:$M$63</definedName>
    <definedName name="_xlnm.Print_Area" localSheetId="13">'EQUITY SCHEDULE'!$A$1:$O$47</definedName>
    <definedName name="_xlnm.Print_Area" localSheetId="11">'FINANCE COST SCHEDULE'!$A$1:$AB$61</definedName>
    <definedName name="_xlnm.Print_Area" localSheetId="25">FORECAST!$A$1:$N$106</definedName>
    <definedName name="_xlnm.Print_Area" localSheetId="50">'GROWTH METRICS'!$B$1:$N$56</definedName>
    <definedName name="_xlnm.Print_Area" localSheetId="18">'INCOME STATEMENT'!$A$1:$N$103</definedName>
    <definedName name="_xlnm.Print_Area" localSheetId="52">'KEY RATIOS'!$B$1:$M$57</definedName>
    <definedName name="_xlnm.Print_Area" localSheetId="53">'PEER STOCK PERFORMANCE'!$B$1:$M$67</definedName>
    <definedName name="_xlnm.Print_Area" localSheetId="47">PRESENSE!$B$1:$M$56</definedName>
    <definedName name="_xlnm.Print_Area" localSheetId="31">'PV FCFF'!$B$1:$H$55</definedName>
    <definedName name="_xlnm.Print_Area" localSheetId="27">'REGRESSION BETA'!$A$1:$Q$117</definedName>
    <definedName name="_xlnm.Print_Area" localSheetId="32">'RELATIVE VALUATION'!$A$1:$P$59</definedName>
    <definedName name="_xlnm.Print_Area" localSheetId="7">'REVENUE SCHEDULE'!$A$1:$AC$59</definedName>
    <definedName name="_xlnm.Print_Area" localSheetId="51">SNAPSHOTS!$B$1:$T$99</definedName>
    <definedName name="_xlnm.Print_Area" localSheetId="46">'WHAT HAPPENED WITHIN YEAR'!$B$1:$N$64</definedName>
    <definedName name="_xlnm.Print_Area" localSheetId="41">'WHY YOU SHOULD INVEST'!$A$1:$J$50</definedName>
    <definedName name="_xlnm.Print_Area" localSheetId="42">'WHY YOU SHOULD WAIT'!$A$1:$E$43</definedName>
    <definedName name="_xlnm.Print_Area" localSheetId="14">'WORKING CAPITAL SCHEDULE'!$A$1:$AF$72</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8" i="11" l="1"/>
  <c r="C34" i="11"/>
  <c r="C33" i="11"/>
  <c r="N63" i="89" l="1"/>
  <c r="N62" i="89"/>
  <c r="N61" i="89"/>
  <c r="N60" i="89"/>
  <c r="N59" i="89"/>
  <c r="N58" i="89"/>
  <c r="N57" i="89"/>
  <c r="N56" i="89"/>
  <c r="N55" i="89"/>
  <c r="N54" i="89"/>
  <c r="N53" i="89"/>
  <c r="N52" i="89"/>
  <c r="N51" i="89"/>
  <c r="N50" i="89"/>
  <c r="N49" i="89"/>
  <c r="N48" i="89"/>
  <c r="N47" i="89"/>
  <c r="N46" i="89"/>
  <c r="N45" i="89"/>
  <c r="N44" i="89"/>
  <c r="N43" i="89"/>
  <c r="N42" i="89"/>
  <c r="N41" i="89"/>
  <c r="N40" i="89"/>
  <c r="N39" i="89"/>
  <c r="N38" i="89"/>
  <c r="N37" i="89"/>
  <c r="N36" i="89"/>
  <c r="N35" i="89"/>
  <c r="N34" i="89"/>
  <c r="N33" i="89"/>
  <c r="N32" i="89"/>
  <c r="N31" i="89"/>
  <c r="N30" i="89"/>
  <c r="N29" i="89"/>
  <c r="N28" i="89"/>
  <c r="N27" i="89"/>
  <c r="N26" i="89"/>
  <c r="N25" i="89"/>
  <c r="N24" i="89"/>
  <c r="N23" i="89"/>
  <c r="N22" i="89"/>
  <c r="N21" i="89"/>
  <c r="N20" i="89"/>
  <c r="N19" i="89"/>
  <c r="N18" i="89"/>
  <c r="N17" i="89"/>
  <c r="N16" i="89"/>
  <c r="N15" i="89"/>
  <c r="N14" i="89"/>
  <c r="N13" i="89"/>
  <c r="N12" i="89"/>
  <c r="N64" i="89"/>
  <c r="M62" i="89"/>
  <c r="L62" i="89"/>
  <c r="K62" i="89"/>
  <c r="J62" i="89"/>
  <c r="I62" i="89"/>
  <c r="H62" i="89"/>
  <c r="M61" i="89"/>
  <c r="L61" i="89"/>
  <c r="K61" i="89"/>
  <c r="J61" i="89"/>
  <c r="I61" i="89"/>
  <c r="H61" i="89"/>
  <c r="M60" i="89"/>
  <c r="L60" i="89"/>
  <c r="K60" i="89"/>
  <c r="J60" i="89"/>
  <c r="I60" i="89"/>
  <c r="H60" i="89"/>
  <c r="M59" i="89"/>
  <c r="L59" i="89"/>
  <c r="K59" i="89"/>
  <c r="J59" i="89"/>
  <c r="I59" i="89"/>
  <c r="H59" i="89"/>
  <c r="M58" i="89"/>
  <c r="L58" i="89"/>
  <c r="K58" i="89"/>
  <c r="J58" i="89"/>
  <c r="I58" i="89"/>
  <c r="H58" i="89"/>
  <c r="M57" i="89"/>
  <c r="L57" i="89"/>
  <c r="K57" i="89"/>
  <c r="J57" i="89"/>
  <c r="I57" i="89"/>
  <c r="H57" i="89"/>
  <c r="M56" i="89"/>
  <c r="L56" i="89"/>
  <c r="K56" i="89"/>
  <c r="J56" i="89"/>
  <c r="I56" i="89"/>
  <c r="H56" i="89"/>
  <c r="M55" i="89"/>
  <c r="L55" i="89"/>
  <c r="K55" i="89"/>
  <c r="J55" i="89"/>
  <c r="I55" i="89"/>
  <c r="H55" i="89"/>
  <c r="M54" i="89"/>
  <c r="L54" i="89"/>
  <c r="K54" i="89"/>
  <c r="J54" i="89"/>
  <c r="I54" i="89"/>
  <c r="H54" i="89"/>
  <c r="M53" i="89"/>
  <c r="L53" i="89"/>
  <c r="K53" i="89"/>
  <c r="J53" i="89"/>
  <c r="I53" i="89"/>
  <c r="H53" i="89"/>
  <c r="M52" i="89"/>
  <c r="L52" i="89"/>
  <c r="K52" i="89"/>
  <c r="J52" i="89"/>
  <c r="I52" i="89"/>
  <c r="H52" i="89"/>
  <c r="M51" i="89"/>
  <c r="L51" i="89"/>
  <c r="K51" i="89"/>
  <c r="J51" i="89"/>
  <c r="I51" i="89"/>
  <c r="H51" i="89"/>
  <c r="M50" i="89"/>
  <c r="L50" i="89"/>
  <c r="K50" i="89"/>
  <c r="J50" i="89"/>
  <c r="I50" i="89"/>
  <c r="H50" i="89"/>
  <c r="M49" i="89"/>
  <c r="L49" i="89"/>
  <c r="K49" i="89"/>
  <c r="J49" i="89"/>
  <c r="I49" i="89"/>
  <c r="H49" i="89"/>
  <c r="M48" i="89"/>
  <c r="L48" i="89"/>
  <c r="K48" i="89"/>
  <c r="J48" i="89"/>
  <c r="I48" i="89"/>
  <c r="H48" i="89"/>
  <c r="M47" i="89"/>
  <c r="L47" i="89"/>
  <c r="K47" i="89"/>
  <c r="J47" i="89"/>
  <c r="I47" i="89"/>
  <c r="H47" i="89"/>
  <c r="M46" i="89"/>
  <c r="L46" i="89"/>
  <c r="K46" i="89"/>
  <c r="J46" i="89"/>
  <c r="I46" i="89"/>
  <c r="H46" i="89"/>
  <c r="M45" i="89"/>
  <c r="L45" i="89"/>
  <c r="K45" i="89"/>
  <c r="J45" i="89"/>
  <c r="I45" i="89"/>
  <c r="H45" i="89"/>
  <c r="M44" i="89"/>
  <c r="L44" i="89"/>
  <c r="K44" i="89"/>
  <c r="J44" i="89"/>
  <c r="I44" i="89"/>
  <c r="H44" i="89"/>
  <c r="M43" i="89"/>
  <c r="L43" i="89"/>
  <c r="K43" i="89"/>
  <c r="J43" i="89"/>
  <c r="I43" i="89"/>
  <c r="H43" i="89"/>
  <c r="M42" i="89"/>
  <c r="L42" i="89"/>
  <c r="K42" i="89"/>
  <c r="J42" i="89"/>
  <c r="I42" i="89"/>
  <c r="H42" i="89"/>
  <c r="M41" i="89"/>
  <c r="L41" i="89"/>
  <c r="K41" i="89"/>
  <c r="J41" i="89"/>
  <c r="I41" i="89"/>
  <c r="H41" i="89"/>
  <c r="M40" i="89"/>
  <c r="L40" i="89"/>
  <c r="K40" i="89"/>
  <c r="J40" i="89"/>
  <c r="I40" i="89"/>
  <c r="H40" i="89"/>
  <c r="M39" i="89"/>
  <c r="L39" i="89"/>
  <c r="K39" i="89"/>
  <c r="J39" i="89"/>
  <c r="I39" i="89"/>
  <c r="H39" i="89"/>
  <c r="M38" i="89"/>
  <c r="L38" i="89"/>
  <c r="K38" i="89"/>
  <c r="J38" i="89"/>
  <c r="I38" i="89"/>
  <c r="H38" i="89"/>
  <c r="M37" i="89"/>
  <c r="L37" i="89"/>
  <c r="K37" i="89"/>
  <c r="J37" i="89"/>
  <c r="I37" i="89"/>
  <c r="H37" i="89"/>
  <c r="M36" i="89"/>
  <c r="L36" i="89"/>
  <c r="K36" i="89"/>
  <c r="J36" i="89"/>
  <c r="I36" i="89"/>
  <c r="H36" i="89"/>
  <c r="M35" i="89"/>
  <c r="L35" i="89"/>
  <c r="K35" i="89"/>
  <c r="J35" i="89"/>
  <c r="I35" i="89"/>
  <c r="H35" i="89"/>
  <c r="M34" i="89"/>
  <c r="L34" i="89"/>
  <c r="K34" i="89"/>
  <c r="J34" i="89"/>
  <c r="I34" i="89"/>
  <c r="H34" i="89"/>
  <c r="M33" i="89"/>
  <c r="L33" i="89"/>
  <c r="K33" i="89"/>
  <c r="J33" i="89"/>
  <c r="I33" i="89"/>
  <c r="H33" i="89"/>
  <c r="M32" i="89"/>
  <c r="L32" i="89"/>
  <c r="K32" i="89"/>
  <c r="J32" i="89"/>
  <c r="I32" i="89"/>
  <c r="H32" i="89"/>
  <c r="M31" i="89"/>
  <c r="L31" i="89"/>
  <c r="K31" i="89"/>
  <c r="J31" i="89"/>
  <c r="I31" i="89"/>
  <c r="H31" i="89"/>
  <c r="M30" i="89"/>
  <c r="L30" i="89"/>
  <c r="K30" i="89"/>
  <c r="J30" i="89"/>
  <c r="I30" i="89"/>
  <c r="H30" i="89"/>
  <c r="M29" i="89"/>
  <c r="L29" i="89"/>
  <c r="K29" i="89"/>
  <c r="J29" i="89"/>
  <c r="I29" i="89"/>
  <c r="H29" i="89"/>
  <c r="M28" i="89"/>
  <c r="L28" i="89"/>
  <c r="K28" i="89"/>
  <c r="J28" i="89"/>
  <c r="I28" i="89"/>
  <c r="H28" i="89"/>
  <c r="M27" i="89"/>
  <c r="L27" i="89"/>
  <c r="K27" i="89"/>
  <c r="J27" i="89"/>
  <c r="I27" i="89"/>
  <c r="H27" i="89"/>
  <c r="M26" i="89"/>
  <c r="L26" i="89"/>
  <c r="K26" i="89"/>
  <c r="J26" i="89"/>
  <c r="I26" i="89"/>
  <c r="H26" i="89"/>
  <c r="M25" i="89"/>
  <c r="L25" i="89"/>
  <c r="K25" i="89"/>
  <c r="J25" i="89"/>
  <c r="I25" i="89"/>
  <c r="H25" i="89"/>
  <c r="M24" i="89"/>
  <c r="L24" i="89"/>
  <c r="K24" i="89"/>
  <c r="J24" i="89"/>
  <c r="I24" i="89"/>
  <c r="H24" i="89"/>
  <c r="M23" i="89"/>
  <c r="L23" i="89"/>
  <c r="K23" i="89"/>
  <c r="J23" i="89"/>
  <c r="I23" i="89"/>
  <c r="H23" i="89"/>
  <c r="M22" i="89"/>
  <c r="L22" i="89"/>
  <c r="K22" i="89"/>
  <c r="J22" i="89"/>
  <c r="I22" i="89"/>
  <c r="H22" i="89"/>
  <c r="M21" i="89"/>
  <c r="L21" i="89"/>
  <c r="K21" i="89"/>
  <c r="J21" i="89"/>
  <c r="I21" i="89"/>
  <c r="H21" i="89"/>
  <c r="M20" i="89"/>
  <c r="L20" i="89"/>
  <c r="K20" i="89"/>
  <c r="J20" i="89"/>
  <c r="I20" i="89"/>
  <c r="H20" i="89"/>
  <c r="M19" i="89"/>
  <c r="L19" i="89"/>
  <c r="K19" i="89"/>
  <c r="J19" i="89"/>
  <c r="I19" i="89"/>
  <c r="H19" i="89"/>
  <c r="M18" i="89"/>
  <c r="L18" i="89"/>
  <c r="K18" i="89"/>
  <c r="J18" i="89"/>
  <c r="I18" i="89"/>
  <c r="H18" i="89"/>
  <c r="M17" i="89"/>
  <c r="L17" i="89"/>
  <c r="K17" i="89"/>
  <c r="J17" i="89"/>
  <c r="I17" i="89"/>
  <c r="H17" i="89"/>
  <c r="M16" i="89"/>
  <c r="L16" i="89"/>
  <c r="K16" i="89"/>
  <c r="J16" i="89"/>
  <c r="I16" i="89"/>
  <c r="H16" i="89"/>
  <c r="M15" i="89"/>
  <c r="L15" i="89"/>
  <c r="K15" i="89"/>
  <c r="J15" i="89"/>
  <c r="I15" i="89"/>
  <c r="H15" i="89"/>
  <c r="M14" i="89"/>
  <c r="L14" i="89"/>
  <c r="K14" i="89"/>
  <c r="J14" i="89"/>
  <c r="I14" i="89"/>
  <c r="H14" i="89"/>
  <c r="M13" i="89"/>
  <c r="L13" i="89"/>
  <c r="K13" i="89"/>
  <c r="J13" i="89"/>
  <c r="I13" i="89"/>
  <c r="H13" i="89"/>
  <c r="M12" i="89"/>
  <c r="L12" i="89"/>
  <c r="K12" i="89"/>
  <c r="J12" i="89"/>
  <c r="I12" i="89"/>
  <c r="H12" i="89"/>
  <c r="M63" i="89"/>
  <c r="L63" i="89"/>
  <c r="K63" i="89"/>
  <c r="J63" i="89"/>
  <c r="I63" i="89"/>
  <c r="H63" i="89"/>
  <c r="M64" i="89"/>
  <c r="L64" i="89"/>
  <c r="K64" i="89"/>
  <c r="J64" i="89"/>
  <c r="I64" i="89"/>
  <c r="H64" i="89"/>
  <c r="I29" i="86"/>
  <c r="G29" i="86"/>
  <c r="L65" i="85"/>
  <c r="L64" i="85"/>
  <c r="L63" i="85"/>
  <c r="L62" i="85"/>
  <c r="J65" i="85"/>
  <c r="J64" i="85"/>
  <c r="J63" i="85"/>
  <c r="J62" i="85"/>
  <c r="H65" i="85"/>
  <c r="H64" i="85"/>
  <c r="H63" i="85"/>
  <c r="H62" i="85"/>
  <c r="F65" i="85"/>
  <c r="F64" i="85"/>
  <c r="F63" i="85"/>
  <c r="F62" i="85"/>
  <c r="L61" i="85"/>
  <c r="J61" i="85"/>
  <c r="H61" i="85"/>
  <c r="F61" i="85"/>
  <c r="L60" i="85"/>
  <c r="J60" i="85"/>
  <c r="H60" i="85"/>
  <c r="F60" i="85"/>
  <c r="L47" i="84"/>
  <c r="L46" i="84"/>
  <c r="J47" i="84"/>
  <c r="J46" i="84"/>
  <c r="L45" i="84"/>
  <c r="J45" i="84"/>
  <c r="L44" i="84"/>
  <c r="J44" i="84"/>
  <c r="H40" i="84"/>
  <c r="J40" i="84"/>
  <c r="J39" i="84"/>
  <c r="J38" i="84"/>
  <c r="L33" i="84"/>
  <c r="J33" i="84"/>
  <c r="G26" i="5"/>
  <c r="L32" i="84"/>
  <c r="J32" i="84"/>
  <c r="J28" i="84"/>
  <c r="L28" i="84" s="1"/>
  <c r="J27" i="84"/>
  <c r="L27" i="84" s="1"/>
  <c r="J26" i="84"/>
  <c r="L26" i="84" s="1"/>
  <c r="L22" i="84"/>
  <c r="J22" i="84"/>
  <c r="L21" i="84"/>
  <c r="J21" i="84"/>
  <c r="L20" i="84"/>
  <c r="J20" i="84"/>
  <c r="L16" i="84"/>
  <c r="J16" i="84"/>
  <c r="L15" i="84"/>
  <c r="J15" i="84"/>
  <c r="L14" i="84"/>
  <c r="J14" i="84"/>
  <c r="L13" i="84"/>
  <c r="J13" i="84"/>
  <c r="L12" i="84"/>
  <c r="J12" i="84"/>
  <c r="H47" i="84"/>
  <c r="H46" i="84"/>
  <c r="H45" i="84"/>
  <c r="H44" i="84"/>
  <c r="F47" i="84"/>
  <c r="F46" i="84"/>
  <c r="F45" i="84"/>
  <c r="F44" i="84"/>
  <c r="F40" i="84"/>
  <c r="H39" i="84"/>
  <c r="H38" i="84"/>
  <c r="F39" i="84"/>
  <c r="F38" i="84"/>
  <c r="H34" i="84"/>
  <c r="H33" i="84"/>
  <c r="H32" i="84"/>
  <c r="F34" i="84"/>
  <c r="F33" i="84"/>
  <c r="F32" i="84"/>
  <c r="H28" i="84"/>
  <c r="H27" i="84"/>
  <c r="H26" i="84"/>
  <c r="F28" i="84"/>
  <c r="F27" i="84"/>
  <c r="F26" i="84"/>
  <c r="H22" i="84"/>
  <c r="H21" i="84"/>
  <c r="H20" i="84"/>
  <c r="F21" i="84"/>
  <c r="F22" i="84"/>
  <c r="F20" i="84"/>
  <c r="H13" i="84"/>
  <c r="F13" i="84"/>
  <c r="F14" i="84"/>
  <c r="H14" i="84"/>
  <c r="H16" i="84"/>
  <c r="F16" i="84"/>
  <c r="H15" i="84"/>
  <c r="H12" i="84"/>
  <c r="F12" i="84"/>
  <c r="F15" i="84"/>
  <c r="H77" i="83"/>
  <c r="H78" i="83" s="1"/>
  <c r="F77" i="83"/>
  <c r="F78" i="83" s="1"/>
  <c r="D77" i="83"/>
  <c r="D78" i="83" s="1"/>
  <c r="L94" i="83"/>
  <c r="L90" i="83"/>
  <c r="L85" i="83"/>
  <c r="L80" i="83"/>
  <c r="L75" i="83"/>
  <c r="L74" i="83"/>
  <c r="J94" i="83"/>
  <c r="J90" i="83"/>
  <c r="J85" i="83"/>
  <c r="J80" i="83"/>
  <c r="J75" i="83"/>
  <c r="J74" i="83"/>
  <c r="L32" i="83"/>
  <c r="L28" i="83"/>
  <c r="L23" i="83"/>
  <c r="L18" i="83"/>
  <c r="J32" i="83"/>
  <c r="J28" i="83"/>
  <c r="J23" i="83"/>
  <c r="J18" i="83"/>
  <c r="L13" i="83"/>
  <c r="L12" i="83"/>
  <c r="J12" i="83"/>
  <c r="J13" i="83"/>
  <c r="H15" i="83"/>
  <c r="H20" i="83" s="1"/>
  <c r="F15" i="83"/>
  <c r="F16" i="83" s="1"/>
  <c r="D15" i="83"/>
  <c r="L63" i="83"/>
  <c r="J63" i="83"/>
  <c r="L59" i="83"/>
  <c r="J59" i="83"/>
  <c r="L54" i="83"/>
  <c r="J54" i="83"/>
  <c r="L49" i="83"/>
  <c r="J49" i="83"/>
  <c r="L44" i="83"/>
  <c r="J44" i="83"/>
  <c r="J46" i="83" s="1"/>
  <c r="J47" i="83" s="1"/>
  <c r="L43" i="83"/>
  <c r="J43" i="83"/>
  <c r="H63" i="83"/>
  <c r="H59" i="83"/>
  <c r="H54" i="83"/>
  <c r="H49" i="83"/>
  <c r="H44" i="83"/>
  <c r="H46" i="83" s="1"/>
  <c r="H43" i="83"/>
  <c r="F63" i="83"/>
  <c r="F59" i="83"/>
  <c r="F54" i="83"/>
  <c r="D52" i="83"/>
  <c r="F49" i="83"/>
  <c r="F44" i="83"/>
  <c r="F43" i="83"/>
  <c r="L46" i="83"/>
  <c r="F46" i="83"/>
  <c r="F51" i="83" s="1"/>
  <c r="D63" i="83"/>
  <c r="D59" i="83"/>
  <c r="D54" i="83"/>
  <c r="D51" i="83"/>
  <c r="D56" i="83" s="1"/>
  <c r="D49" i="83"/>
  <c r="D47" i="83"/>
  <c r="D46" i="83"/>
  <c r="D44" i="83"/>
  <c r="D43" i="83"/>
  <c r="K50" i="1"/>
  <c r="K54" i="1"/>
  <c r="K55" i="1"/>
  <c r="I14" i="9"/>
  <c r="H14" i="9"/>
  <c r="I13" i="9"/>
  <c r="H13" i="9"/>
  <c r="G14" i="9"/>
  <c r="G13" i="9"/>
  <c r="D50" i="23"/>
  <c r="D49" i="23"/>
  <c r="I26" i="9"/>
  <c r="G26" i="9"/>
  <c r="I25" i="9"/>
  <c r="G25" i="9"/>
  <c r="I12" i="9"/>
  <c r="G12" i="9"/>
  <c r="H15" i="11"/>
  <c r="G15" i="11"/>
  <c r="F15" i="11"/>
  <c r="E15" i="11"/>
  <c r="D15" i="11"/>
  <c r="C15" i="11"/>
  <c r="C26" i="11"/>
  <c r="AB12" i="63"/>
  <c r="AA12" i="63"/>
  <c r="Z12" i="63"/>
  <c r="Y12" i="63"/>
  <c r="X12" i="63"/>
  <c r="AB26" i="63"/>
  <c r="AA26" i="63"/>
  <c r="Z26" i="63"/>
  <c r="Y26" i="63"/>
  <c r="X26" i="63"/>
  <c r="G25" i="62"/>
  <c r="F25" i="62"/>
  <c r="E25" i="62"/>
  <c r="D25" i="62"/>
  <c r="C25" i="62"/>
  <c r="E22" i="62"/>
  <c r="C22" i="62"/>
  <c r="C32" i="62"/>
  <c r="G35" i="62"/>
  <c r="F35" i="62"/>
  <c r="E35" i="62"/>
  <c r="D35" i="62"/>
  <c r="C35" i="62"/>
  <c r="F42" i="62"/>
  <c r="E42" i="62"/>
  <c r="D42" i="62"/>
  <c r="C42" i="62"/>
  <c r="C43" i="62"/>
  <c r="G45" i="62"/>
  <c r="F45" i="62"/>
  <c r="E45" i="62"/>
  <c r="D45" i="62"/>
  <c r="C45" i="62"/>
  <c r="G43" i="62"/>
  <c r="G42" i="62" s="1"/>
  <c r="F43" i="62"/>
  <c r="E43" i="62"/>
  <c r="D43" i="62"/>
  <c r="G33" i="62"/>
  <c r="G32" i="62" s="1"/>
  <c r="F33" i="62"/>
  <c r="F32" i="62" s="1"/>
  <c r="E33" i="62"/>
  <c r="E32" i="62" s="1"/>
  <c r="D33" i="62"/>
  <c r="D32" i="62" s="1"/>
  <c r="C33" i="62"/>
  <c r="G23" i="62"/>
  <c r="G22" i="62" s="1"/>
  <c r="F23" i="62"/>
  <c r="F22" i="62" s="1"/>
  <c r="E23" i="62"/>
  <c r="D23" i="62"/>
  <c r="D22" i="62" s="1"/>
  <c r="C23" i="62"/>
  <c r="U26" i="63"/>
  <c r="T26" i="63"/>
  <c r="S26" i="63"/>
  <c r="R26" i="63"/>
  <c r="Q26" i="63"/>
  <c r="U12" i="63"/>
  <c r="T12" i="63"/>
  <c r="S12" i="63"/>
  <c r="R12" i="63"/>
  <c r="Q12" i="63"/>
  <c r="N26" i="63"/>
  <c r="M26" i="63"/>
  <c r="L26" i="63"/>
  <c r="K26" i="63"/>
  <c r="J26" i="63"/>
  <c r="N12" i="63"/>
  <c r="M12" i="63"/>
  <c r="L12" i="63"/>
  <c r="K12" i="63"/>
  <c r="J12" i="63"/>
  <c r="AB20" i="64"/>
  <c r="AA20" i="64"/>
  <c r="Z20" i="64"/>
  <c r="Y20" i="64"/>
  <c r="X20" i="64"/>
  <c r="AB19" i="64"/>
  <c r="AA19" i="64"/>
  <c r="Z19" i="64"/>
  <c r="Y19" i="64"/>
  <c r="X19" i="64"/>
  <c r="N20" i="64"/>
  <c r="M20" i="64"/>
  <c r="L20" i="64"/>
  <c r="K20" i="64"/>
  <c r="J20" i="64"/>
  <c r="N19" i="64"/>
  <c r="M19" i="64"/>
  <c r="L19" i="64"/>
  <c r="K19" i="64"/>
  <c r="J19" i="64"/>
  <c r="U20" i="64"/>
  <c r="T20" i="64"/>
  <c r="S20" i="64"/>
  <c r="R20" i="64"/>
  <c r="Q20" i="64"/>
  <c r="U19" i="64"/>
  <c r="T19" i="64"/>
  <c r="S19" i="64"/>
  <c r="R19" i="64"/>
  <c r="Q19" i="64"/>
  <c r="T5" i="64"/>
  <c r="Q13" i="66"/>
  <c r="T39" i="64"/>
  <c r="F23" i="64"/>
  <c r="E23" i="64"/>
  <c r="D23" i="64"/>
  <c r="C23" i="64"/>
  <c r="G23" i="64"/>
  <c r="X34" i="68"/>
  <c r="AA34" i="68" s="1"/>
  <c r="Q34" i="68"/>
  <c r="S34" i="68" s="1"/>
  <c r="J34" i="68"/>
  <c r="N34" i="68" s="1"/>
  <c r="X33" i="68"/>
  <c r="AB33" i="68" s="1"/>
  <c r="Q33" i="68"/>
  <c r="R33" i="68" s="1"/>
  <c r="J33" i="68"/>
  <c r="N33" i="68" s="1"/>
  <c r="AB29" i="68"/>
  <c r="AA29" i="68"/>
  <c r="Z29" i="68"/>
  <c r="Y29" i="68"/>
  <c r="X29" i="68"/>
  <c r="N29" i="68"/>
  <c r="M29" i="68"/>
  <c r="L29" i="68"/>
  <c r="K29" i="68"/>
  <c r="J29" i="68"/>
  <c r="Q28" i="68"/>
  <c r="AB22" i="68"/>
  <c r="AA22" i="68"/>
  <c r="Z22" i="68"/>
  <c r="Y22" i="68"/>
  <c r="N22" i="68"/>
  <c r="M22" i="68"/>
  <c r="L22" i="68"/>
  <c r="K22" i="68"/>
  <c r="U22" i="68"/>
  <c r="T22" i="68"/>
  <c r="S22" i="68"/>
  <c r="R22" i="68"/>
  <c r="Q22" i="68"/>
  <c r="U43" i="67"/>
  <c r="T43" i="67"/>
  <c r="S43" i="67"/>
  <c r="R43" i="67"/>
  <c r="Q43" i="67"/>
  <c r="U42" i="67"/>
  <c r="T42" i="67"/>
  <c r="S42" i="67"/>
  <c r="R42" i="67"/>
  <c r="Q42" i="67"/>
  <c r="Q23" i="67"/>
  <c r="Q17" i="67"/>
  <c r="AB19" i="67"/>
  <c r="AB20" i="67" s="1"/>
  <c r="AA19" i="67"/>
  <c r="AA20" i="67" s="1"/>
  <c r="Z19" i="67"/>
  <c r="Z20" i="67" s="1"/>
  <c r="Y19" i="67"/>
  <c r="Y20" i="67" s="1"/>
  <c r="X20" i="67"/>
  <c r="N20" i="67"/>
  <c r="M20" i="67"/>
  <c r="L20" i="67"/>
  <c r="K20" i="67"/>
  <c r="J20" i="67"/>
  <c r="N19" i="67"/>
  <c r="M19" i="67"/>
  <c r="L19" i="67"/>
  <c r="K19" i="67"/>
  <c r="U20" i="67"/>
  <c r="T20" i="67"/>
  <c r="S20" i="67"/>
  <c r="R20" i="67"/>
  <c r="Q20" i="67"/>
  <c r="U19" i="67"/>
  <c r="T19" i="67"/>
  <c r="S19" i="67"/>
  <c r="R19" i="67"/>
  <c r="Q19" i="67"/>
  <c r="Q28" i="67"/>
  <c r="Q50" i="66"/>
  <c r="AB14" i="66"/>
  <c r="AA14" i="66"/>
  <c r="Z14" i="66"/>
  <c r="Y14" i="66"/>
  <c r="X14" i="66"/>
  <c r="AB13" i="66"/>
  <c r="AA13" i="66"/>
  <c r="Z13" i="66"/>
  <c r="Y13" i="66"/>
  <c r="J14" i="66"/>
  <c r="N13" i="66"/>
  <c r="N14" i="66" s="1"/>
  <c r="M13" i="66"/>
  <c r="M14" i="66" s="1"/>
  <c r="L13" i="66"/>
  <c r="L14" i="66" s="1"/>
  <c r="K13" i="66"/>
  <c r="K14" i="66" s="1"/>
  <c r="U14" i="66"/>
  <c r="T14" i="66"/>
  <c r="S14" i="66"/>
  <c r="Q14" i="66"/>
  <c r="U13" i="66"/>
  <c r="T13" i="66"/>
  <c r="S13" i="66"/>
  <c r="R13" i="66"/>
  <c r="R14" i="66" s="1"/>
  <c r="AB17" i="66"/>
  <c r="AA17" i="66"/>
  <c r="Z17" i="66"/>
  <c r="Y17" i="66"/>
  <c r="X17" i="66"/>
  <c r="AB16" i="66"/>
  <c r="AA16" i="66"/>
  <c r="Z16" i="66"/>
  <c r="Y16" i="66"/>
  <c r="U17" i="66"/>
  <c r="T17" i="66"/>
  <c r="S17" i="66"/>
  <c r="R17" i="66"/>
  <c r="Q17" i="66"/>
  <c r="U16" i="66"/>
  <c r="T16" i="66"/>
  <c r="S16" i="66"/>
  <c r="R16" i="66"/>
  <c r="Q16" i="66"/>
  <c r="N17" i="66"/>
  <c r="M17" i="66"/>
  <c r="L17" i="66"/>
  <c r="K17" i="66"/>
  <c r="J17" i="66"/>
  <c r="N16" i="66"/>
  <c r="M16" i="66"/>
  <c r="L16" i="66"/>
  <c r="K16" i="66"/>
  <c r="Q24" i="66"/>
  <c r="U22" i="66"/>
  <c r="T22" i="66"/>
  <c r="S22" i="66"/>
  <c r="R22" i="66"/>
  <c r="Q22" i="66"/>
  <c r="U21" i="66"/>
  <c r="T21" i="66"/>
  <c r="S21" i="66"/>
  <c r="R21" i="66"/>
  <c r="Q21" i="66"/>
  <c r="N22" i="66"/>
  <c r="M22" i="66"/>
  <c r="L22" i="66"/>
  <c r="K22" i="66"/>
  <c r="J22" i="66"/>
  <c r="N21" i="66"/>
  <c r="M21" i="66"/>
  <c r="L21" i="66"/>
  <c r="K21" i="66"/>
  <c r="AB25" i="66"/>
  <c r="AA25" i="66"/>
  <c r="Z25" i="66"/>
  <c r="Y25" i="66"/>
  <c r="X25" i="66"/>
  <c r="AB24" i="66"/>
  <c r="AA24" i="66"/>
  <c r="Z24" i="66"/>
  <c r="Y24" i="66"/>
  <c r="Q25" i="66"/>
  <c r="U25" i="66"/>
  <c r="T25" i="66"/>
  <c r="S25" i="66"/>
  <c r="U24" i="66"/>
  <c r="T24" i="66"/>
  <c r="S24" i="66"/>
  <c r="R24" i="66"/>
  <c r="R25" i="66" s="1"/>
  <c r="N25" i="66"/>
  <c r="M25" i="66"/>
  <c r="L25" i="66"/>
  <c r="K25" i="66"/>
  <c r="J25" i="66"/>
  <c r="N24" i="66"/>
  <c r="M24" i="66"/>
  <c r="L24" i="66"/>
  <c r="K24" i="66"/>
  <c r="G25" i="66"/>
  <c r="F25" i="66"/>
  <c r="E25" i="66"/>
  <c r="D25" i="66"/>
  <c r="G22" i="66"/>
  <c r="F22" i="66"/>
  <c r="E22" i="66"/>
  <c r="D22" i="66"/>
  <c r="C12" i="61"/>
  <c r="D12" i="61"/>
  <c r="E12" i="61"/>
  <c r="F12" i="61"/>
  <c r="G12" i="61"/>
  <c r="J14" i="61"/>
  <c r="K14" i="61"/>
  <c r="L14" i="61"/>
  <c r="M14" i="61"/>
  <c r="N14" i="61"/>
  <c r="R14" i="61"/>
  <c r="S14" i="61"/>
  <c r="T14" i="61"/>
  <c r="U14" i="61"/>
  <c r="X14" i="61"/>
  <c r="Y14" i="61"/>
  <c r="Z14" i="61"/>
  <c r="AA14" i="61"/>
  <c r="AB14" i="61"/>
  <c r="C16" i="61"/>
  <c r="D16" i="61"/>
  <c r="E16" i="61"/>
  <c r="F16" i="61"/>
  <c r="G16" i="61"/>
  <c r="J18" i="61"/>
  <c r="K18" i="61"/>
  <c r="L18" i="61"/>
  <c r="M18" i="61"/>
  <c r="N18" i="61"/>
  <c r="R18" i="61"/>
  <c r="S18" i="61"/>
  <c r="T18" i="61"/>
  <c r="U18" i="61"/>
  <c r="X18" i="61"/>
  <c r="Y18" i="61"/>
  <c r="Z18" i="61"/>
  <c r="AA18" i="61"/>
  <c r="AB18" i="61"/>
  <c r="C20" i="61"/>
  <c r="D20" i="61"/>
  <c r="E20" i="61"/>
  <c r="F20" i="61"/>
  <c r="G20" i="61"/>
  <c r="K20" i="61"/>
  <c r="L20" i="61"/>
  <c r="M20" i="61"/>
  <c r="N20" i="61"/>
  <c r="R20" i="61"/>
  <c r="S20" i="61"/>
  <c r="T20" i="61"/>
  <c r="U20" i="61"/>
  <c r="Y20" i="61"/>
  <c r="Z20" i="61"/>
  <c r="AA20" i="61"/>
  <c r="AB20" i="61"/>
  <c r="C24" i="61"/>
  <c r="D24" i="61"/>
  <c r="E24" i="61"/>
  <c r="F24" i="61"/>
  <c r="G24" i="61"/>
  <c r="J26" i="61"/>
  <c r="K26" i="61"/>
  <c r="L26" i="61"/>
  <c r="M26" i="61"/>
  <c r="N26" i="61"/>
  <c r="R26" i="61"/>
  <c r="S26" i="61"/>
  <c r="T26" i="61"/>
  <c r="U26" i="61"/>
  <c r="X26" i="61"/>
  <c r="Y26" i="61"/>
  <c r="Z26" i="61"/>
  <c r="AA26" i="61"/>
  <c r="AB26" i="61"/>
  <c r="C28" i="61"/>
  <c r="D28" i="61"/>
  <c r="E28" i="61"/>
  <c r="F28" i="61"/>
  <c r="G28" i="61"/>
  <c r="J30" i="61"/>
  <c r="R30" i="61"/>
  <c r="S30" i="61"/>
  <c r="T30" i="61"/>
  <c r="U30" i="61"/>
  <c r="X30" i="61"/>
  <c r="Y30" i="61"/>
  <c r="Z30" i="61"/>
  <c r="AA30" i="61"/>
  <c r="AB30" i="61"/>
  <c r="Q49" i="60"/>
  <c r="Q45" i="60"/>
  <c r="Q41" i="60"/>
  <c r="Q37" i="60"/>
  <c r="Q33" i="60"/>
  <c r="Q27" i="60"/>
  <c r="Q17" i="60"/>
  <c r="J46" i="63"/>
  <c r="E92" i="27"/>
  <c r="E65" i="27"/>
  <c r="F92" i="27"/>
  <c r="D92" i="27"/>
  <c r="C92" i="27"/>
  <c r="G92" i="27"/>
  <c r="F82" i="27"/>
  <c r="E82" i="27"/>
  <c r="D82" i="27"/>
  <c r="C82" i="27"/>
  <c r="F81" i="27"/>
  <c r="E81" i="27"/>
  <c r="D81" i="27"/>
  <c r="C81" i="27"/>
  <c r="G82" i="27"/>
  <c r="G81" i="27"/>
  <c r="F57" i="27"/>
  <c r="E57" i="27"/>
  <c r="D57" i="27"/>
  <c r="C57" i="27"/>
  <c r="G57" i="27"/>
  <c r="F17" i="27"/>
  <c r="E17" i="27"/>
  <c r="D17" i="27"/>
  <c r="C17" i="27"/>
  <c r="G17" i="27"/>
  <c r="F6" i="27"/>
  <c r="E6" i="27"/>
  <c r="D6" i="27"/>
  <c r="C6" i="27"/>
  <c r="G6" i="27"/>
  <c r="L10" i="74"/>
  <c r="H15" i="9"/>
  <c r="L8" i="74"/>
  <c r="G9" i="36"/>
  <c r="G46" i="2"/>
  <c r="F46" i="2"/>
  <c r="E46" i="2"/>
  <c r="D46" i="2"/>
  <c r="C46" i="2"/>
  <c r="D35" i="68"/>
  <c r="G35" i="68"/>
  <c r="F35" i="68"/>
  <c r="E35" i="68"/>
  <c r="C35" i="68"/>
  <c r="G12" i="4"/>
  <c r="F21" i="13"/>
  <c r="F20" i="13"/>
  <c r="AN11" i="20"/>
  <c r="AK114" i="20"/>
  <c r="AK113" i="20"/>
  <c r="AK112" i="20"/>
  <c r="AK111" i="20"/>
  <c r="AK110" i="20"/>
  <c r="AK109" i="20"/>
  <c r="AK108" i="20"/>
  <c r="AK107" i="20"/>
  <c r="AK106" i="20"/>
  <c r="AK105" i="20"/>
  <c r="AK104" i="20"/>
  <c r="AK103" i="20"/>
  <c r="AK102" i="20"/>
  <c r="AK101" i="20"/>
  <c r="AK100" i="20"/>
  <c r="AK99" i="20"/>
  <c r="AK98" i="20"/>
  <c r="AK97" i="20"/>
  <c r="AK96" i="20"/>
  <c r="AK95" i="20"/>
  <c r="AK94" i="20"/>
  <c r="AK93" i="20"/>
  <c r="AK92" i="20"/>
  <c r="AK91" i="20"/>
  <c r="AK90" i="20"/>
  <c r="AK89" i="20"/>
  <c r="AK88" i="20"/>
  <c r="AK87" i="20"/>
  <c r="AK86" i="20"/>
  <c r="AK85" i="20"/>
  <c r="AK84" i="20"/>
  <c r="AK83" i="20"/>
  <c r="AK82" i="20"/>
  <c r="AK81" i="20"/>
  <c r="AK80" i="20"/>
  <c r="AK79" i="20"/>
  <c r="AK78" i="20"/>
  <c r="AK77" i="20"/>
  <c r="AK76" i="20"/>
  <c r="AK75" i="20"/>
  <c r="AK74" i="20"/>
  <c r="AK73" i="20"/>
  <c r="AK72" i="20"/>
  <c r="AK71" i="20"/>
  <c r="AK70" i="20"/>
  <c r="AK69" i="20"/>
  <c r="AK68" i="20"/>
  <c r="AK67" i="20"/>
  <c r="AK66" i="20"/>
  <c r="AK65" i="20"/>
  <c r="AK64" i="20"/>
  <c r="AK63" i="20"/>
  <c r="AK62" i="20"/>
  <c r="AK61" i="20"/>
  <c r="AK60" i="20"/>
  <c r="AK59" i="20"/>
  <c r="AK58" i="20"/>
  <c r="AK57" i="20"/>
  <c r="AK56" i="20"/>
  <c r="AK55" i="20"/>
  <c r="AK54" i="20"/>
  <c r="AK53" i="20"/>
  <c r="AK52" i="20"/>
  <c r="AK51" i="20"/>
  <c r="AK50" i="20"/>
  <c r="AK49" i="20"/>
  <c r="AK48" i="20"/>
  <c r="AK47" i="20"/>
  <c r="AK46" i="20"/>
  <c r="AK45" i="20"/>
  <c r="AK44" i="20"/>
  <c r="AK43" i="20"/>
  <c r="AK42" i="20"/>
  <c r="AK41" i="20"/>
  <c r="AK40" i="20"/>
  <c r="AK39" i="20"/>
  <c r="AK38" i="20"/>
  <c r="AK37" i="20"/>
  <c r="AK36" i="20"/>
  <c r="AK35" i="20"/>
  <c r="AK34" i="20"/>
  <c r="AK33" i="20"/>
  <c r="AK32" i="20"/>
  <c r="AK31" i="20"/>
  <c r="AK30" i="20"/>
  <c r="AK29" i="20"/>
  <c r="AK28" i="20"/>
  <c r="AK27" i="20"/>
  <c r="AK26" i="20"/>
  <c r="AK25" i="20"/>
  <c r="AK24" i="20"/>
  <c r="AK23" i="20"/>
  <c r="AK22" i="20"/>
  <c r="AK21" i="20"/>
  <c r="AK20" i="20"/>
  <c r="AK19" i="20"/>
  <c r="AK18" i="20"/>
  <c r="AK17" i="20"/>
  <c r="AK16" i="20"/>
  <c r="AK15" i="20"/>
  <c r="AK14" i="20"/>
  <c r="AK13" i="20"/>
  <c r="AK12" i="20"/>
  <c r="D5130" i="28"/>
  <c r="D5129" i="28"/>
  <c r="D5128" i="28"/>
  <c r="D5127" i="28"/>
  <c r="D5126" i="28"/>
  <c r="D5125" i="28"/>
  <c r="D5124" i="28"/>
  <c r="D5123" i="28"/>
  <c r="D5122" i="28"/>
  <c r="D5121" i="28"/>
  <c r="D5120" i="28"/>
  <c r="D5119" i="28"/>
  <c r="D5118" i="28"/>
  <c r="D5117" i="28"/>
  <c r="D5116" i="28"/>
  <c r="D5115" i="28"/>
  <c r="D5114" i="28"/>
  <c r="D5113" i="28"/>
  <c r="D5112" i="28"/>
  <c r="D5111" i="28"/>
  <c r="D5110" i="28"/>
  <c r="D5109" i="28"/>
  <c r="D5108" i="28"/>
  <c r="D5107" i="28"/>
  <c r="D5106" i="28"/>
  <c r="D5105" i="28"/>
  <c r="D5104" i="28"/>
  <c r="D5103" i="28"/>
  <c r="D5102" i="28"/>
  <c r="D5101" i="28"/>
  <c r="D5100" i="28"/>
  <c r="D5099" i="28"/>
  <c r="D5098" i="28"/>
  <c r="D5097" i="28"/>
  <c r="D5096" i="28"/>
  <c r="D5095" i="28"/>
  <c r="D5094" i="28"/>
  <c r="D5093" i="28"/>
  <c r="D5092" i="28"/>
  <c r="D5091" i="28"/>
  <c r="D5090" i="28"/>
  <c r="D5089" i="28"/>
  <c r="D5088" i="28"/>
  <c r="D5087" i="28"/>
  <c r="D5086" i="28"/>
  <c r="D5085" i="28"/>
  <c r="D5084" i="28"/>
  <c r="D5083" i="28"/>
  <c r="D5082" i="28"/>
  <c r="D5081" i="28"/>
  <c r="D5080" i="28"/>
  <c r="D5079" i="28"/>
  <c r="D5078" i="28"/>
  <c r="D5077" i="28"/>
  <c r="D5076" i="28"/>
  <c r="D5075" i="28"/>
  <c r="D5074" i="28"/>
  <c r="D5073" i="28"/>
  <c r="D5072" i="28"/>
  <c r="D5071" i="28"/>
  <c r="D5070" i="28"/>
  <c r="D5069" i="28"/>
  <c r="D5068" i="28"/>
  <c r="D5067" i="28"/>
  <c r="D5066" i="28"/>
  <c r="D5065" i="28"/>
  <c r="D5064" i="28"/>
  <c r="D5063" i="28"/>
  <c r="D5062" i="28"/>
  <c r="D5061" i="28"/>
  <c r="D5060" i="28"/>
  <c r="D5059" i="28"/>
  <c r="D5058" i="28"/>
  <c r="D5057" i="28"/>
  <c r="D5056" i="28"/>
  <c r="D5055" i="28"/>
  <c r="D5054" i="28"/>
  <c r="D5053" i="28"/>
  <c r="D5052" i="28"/>
  <c r="D5051" i="28"/>
  <c r="D5050" i="28"/>
  <c r="D5049" i="28"/>
  <c r="D5048" i="28"/>
  <c r="D5047" i="28"/>
  <c r="D5046" i="28"/>
  <c r="D5045" i="28"/>
  <c r="D5044" i="28"/>
  <c r="D5043" i="28"/>
  <c r="D5042" i="28"/>
  <c r="D5041" i="28"/>
  <c r="D5040" i="28"/>
  <c r="D5039" i="28"/>
  <c r="D5038" i="28"/>
  <c r="D5037" i="28"/>
  <c r="D5036" i="28"/>
  <c r="D5035" i="28"/>
  <c r="D5034" i="28"/>
  <c r="D5033" i="28"/>
  <c r="D5032" i="28"/>
  <c r="D5031" i="28"/>
  <c r="D5030" i="28"/>
  <c r="D5029" i="28"/>
  <c r="D5028" i="28"/>
  <c r="AJ115" i="20"/>
  <c r="AJ114" i="20"/>
  <c r="AJ113" i="20"/>
  <c r="AJ112" i="20"/>
  <c r="AJ111" i="20"/>
  <c r="AJ110" i="20"/>
  <c r="AJ109" i="20"/>
  <c r="AJ108" i="20"/>
  <c r="AJ107" i="20"/>
  <c r="AJ106" i="20"/>
  <c r="AJ105" i="20"/>
  <c r="AJ104" i="20"/>
  <c r="AJ103" i="20"/>
  <c r="AJ102" i="20"/>
  <c r="AJ101" i="20"/>
  <c r="AJ100" i="20"/>
  <c r="AJ99" i="20"/>
  <c r="AJ98" i="20"/>
  <c r="AJ97" i="20"/>
  <c r="AJ96" i="20"/>
  <c r="AJ95" i="20"/>
  <c r="AJ94" i="20"/>
  <c r="AJ93" i="20"/>
  <c r="AJ92" i="20"/>
  <c r="AJ91" i="20"/>
  <c r="AJ90" i="20"/>
  <c r="AJ89" i="20"/>
  <c r="AJ88" i="20"/>
  <c r="AJ87" i="20"/>
  <c r="AJ86" i="20"/>
  <c r="AJ85" i="20"/>
  <c r="AJ84" i="20"/>
  <c r="AJ83" i="20"/>
  <c r="AJ82" i="20"/>
  <c r="AJ81" i="20"/>
  <c r="AJ80" i="20"/>
  <c r="AJ79" i="20"/>
  <c r="AJ78" i="20"/>
  <c r="AJ77" i="20"/>
  <c r="AJ76" i="20"/>
  <c r="AJ75" i="20"/>
  <c r="AJ74" i="20"/>
  <c r="AJ73" i="20"/>
  <c r="AJ72" i="20"/>
  <c r="AJ71" i="20"/>
  <c r="AJ70" i="20"/>
  <c r="AJ69" i="20"/>
  <c r="AJ68" i="20"/>
  <c r="AJ67" i="20"/>
  <c r="AJ66" i="20"/>
  <c r="AJ65" i="20"/>
  <c r="AJ64" i="20"/>
  <c r="AJ63" i="20"/>
  <c r="AJ62" i="20"/>
  <c r="AJ61" i="20"/>
  <c r="AJ60" i="20"/>
  <c r="AJ59" i="20"/>
  <c r="AJ58" i="20"/>
  <c r="AJ57" i="20"/>
  <c r="AJ56" i="20"/>
  <c r="AJ55" i="20"/>
  <c r="AJ54" i="20"/>
  <c r="AJ53" i="20"/>
  <c r="AJ52" i="20"/>
  <c r="AJ51" i="20"/>
  <c r="AJ50" i="20"/>
  <c r="AJ49" i="20"/>
  <c r="AJ48" i="20"/>
  <c r="AJ47" i="20"/>
  <c r="AJ46" i="20"/>
  <c r="AJ45" i="20"/>
  <c r="AJ44" i="20"/>
  <c r="AJ43" i="20"/>
  <c r="AJ42" i="20"/>
  <c r="AJ41" i="20"/>
  <c r="AJ40" i="20"/>
  <c r="AJ39" i="20"/>
  <c r="AJ38" i="20"/>
  <c r="AJ37" i="20"/>
  <c r="AJ36" i="20"/>
  <c r="AJ35" i="20"/>
  <c r="AJ34" i="20"/>
  <c r="AJ33" i="20"/>
  <c r="AJ32" i="20"/>
  <c r="AJ31" i="20"/>
  <c r="AJ30" i="20"/>
  <c r="AJ29" i="20"/>
  <c r="AJ28" i="20"/>
  <c r="AJ27" i="20"/>
  <c r="AJ26" i="20"/>
  <c r="AJ25" i="20"/>
  <c r="AJ24" i="20"/>
  <c r="AJ23" i="20"/>
  <c r="AJ22" i="20"/>
  <c r="AJ21" i="20"/>
  <c r="AJ20" i="20"/>
  <c r="AJ19" i="20"/>
  <c r="AJ18" i="20"/>
  <c r="AJ17" i="20"/>
  <c r="AJ16" i="20"/>
  <c r="AJ15" i="20"/>
  <c r="AJ14" i="20"/>
  <c r="AJ13" i="20"/>
  <c r="AJ12" i="20"/>
  <c r="H82" i="83" l="1"/>
  <c r="L77" i="83"/>
  <c r="F82" i="83"/>
  <c r="F87" i="83"/>
  <c r="J77" i="83"/>
  <c r="D82" i="83"/>
  <c r="J15" i="83"/>
  <c r="H21" i="83"/>
  <c r="H25" i="83"/>
  <c r="H16" i="83"/>
  <c r="L16" i="83" s="1"/>
  <c r="L15" i="83"/>
  <c r="F20" i="83"/>
  <c r="D20" i="83"/>
  <c r="D16" i="83"/>
  <c r="J16" i="83" s="1"/>
  <c r="L78" i="83"/>
  <c r="J78" i="83"/>
  <c r="L51" i="83"/>
  <c r="L56" i="83"/>
  <c r="L52" i="83"/>
  <c r="L47" i="83"/>
  <c r="J51" i="83"/>
  <c r="H51" i="83"/>
  <c r="H47" i="83"/>
  <c r="H52" i="83"/>
  <c r="H56" i="83"/>
  <c r="F52" i="83"/>
  <c r="F56" i="83"/>
  <c r="F47" i="83"/>
  <c r="D61" i="83"/>
  <c r="D65" i="83" s="1"/>
  <c r="D66" i="83" s="1"/>
  <c r="D57" i="83"/>
  <c r="Y34" i="68"/>
  <c r="AB34" i="68"/>
  <c r="S33" i="68"/>
  <c r="Z34" i="68"/>
  <c r="K34" i="68"/>
  <c r="L34" i="68"/>
  <c r="M34" i="68"/>
  <c r="T34" i="68"/>
  <c r="U34" i="68"/>
  <c r="R34" i="68"/>
  <c r="Z33" i="68"/>
  <c r="Y33" i="68"/>
  <c r="AA33" i="68"/>
  <c r="L33" i="68"/>
  <c r="M33" i="68"/>
  <c r="K33" i="68"/>
  <c r="T33" i="68"/>
  <c r="U33" i="68"/>
  <c r="K30" i="61"/>
  <c r="L30" i="61"/>
  <c r="M30" i="61"/>
  <c r="N30" i="61"/>
  <c r="C63" i="10"/>
  <c r="M35" i="4"/>
  <c r="L35" i="4"/>
  <c r="K35" i="4"/>
  <c r="J35" i="4"/>
  <c r="AB28" i="68"/>
  <c r="AA28" i="68"/>
  <c r="Z28" i="68"/>
  <c r="Y28" i="68"/>
  <c r="N28" i="68"/>
  <c r="M28" i="68"/>
  <c r="L28" i="68"/>
  <c r="K28" i="68"/>
  <c r="U28" i="68"/>
  <c r="N35" i="4" s="1"/>
  <c r="T28" i="68"/>
  <c r="S28" i="68"/>
  <c r="R28" i="68"/>
  <c r="G28" i="68"/>
  <c r="D11" i="63"/>
  <c r="N43" i="67"/>
  <c r="M43" i="67"/>
  <c r="L43" i="67"/>
  <c r="K43" i="67"/>
  <c r="AB43" i="67"/>
  <c r="AA43" i="67"/>
  <c r="Z43" i="67"/>
  <c r="Y43" i="67"/>
  <c r="N50" i="67"/>
  <c r="M50" i="67"/>
  <c r="L50" i="67"/>
  <c r="K50" i="67"/>
  <c r="AB46" i="67"/>
  <c r="AA46" i="67"/>
  <c r="Z46" i="67"/>
  <c r="Y46" i="67"/>
  <c r="N46" i="67"/>
  <c r="M46" i="67"/>
  <c r="L46" i="67"/>
  <c r="K46" i="67"/>
  <c r="AB28" i="67"/>
  <c r="AA28" i="67"/>
  <c r="Z28" i="67"/>
  <c r="Y28" i="67"/>
  <c r="N28" i="67"/>
  <c r="M28" i="67"/>
  <c r="L28" i="67"/>
  <c r="K28" i="67"/>
  <c r="AB40" i="67"/>
  <c r="AA40" i="67"/>
  <c r="Z40" i="67"/>
  <c r="Y40" i="67"/>
  <c r="N40" i="67"/>
  <c r="M40" i="67"/>
  <c r="L40" i="67"/>
  <c r="K40" i="67"/>
  <c r="AB50" i="67"/>
  <c r="AA50" i="67"/>
  <c r="Z50" i="67"/>
  <c r="Y50" i="67"/>
  <c r="AB31" i="67"/>
  <c r="AA31" i="67"/>
  <c r="Z31" i="67"/>
  <c r="Y31" i="67"/>
  <c r="N31" i="67"/>
  <c r="M31" i="67"/>
  <c r="L31" i="67"/>
  <c r="K31" i="67"/>
  <c r="AB25" i="67"/>
  <c r="AA25" i="67"/>
  <c r="Z25" i="67"/>
  <c r="Y25" i="67"/>
  <c r="N25" i="67"/>
  <c r="M25" i="67"/>
  <c r="L25" i="67"/>
  <c r="K25" i="67"/>
  <c r="AB23" i="67"/>
  <c r="AA23" i="67"/>
  <c r="Z23" i="67"/>
  <c r="Y23" i="67"/>
  <c r="N23" i="67"/>
  <c r="M23" i="67"/>
  <c r="L23" i="67"/>
  <c r="K23" i="67"/>
  <c r="AB17" i="67"/>
  <c r="AA17" i="67"/>
  <c r="Z17" i="67"/>
  <c r="Y17" i="67"/>
  <c r="U17" i="67"/>
  <c r="T17" i="67"/>
  <c r="S17" i="67"/>
  <c r="R17" i="67"/>
  <c r="N17" i="67"/>
  <c r="M17" i="67"/>
  <c r="L17" i="67"/>
  <c r="K17" i="67"/>
  <c r="AB14" i="67"/>
  <c r="AA14" i="67"/>
  <c r="Z14" i="67"/>
  <c r="Y14" i="67"/>
  <c r="N14" i="67"/>
  <c r="M14" i="67"/>
  <c r="L14" i="67"/>
  <c r="K14" i="67"/>
  <c r="X30" i="64"/>
  <c r="AB30" i="64" s="1"/>
  <c r="Q30" i="64"/>
  <c r="S30" i="64" s="1"/>
  <c r="J30" i="64"/>
  <c r="N30" i="64" s="1"/>
  <c r="G20" i="64"/>
  <c r="F20" i="64"/>
  <c r="E20" i="64"/>
  <c r="D20" i="64"/>
  <c r="AB50" i="66"/>
  <c r="AA50" i="66"/>
  <c r="Z50" i="66"/>
  <c r="Y50" i="66"/>
  <c r="AB45" i="66"/>
  <c r="AA45" i="66"/>
  <c r="Z45" i="66"/>
  <c r="Y45" i="66"/>
  <c r="AB40" i="66"/>
  <c r="AA40" i="66"/>
  <c r="Z40" i="66"/>
  <c r="Y40" i="66"/>
  <c r="N40" i="66"/>
  <c r="M40" i="66"/>
  <c r="L40" i="66"/>
  <c r="K40" i="66"/>
  <c r="N45" i="66"/>
  <c r="M45" i="66"/>
  <c r="L45" i="66"/>
  <c r="K45" i="66"/>
  <c r="N50" i="66"/>
  <c r="M50" i="66"/>
  <c r="L50" i="66"/>
  <c r="K50" i="66"/>
  <c r="AB37" i="66"/>
  <c r="AA37" i="66"/>
  <c r="Z37" i="66"/>
  <c r="Y37" i="66"/>
  <c r="N37" i="66"/>
  <c r="M37" i="66"/>
  <c r="L37" i="66"/>
  <c r="K37" i="66"/>
  <c r="AB22" i="66"/>
  <c r="AA22" i="66"/>
  <c r="Z22" i="66"/>
  <c r="Y22" i="66"/>
  <c r="AB28" i="66"/>
  <c r="AA28" i="66"/>
  <c r="Z28" i="66"/>
  <c r="Y28" i="66"/>
  <c r="N28" i="66"/>
  <c r="M28" i="66"/>
  <c r="L28" i="66"/>
  <c r="K28" i="66"/>
  <c r="D30" i="7"/>
  <c r="E30" i="7"/>
  <c r="G10" i="36"/>
  <c r="E7" i="5"/>
  <c r="F7" i="5" s="1"/>
  <c r="G7" i="5" s="1"/>
  <c r="G46" i="10"/>
  <c r="G42" i="10"/>
  <c r="G41" i="10"/>
  <c r="G40" i="10"/>
  <c r="G18" i="10"/>
  <c r="G11" i="10"/>
  <c r="E34" i="68"/>
  <c r="D34" i="68"/>
  <c r="G33" i="68"/>
  <c r="F33" i="68"/>
  <c r="E33" i="68"/>
  <c r="D33" i="68"/>
  <c r="C34" i="68"/>
  <c r="C33" i="68"/>
  <c r="G29" i="68"/>
  <c r="G27" i="68"/>
  <c r="G26" i="68"/>
  <c r="G25" i="4"/>
  <c r="G22" i="68" s="1"/>
  <c r="F25" i="4"/>
  <c r="F22" i="68" s="1"/>
  <c r="E25" i="4"/>
  <c r="E22" i="68" s="1"/>
  <c r="D25" i="4"/>
  <c r="D22" i="68" s="1"/>
  <c r="C25" i="4"/>
  <c r="C22" i="68"/>
  <c r="G15" i="68"/>
  <c r="K21" i="65"/>
  <c r="K29" i="65" s="1"/>
  <c r="K37" i="65" s="1"/>
  <c r="O12" i="65"/>
  <c r="O11" i="65"/>
  <c r="O15" i="65"/>
  <c r="O13" i="65" s="1"/>
  <c r="C21" i="65"/>
  <c r="C29" i="65" s="1"/>
  <c r="C37" i="65" s="1"/>
  <c r="G11" i="65"/>
  <c r="G12" i="65" s="1"/>
  <c r="E11" i="65"/>
  <c r="D11" i="65"/>
  <c r="G15" i="65"/>
  <c r="X14" i="64"/>
  <c r="Q14" i="64"/>
  <c r="R14" i="64" s="1"/>
  <c r="S14" i="64" s="1"/>
  <c r="T14" i="64" s="1"/>
  <c r="U14" i="64" s="1"/>
  <c r="J14" i="64"/>
  <c r="X13" i="64"/>
  <c r="Y13" i="64" s="1"/>
  <c r="Z13" i="64" s="1"/>
  <c r="AA13" i="64" s="1"/>
  <c r="AB13" i="64" s="1"/>
  <c r="Q13" i="64"/>
  <c r="Q15" i="64" s="1"/>
  <c r="J13" i="64"/>
  <c r="K13" i="64" s="1"/>
  <c r="L13" i="64" s="1"/>
  <c r="X23" i="64"/>
  <c r="U23" i="64"/>
  <c r="K23" i="64"/>
  <c r="G37" i="64"/>
  <c r="G29" i="64"/>
  <c r="G25" i="64"/>
  <c r="G41" i="63"/>
  <c r="F41" i="63"/>
  <c r="E41" i="63"/>
  <c r="D41" i="63"/>
  <c r="D35" i="63"/>
  <c r="D29" i="63"/>
  <c r="C29" i="63"/>
  <c r="G25" i="63"/>
  <c r="G21" i="63"/>
  <c r="G35" i="63" s="1"/>
  <c r="E15" i="63"/>
  <c r="G11" i="63"/>
  <c r="G15" i="62"/>
  <c r="G14" i="62"/>
  <c r="G13" i="62"/>
  <c r="G39" i="61"/>
  <c r="G35" i="61"/>
  <c r="G32" i="61"/>
  <c r="J17" i="59"/>
  <c r="K17" i="59" s="1"/>
  <c r="L17" i="59" s="1"/>
  <c r="M17" i="59" s="1"/>
  <c r="N17" i="59" s="1"/>
  <c r="D11" i="60"/>
  <c r="D25" i="60" s="1"/>
  <c r="C47" i="59"/>
  <c r="E39" i="59"/>
  <c r="D39" i="59"/>
  <c r="E31" i="59"/>
  <c r="D31" i="59"/>
  <c r="E23" i="59"/>
  <c r="D23" i="59"/>
  <c r="G17" i="59"/>
  <c r="G19" i="59" s="1"/>
  <c r="F17" i="59"/>
  <c r="F19" i="59" s="1"/>
  <c r="E17" i="59"/>
  <c r="E19" i="59" s="1"/>
  <c r="D17" i="59"/>
  <c r="D19" i="59" s="1"/>
  <c r="C17" i="59"/>
  <c r="G35" i="4"/>
  <c r="F35" i="4"/>
  <c r="F28" i="68" s="1"/>
  <c r="E35" i="4"/>
  <c r="E28" i="68" s="1"/>
  <c r="D35" i="4"/>
  <c r="D28" i="68" s="1"/>
  <c r="C35" i="4"/>
  <c r="C28" i="68" s="1"/>
  <c r="G45" i="4"/>
  <c r="F45" i="4"/>
  <c r="E45" i="4"/>
  <c r="D45" i="4"/>
  <c r="G44" i="4"/>
  <c r="F44" i="4"/>
  <c r="E44" i="4"/>
  <c r="D44" i="4"/>
  <c r="C45" i="4"/>
  <c r="C44" i="4"/>
  <c r="G43" i="4"/>
  <c r="G34" i="68" s="1"/>
  <c r="F43" i="4"/>
  <c r="F34" i="68" s="1"/>
  <c r="E43" i="4"/>
  <c r="D43" i="4"/>
  <c r="C43" i="4"/>
  <c r="G42" i="4"/>
  <c r="F42" i="4"/>
  <c r="E42" i="4"/>
  <c r="D42" i="4"/>
  <c r="D47" i="4" s="1"/>
  <c r="C42" i="4"/>
  <c r="G14" i="4"/>
  <c r="G13" i="4"/>
  <c r="G36" i="4" s="1"/>
  <c r="F13" i="4"/>
  <c r="F36" i="4" s="1"/>
  <c r="E13" i="4"/>
  <c r="E36" i="4" s="1"/>
  <c r="D13" i="4"/>
  <c r="D36" i="4" s="1"/>
  <c r="G23" i="4"/>
  <c r="G18" i="68" s="1"/>
  <c r="F23" i="4"/>
  <c r="E23" i="4"/>
  <c r="D23" i="4"/>
  <c r="G22" i="4"/>
  <c r="G17" i="68" s="1"/>
  <c r="F22" i="4"/>
  <c r="E22" i="4"/>
  <c r="E17" i="68" s="1"/>
  <c r="D22" i="4"/>
  <c r="G21" i="4"/>
  <c r="G16" i="68" s="1"/>
  <c r="F21" i="4"/>
  <c r="E21" i="4"/>
  <c r="D21" i="4"/>
  <c r="G20" i="4"/>
  <c r="F20" i="4"/>
  <c r="E20" i="4"/>
  <c r="D20" i="4"/>
  <c r="G34" i="4"/>
  <c r="F34" i="4"/>
  <c r="E34" i="4"/>
  <c r="D34" i="4"/>
  <c r="G33" i="4"/>
  <c r="F33" i="4"/>
  <c r="E33" i="4"/>
  <c r="D33" i="4"/>
  <c r="G32" i="4"/>
  <c r="F32" i="4"/>
  <c r="E32" i="4"/>
  <c r="D32" i="4"/>
  <c r="G31" i="4"/>
  <c r="F31" i="4"/>
  <c r="F62" i="10" s="1"/>
  <c r="E31" i="4"/>
  <c r="E62" i="10" s="1"/>
  <c r="D31" i="4"/>
  <c r="D62" i="10" s="1"/>
  <c r="C34" i="4"/>
  <c r="C33" i="4"/>
  <c r="C32" i="4"/>
  <c r="C31" i="4"/>
  <c r="C62" i="10" s="1"/>
  <c r="C23" i="4"/>
  <c r="C22" i="4"/>
  <c r="C21" i="4"/>
  <c r="C20" i="4"/>
  <c r="C13" i="4"/>
  <c r="C36" i="4" s="1"/>
  <c r="C38" i="4" s="1"/>
  <c r="L7" i="4"/>
  <c r="M7" i="4" s="1"/>
  <c r="N7" i="4" s="1"/>
  <c r="L7" i="2"/>
  <c r="M7" i="2" s="1"/>
  <c r="N7" i="2" s="1"/>
  <c r="G133" i="27"/>
  <c r="G120" i="27"/>
  <c r="G95" i="27"/>
  <c r="G102" i="27" s="1"/>
  <c r="G104" i="27" s="1"/>
  <c r="L7" i="3"/>
  <c r="M7" i="3" s="1"/>
  <c r="N7" i="3" s="1"/>
  <c r="K7" i="3"/>
  <c r="G70" i="3"/>
  <c r="G69" i="3"/>
  <c r="G72" i="3" s="1"/>
  <c r="G61" i="3"/>
  <c r="G60" i="3"/>
  <c r="G59" i="3"/>
  <c r="G58" i="3"/>
  <c r="G57" i="3"/>
  <c r="G56" i="3"/>
  <c r="G50" i="3"/>
  <c r="G30" i="10" s="1"/>
  <c r="G49" i="3"/>
  <c r="G29" i="10" s="1"/>
  <c r="G48" i="3"/>
  <c r="G28" i="10" s="1"/>
  <c r="G47" i="3"/>
  <c r="G27" i="10" s="1"/>
  <c r="G46" i="3"/>
  <c r="G26" i="10" s="1"/>
  <c r="G45" i="3"/>
  <c r="G25" i="10" s="1"/>
  <c r="G44" i="3"/>
  <c r="G15" i="63" s="1"/>
  <c r="X11" i="63" s="1"/>
  <c r="G34" i="3"/>
  <c r="G33" i="3"/>
  <c r="G45" i="10" s="1"/>
  <c r="G32" i="3"/>
  <c r="G44" i="10" s="1"/>
  <c r="G31" i="3"/>
  <c r="G43" i="10" s="1"/>
  <c r="G30" i="3"/>
  <c r="G29" i="3"/>
  <c r="G28" i="3"/>
  <c r="G27" i="3"/>
  <c r="G12" i="62" s="1"/>
  <c r="G26" i="3"/>
  <c r="G20" i="3"/>
  <c r="G19" i="3"/>
  <c r="G18" i="3"/>
  <c r="G17" i="3"/>
  <c r="G16" i="3"/>
  <c r="G14" i="10" s="1"/>
  <c r="G15" i="3"/>
  <c r="G13" i="10" s="1"/>
  <c r="G14" i="3"/>
  <c r="G12" i="10" s="1"/>
  <c r="G13" i="3"/>
  <c r="E7" i="3"/>
  <c r="F7" i="3" s="1"/>
  <c r="G7" i="3" s="1"/>
  <c r="D7" i="3"/>
  <c r="G74" i="27"/>
  <c r="G65" i="27"/>
  <c r="G49" i="27"/>
  <c r="G39" i="27"/>
  <c r="C19" i="59"/>
  <c r="G7" i="2"/>
  <c r="G45" i="2"/>
  <c r="G40" i="2"/>
  <c r="G19" i="17" s="1"/>
  <c r="G36" i="2"/>
  <c r="G17" i="17" s="1"/>
  <c r="G32" i="2"/>
  <c r="G26" i="2"/>
  <c r="G28" i="2" s="1"/>
  <c r="G18" i="2"/>
  <c r="G20" i="2" s="1"/>
  <c r="G12" i="2"/>
  <c r="G11" i="60" s="1"/>
  <c r="G29" i="60" s="1"/>
  <c r="G11" i="2"/>
  <c r="G20" i="27"/>
  <c r="M34" i="74"/>
  <c r="L34" i="74"/>
  <c r="K34" i="74"/>
  <c r="G14" i="36"/>
  <c r="L19" i="74"/>
  <c r="C35" i="36"/>
  <c r="N86" i="73"/>
  <c r="M86" i="73"/>
  <c r="L86" i="73"/>
  <c r="K86" i="73"/>
  <c r="J86" i="73"/>
  <c r="D20" i="23"/>
  <c r="E20" i="23" s="1"/>
  <c r="F20" i="23" s="1"/>
  <c r="G20" i="23" s="1"/>
  <c r="N32" i="73"/>
  <c r="M32" i="73"/>
  <c r="L32" i="73"/>
  <c r="K32" i="73"/>
  <c r="J32" i="73"/>
  <c r="K7" i="73"/>
  <c r="L7" i="73" s="1"/>
  <c r="M7" i="73" s="1"/>
  <c r="N7" i="73" s="1"/>
  <c r="D7" i="73"/>
  <c r="E7" i="73" s="1"/>
  <c r="F7" i="73" s="1"/>
  <c r="G7" i="73" s="1"/>
  <c r="J18" i="22"/>
  <c r="J17" i="22"/>
  <c r="J16" i="22"/>
  <c r="J15" i="22"/>
  <c r="J14" i="22"/>
  <c r="J13" i="22"/>
  <c r="H15" i="22"/>
  <c r="H14" i="22"/>
  <c r="G18" i="22"/>
  <c r="D18" i="13" s="1"/>
  <c r="G17" i="22"/>
  <c r="D17" i="13" s="1"/>
  <c r="G16" i="22"/>
  <c r="D16" i="13" s="1"/>
  <c r="G15" i="22"/>
  <c r="D15" i="13" s="1"/>
  <c r="G14" i="22"/>
  <c r="D14" i="13" s="1"/>
  <c r="G13" i="22"/>
  <c r="D13" i="13" s="1"/>
  <c r="N45" i="4"/>
  <c r="M45" i="4"/>
  <c r="L45" i="4"/>
  <c r="K45" i="4"/>
  <c r="J45" i="4"/>
  <c r="AB26" i="68"/>
  <c r="AA26" i="68"/>
  <c r="Z26" i="68"/>
  <c r="Y26" i="68"/>
  <c r="N26" i="68"/>
  <c r="M26" i="68"/>
  <c r="L26" i="68"/>
  <c r="K26" i="68"/>
  <c r="J36" i="4"/>
  <c r="Y7" i="68"/>
  <c r="Z7" i="68" s="1"/>
  <c r="AA7" i="68" s="1"/>
  <c r="AB7" i="68" s="1"/>
  <c r="R7" i="68"/>
  <c r="S7" i="68" s="1"/>
  <c r="T7" i="68" s="1"/>
  <c r="U7" i="68" s="1"/>
  <c r="K7" i="68"/>
  <c r="L7" i="68" s="1"/>
  <c r="M7" i="68" s="1"/>
  <c r="N7" i="68" s="1"/>
  <c r="D7" i="68"/>
  <c r="E7" i="68" s="1"/>
  <c r="F7" i="68" s="1"/>
  <c r="G7" i="68" s="1"/>
  <c r="R7" i="67"/>
  <c r="S7" i="67" s="1"/>
  <c r="T7" i="67" s="1"/>
  <c r="U7" i="67" s="1"/>
  <c r="Y7" i="67"/>
  <c r="Z7" i="67" s="1"/>
  <c r="AA7" i="67" s="1"/>
  <c r="AB7" i="67" s="1"/>
  <c r="K7" i="67"/>
  <c r="L7" i="67" s="1"/>
  <c r="M7" i="67" s="1"/>
  <c r="N7" i="67" s="1"/>
  <c r="D7" i="67"/>
  <c r="E7" i="67" s="1"/>
  <c r="F7" i="67" s="1"/>
  <c r="G7" i="67" s="1"/>
  <c r="X51" i="60"/>
  <c r="Q51" i="60"/>
  <c r="J51" i="60"/>
  <c r="F51" i="60"/>
  <c r="E51" i="60"/>
  <c r="D51" i="60"/>
  <c r="C51" i="60"/>
  <c r="Y7" i="66"/>
  <c r="Z7" i="66" s="1"/>
  <c r="AA7" i="66" s="1"/>
  <c r="AB7" i="66" s="1"/>
  <c r="R7" i="66"/>
  <c r="S7" i="66" s="1"/>
  <c r="T7" i="66" s="1"/>
  <c r="U7" i="66" s="1"/>
  <c r="K7" i="66"/>
  <c r="L7" i="66" s="1"/>
  <c r="M7" i="66" s="1"/>
  <c r="N7" i="66" s="1"/>
  <c r="D7" i="66"/>
  <c r="E7" i="66" s="1"/>
  <c r="F7" i="66" s="1"/>
  <c r="G7" i="66" s="1"/>
  <c r="L7" i="65"/>
  <c r="M7" i="65" s="1"/>
  <c r="N7" i="65" s="1"/>
  <c r="O7" i="65" s="1"/>
  <c r="N11" i="4"/>
  <c r="M11" i="4"/>
  <c r="L11" i="4"/>
  <c r="K11" i="4"/>
  <c r="J11" i="4"/>
  <c r="AB22" i="64"/>
  <c r="AA22" i="64"/>
  <c r="Z22" i="64"/>
  <c r="U22" i="64"/>
  <c r="T22" i="64"/>
  <c r="S22" i="64"/>
  <c r="N22" i="64"/>
  <c r="M22" i="64"/>
  <c r="L22" i="64"/>
  <c r="K22" i="64"/>
  <c r="R22" i="64"/>
  <c r="Y22" i="64"/>
  <c r="AB21" i="64"/>
  <c r="AA21" i="64"/>
  <c r="Z21" i="64"/>
  <c r="Y21" i="64"/>
  <c r="U21" i="64"/>
  <c r="T21" i="64"/>
  <c r="S21" i="64"/>
  <c r="R21" i="64"/>
  <c r="N21" i="64"/>
  <c r="M21" i="64"/>
  <c r="L21" i="64"/>
  <c r="K21" i="64"/>
  <c r="Y14" i="64"/>
  <c r="Z14" i="64" s="1"/>
  <c r="AA14" i="64" s="1"/>
  <c r="AB14" i="64" s="1"/>
  <c r="N48" i="2"/>
  <c r="M48" i="2"/>
  <c r="L48" i="2"/>
  <c r="K48" i="2"/>
  <c r="J48" i="2"/>
  <c r="N44" i="2"/>
  <c r="M44" i="2"/>
  <c r="L44" i="2"/>
  <c r="K44" i="2"/>
  <c r="J44" i="2"/>
  <c r="K39" i="65"/>
  <c r="K31" i="65"/>
  <c r="K23" i="65"/>
  <c r="N23" i="65" s="1"/>
  <c r="L17" i="65"/>
  <c r="M17" i="65" s="1"/>
  <c r="N17" i="65" s="1"/>
  <c r="O17" i="65" s="1"/>
  <c r="D17" i="65"/>
  <c r="E17" i="65" s="1"/>
  <c r="F17" i="65" s="1"/>
  <c r="G17" i="65" s="1"/>
  <c r="D7" i="65"/>
  <c r="E7" i="65" s="1"/>
  <c r="F7" i="65" s="1"/>
  <c r="G7" i="65" s="1"/>
  <c r="Y37" i="64"/>
  <c r="X37" i="64"/>
  <c r="Q37" i="64"/>
  <c r="M37" i="64"/>
  <c r="L37" i="64"/>
  <c r="K37" i="64"/>
  <c r="J37" i="64"/>
  <c r="AB35" i="64"/>
  <c r="AB37" i="64" s="1"/>
  <c r="AA35" i="64"/>
  <c r="AA37" i="64" s="1"/>
  <c r="Z35" i="64"/>
  <c r="Z37" i="64" s="1"/>
  <c r="Y35" i="64"/>
  <c r="U35" i="64"/>
  <c r="U37" i="64" s="1"/>
  <c r="T35" i="64"/>
  <c r="T37" i="64" s="1"/>
  <c r="S35" i="64"/>
  <c r="S37" i="64" s="1"/>
  <c r="R35" i="64"/>
  <c r="R37" i="64" s="1"/>
  <c r="N35" i="64"/>
  <c r="N37" i="64" s="1"/>
  <c r="M35" i="64"/>
  <c r="L35" i="64"/>
  <c r="K35" i="64"/>
  <c r="G15" i="64"/>
  <c r="F15" i="64"/>
  <c r="E15" i="64"/>
  <c r="F25" i="64"/>
  <c r="E25" i="64"/>
  <c r="D25" i="64"/>
  <c r="C25" i="64"/>
  <c r="D15" i="64"/>
  <c r="C15" i="64"/>
  <c r="Y7" i="64"/>
  <c r="Z7" i="64" s="1"/>
  <c r="AA7" i="64" s="1"/>
  <c r="AB7" i="64" s="1"/>
  <c r="R7" i="64"/>
  <c r="S7" i="64" s="1"/>
  <c r="T7" i="64" s="1"/>
  <c r="U7" i="64" s="1"/>
  <c r="K7" i="64"/>
  <c r="L7" i="64" s="1"/>
  <c r="M7" i="64" s="1"/>
  <c r="N7" i="64" s="1"/>
  <c r="D7" i="64"/>
  <c r="E7" i="64" s="1"/>
  <c r="F7" i="64" s="1"/>
  <c r="G7" i="64" s="1"/>
  <c r="AB46" i="63"/>
  <c r="AA46" i="63"/>
  <c r="Z46" i="63"/>
  <c r="Y46" i="63"/>
  <c r="X46" i="63"/>
  <c r="N46" i="63"/>
  <c r="M46" i="63"/>
  <c r="L46" i="63"/>
  <c r="K46" i="63"/>
  <c r="C41" i="63"/>
  <c r="C40" i="63"/>
  <c r="C39" i="63"/>
  <c r="AB32" i="63"/>
  <c r="AA32" i="63"/>
  <c r="Z32" i="63"/>
  <c r="Y32" i="63"/>
  <c r="X32" i="63"/>
  <c r="N32" i="63"/>
  <c r="M32" i="63"/>
  <c r="L32" i="63"/>
  <c r="K32" i="63"/>
  <c r="J32" i="63"/>
  <c r="AB18" i="63"/>
  <c r="AA18" i="63"/>
  <c r="Z18" i="63"/>
  <c r="Y18" i="63"/>
  <c r="X18" i="63"/>
  <c r="N18" i="63"/>
  <c r="M18" i="63"/>
  <c r="L18" i="63"/>
  <c r="K18" i="63"/>
  <c r="J18" i="63"/>
  <c r="F25" i="63"/>
  <c r="E25" i="63"/>
  <c r="D25" i="63"/>
  <c r="F11" i="63"/>
  <c r="F39" i="63" s="1"/>
  <c r="E11" i="63"/>
  <c r="E39" i="63" s="1"/>
  <c r="Y7" i="63"/>
  <c r="Z7" i="63" s="1"/>
  <c r="AA7" i="63" s="1"/>
  <c r="AB7" i="63" s="1"/>
  <c r="R7" i="63"/>
  <c r="S7" i="63" s="1"/>
  <c r="T7" i="63" s="1"/>
  <c r="U7" i="63" s="1"/>
  <c r="K7" i="63"/>
  <c r="L7" i="63" s="1"/>
  <c r="M7" i="63" s="1"/>
  <c r="N7" i="63" s="1"/>
  <c r="D7" i="63"/>
  <c r="E7" i="63" s="1"/>
  <c r="F7" i="63" s="1"/>
  <c r="G7" i="63" s="1"/>
  <c r="F15" i="62"/>
  <c r="E15" i="62"/>
  <c r="D15" i="62"/>
  <c r="C15" i="62"/>
  <c r="F14" i="62"/>
  <c r="E14" i="62"/>
  <c r="D14" i="62"/>
  <c r="C14" i="62"/>
  <c r="F13" i="62"/>
  <c r="E13" i="62"/>
  <c r="D13" i="62"/>
  <c r="C13" i="62"/>
  <c r="D7" i="62"/>
  <c r="E7" i="62" s="1"/>
  <c r="F7" i="62" s="1"/>
  <c r="G7" i="62" s="1"/>
  <c r="D17" i="62"/>
  <c r="E17" i="62" s="1"/>
  <c r="F17" i="62" s="1"/>
  <c r="G17" i="62" s="1"/>
  <c r="J37" i="61"/>
  <c r="N37" i="61" s="1"/>
  <c r="R37" i="61"/>
  <c r="S37" i="61"/>
  <c r="T37" i="61"/>
  <c r="U37" i="61"/>
  <c r="X37" i="61"/>
  <c r="AB37" i="61" s="1"/>
  <c r="Y37" i="61"/>
  <c r="J41" i="61"/>
  <c r="K41" i="61" s="1"/>
  <c r="R41" i="61"/>
  <c r="S41" i="61"/>
  <c r="T41" i="61"/>
  <c r="U41" i="61"/>
  <c r="X41" i="61"/>
  <c r="Z41" i="61" s="1"/>
  <c r="Y41" i="61"/>
  <c r="AB53" i="59"/>
  <c r="AA53" i="59"/>
  <c r="Z53" i="59"/>
  <c r="AB49" i="59"/>
  <c r="AA49" i="59"/>
  <c r="Z49" i="59"/>
  <c r="AB45" i="59"/>
  <c r="AA45" i="59"/>
  <c r="Z45" i="59"/>
  <c r="AB41" i="59"/>
  <c r="AA41" i="59"/>
  <c r="Z41" i="59"/>
  <c r="AB37" i="59"/>
  <c r="AA37" i="59"/>
  <c r="Z37" i="59"/>
  <c r="AB33" i="59"/>
  <c r="AA33" i="59"/>
  <c r="Z33" i="59"/>
  <c r="AB29" i="59"/>
  <c r="AA29" i="59"/>
  <c r="Z29" i="59"/>
  <c r="Y53" i="59"/>
  <c r="Y49" i="59"/>
  <c r="Y45" i="59"/>
  <c r="Y41" i="59"/>
  <c r="Y37" i="59"/>
  <c r="Y33" i="59"/>
  <c r="Y29" i="59"/>
  <c r="U53" i="59"/>
  <c r="T53" i="59"/>
  <c r="S53" i="59"/>
  <c r="U49" i="59"/>
  <c r="T49" i="59"/>
  <c r="S49" i="59"/>
  <c r="U45" i="59"/>
  <c r="T45" i="59"/>
  <c r="S45" i="59"/>
  <c r="U41" i="59"/>
  <c r="T41" i="59"/>
  <c r="S41" i="59"/>
  <c r="U37" i="59"/>
  <c r="T37" i="59"/>
  <c r="S37" i="59"/>
  <c r="U33" i="59"/>
  <c r="T33" i="59"/>
  <c r="S33" i="59"/>
  <c r="U29" i="59"/>
  <c r="T29" i="59"/>
  <c r="S29" i="59"/>
  <c r="R29" i="59"/>
  <c r="R33" i="59"/>
  <c r="R37" i="59"/>
  <c r="R41" i="59"/>
  <c r="R45" i="59"/>
  <c r="R49" i="59"/>
  <c r="R53" i="59"/>
  <c r="N53" i="59"/>
  <c r="M53" i="59"/>
  <c r="L53" i="59"/>
  <c r="N49" i="59"/>
  <c r="M49" i="59"/>
  <c r="L49" i="59"/>
  <c r="N45" i="59"/>
  <c r="M45" i="59"/>
  <c r="L45" i="59"/>
  <c r="N41" i="59"/>
  <c r="M41" i="59"/>
  <c r="L41" i="59"/>
  <c r="N37" i="59"/>
  <c r="M37" i="59"/>
  <c r="L37" i="59"/>
  <c r="N33" i="59"/>
  <c r="M33" i="59"/>
  <c r="L33" i="59"/>
  <c r="N29" i="59"/>
  <c r="M29" i="59"/>
  <c r="L29" i="59"/>
  <c r="K53" i="59"/>
  <c r="K49" i="59"/>
  <c r="K45" i="59"/>
  <c r="K41" i="59"/>
  <c r="K37" i="59"/>
  <c r="K33" i="59"/>
  <c r="K29" i="59"/>
  <c r="F39" i="61"/>
  <c r="E39" i="61"/>
  <c r="D39" i="61"/>
  <c r="C39" i="61"/>
  <c r="F35" i="61"/>
  <c r="E35" i="61"/>
  <c r="D35" i="61"/>
  <c r="C35" i="61"/>
  <c r="F32" i="61"/>
  <c r="E32" i="61"/>
  <c r="D32" i="61"/>
  <c r="C32" i="61"/>
  <c r="Y7" i="61"/>
  <c r="Z7" i="61" s="1"/>
  <c r="AA7" i="61" s="1"/>
  <c r="AB7" i="61" s="1"/>
  <c r="R7" i="61"/>
  <c r="S7" i="61" s="1"/>
  <c r="T7" i="61" s="1"/>
  <c r="U7" i="61" s="1"/>
  <c r="K7" i="61"/>
  <c r="L7" i="61" s="1"/>
  <c r="M7" i="61" s="1"/>
  <c r="N7" i="61" s="1"/>
  <c r="D7" i="61"/>
  <c r="E7" i="61" s="1"/>
  <c r="F7" i="61" s="1"/>
  <c r="G7" i="61" s="1"/>
  <c r="J12" i="2"/>
  <c r="X11" i="60"/>
  <c r="X43" i="60" s="1"/>
  <c r="AB49" i="60"/>
  <c r="AA49" i="60"/>
  <c r="Z49" i="60"/>
  <c r="AB45" i="60"/>
  <c r="AA45" i="60"/>
  <c r="Z45" i="60"/>
  <c r="AB41" i="60"/>
  <c r="AA41" i="60"/>
  <c r="Z41" i="60"/>
  <c r="AB37" i="60"/>
  <c r="AA37" i="60"/>
  <c r="Z37" i="60"/>
  <c r="AB33" i="60"/>
  <c r="AA33" i="60"/>
  <c r="Z33" i="60"/>
  <c r="AB27" i="60"/>
  <c r="AA27" i="60"/>
  <c r="Z27" i="60"/>
  <c r="AB23" i="60"/>
  <c r="AA23" i="60"/>
  <c r="Z23" i="60"/>
  <c r="AB17" i="60"/>
  <c r="AA17" i="60"/>
  <c r="Z17" i="60"/>
  <c r="AB13" i="60"/>
  <c r="AA13" i="60"/>
  <c r="Z13" i="60"/>
  <c r="Y49" i="60"/>
  <c r="Y45" i="60"/>
  <c r="Y41" i="60"/>
  <c r="Y37" i="60"/>
  <c r="Y33" i="60"/>
  <c r="Y27" i="60"/>
  <c r="Y23" i="60"/>
  <c r="Y17" i="60"/>
  <c r="Y13" i="60"/>
  <c r="Q11" i="60"/>
  <c r="U11" i="60" s="1"/>
  <c r="U49" i="60"/>
  <c r="T49" i="60"/>
  <c r="S49" i="60"/>
  <c r="R49" i="60"/>
  <c r="J11" i="60"/>
  <c r="J47" i="60" s="1"/>
  <c r="Q47" i="60"/>
  <c r="U45" i="60"/>
  <c r="T45" i="60"/>
  <c r="S45" i="60"/>
  <c r="U41" i="60"/>
  <c r="T41" i="60"/>
  <c r="S41" i="60"/>
  <c r="U37" i="60"/>
  <c r="T37" i="60"/>
  <c r="S37" i="60"/>
  <c r="U33" i="60"/>
  <c r="T33" i="60"/>
  <c r="S33" i="60"/>
  <c r="U27" i="60"/>
  <c r="T27" i="60"/>
  <c r="S27" i="60"/>
  <c r="U23" i="60"/>
  <c r="T23" i="60"/>
  <c r="S23" i="60"/>
  <c r="U17" i="60"/>
  <c r="T17" i="60"/>
  <c r="S17" i="60"/>
  <c r="U13" i="60"/>
  <c r="T13" i="60"/>
  <c r="S13" i="60"/>
  <c r="R45" i="60"/>
  <c r="R41" i="60"/>
  <c r="R37" i="60"/>
  <c r="R33" i="60"/>
  <c r="R27" i="60"/>
  <c r="R23" i="60"/>
  <c r="R17" i="60"/>
  <c r="R13" i="60"/>
  <c r="N49" i="60"/>
  <c r="M49" i="60"/>
  <c r="L49" i="60"/>
  <c r="N45" i="60"/>
  <c r="M45" i="60"/>
  <c r="L45" i="60"/>
  <c r="N41" i="60"/>
  <c r="M41" i="60"/>
  <c r="L41" i="60"/>
  <c r="N37" i="60"/>
  <c r="M37" i="60"/>
  <c r="L37" i="60"/>
  <c r="N33" i="60"/>
  <c r="M33" i="60"/>
  <c r="L33" i="60"/>
  <c r="N27" i="60"/>
  <c r="M27" i="60"/>
  <c r="L27" i="60"/>
  <c r="N23" i="60"/>
  <c r="M23" i="60"/>
  <c r="L23" i="60"/>
  <c r="N17" i="60"/>
  <c r="M17" i="60"/>
  <c r="L17" i="60"/>
  <c r="N13" i="60"/>
  <c r="M13" i="60"/>
  <c r="L13" i="60"/>
  <c r="K49" i="60"/>
  <c r="K45" i="60"/>
  <c r="K41" i="60"/>
  <c r="K37" i="60"/>
  <c r="K33" i="60"/>
  <c r="K27" i="60"/>
  <c r="K23" i="60"/>
  <c r="K17" i="60"/>
  <c r="K13" i="60"/>
  <c r="Y5" i="60"/>
  <c r="R5" i="60"/>
  <c r="K5" i="60"/>
  <c r="Y7" i="60"/>
  <c r="Z7" i="60" s="1"/>
  <c r="AA7" i="60" s="1"/>
  <c r="AB7" i="60" s="1"/>
  <c r="R7" i="60"/>
  <c r="S7" i="60" s="1"/>
  <c r="T7" i="60" s="1"/>
  <c r="U7" i="60" s="1"/>
  <c r="K7" i="60"/>
  <c r="L7" i="60" s="1"/>
  <c r="M7" i="60" s="1"/>
  <c r="N7" i="60" s="1"/>
  <c r="D7" i="60"/>
  <c r="E7" i="60" s="1"/>
  <c r="F7" i="60" s="1"/>
  <c r="G7" i="60" s="1"/>
  <c r="AB25" i="59"/>
  <c r="AA25" i="59"/>
  <c r="Z25" i="59"/>
  <c r="Y25" i="59"/>
  <c r="U25" i="59"/>
  <c r="T25" i="59"/>
  <c r="S25" i="59"/>
  <c r="R25" i="59"/>
  <c r="N25" i="59"/>
  <c r="M25" i="59"/>
  <c r="L25" i="59"/>
  <c r="K25" i="59"/>
  <c r="J16" i="59"/>
  <c r="Q16" i="59" s="1"/>
  <c r="X16" i="59" s="1"/>
  <c r="Y7" i="59"/>
  <c r="Z7" i="59" s="1"/>
  <c r="AA7" i="59" s="1"/>
  <c r="AB7" i="59" s="1"/>
  <c r="R7" i="59"/>
  <c r="S7" i="59" s="1"/>
  <c r="T7" i="59" s="1"/>
  <c r="U7" i="59" s="1"/>
  <c r="K7" i="59"/>
  <c r="L7" i="59" s="1"/>
  <c r="M7" i="59" s="1"/>
  <c r="N7" i="59" s="1"/>
  <c r="D7" i="59"/>
  <c r="E7" i="59" s="1"/>
  <c r="F7" i="59" s="1"/>
  <c r="G7" i="59" s="1"/>
  <c r="F15" i="68"/>
  <c r="F14" i="4"/>
  <c r="E14" i="4"/>
  <c r="D14" i="4"/>
  <c r="C14" i="4"/>
  <c r="F133" i="27"/>
  <c r="E133" i="27"/>
  <c r="D133" i="27"/>
  <c r="C133" i="27"/>
  <c r="F120" i="27"/>
  <c r="E120" i="27"/>
  <c r="D120" i="27"/>
  <c r="C120" i="27"/>
  <c r="F12" i="4"/>
  <c r="E12" i="4"/>
  <c r="D12" i="4"/>
  <c r="C12" i="4"/>
  <c r="F70" i="3"/>
  <c r="N15" i="65" s="1"/>
  <c r="E70" i="3"/>
  <c r="M15" i="65" s="1"/>
  <c r="D70" i="3"/>
  <c r="L15" i="65" s="1"/>
  <c r="C70" i="3"/>
  <c r="F69" i="3"/>
  <c r="F15" i="65" s="1"/>
  <c r="E69" i="3"/>
  <c r="E15" i="65" s="1"/>
  <c r="F11" i="65" s="1"/>
  <c r="D69" i="3"/>
  <c r="D15" i="65" s="1"/>
  <c r="C69" i="3"/>
  <c r="C15" i="65" s="1"/>
  <c r="F61" i="3"/>
  <c r="E61" i="3"/>
  <c r="D61" i="3"/>
  <c r="C61" i="3"/>
  <c r="F60" i="3"/>
  <c r="E60" i="3"/>
  <c r="D60" i="3"/>
  <c r="C60" i="3"/>
  <c r="F59" i="3"/>
  <c r="E59" i="3"/>
  <c r="D59" i="3"/>
  <c r="C59" i="3"/>
  <c r="F58" i="3"/>
  <c r="E58" i="3"/>
  <c r="D58" i="3"/>
  <c r="C58" i="3"/>
  <c r="F57" i="3"/>
  <c r="E57" i="3"/>
  <c r="D57" i="3"/>
  <c r="C57" i="3"/>
  <c r="F56" i="3"/>
  <c r="F29" i="63" s="1"/>
  <c r="E56" i="3"/>
  <c r="E39" i="36" s="1"/>
  <c r="D56" i="3"/>
  <c r="D39" i="36" s="1"/>
  <c r="C56" i="3"/>
  <c r="F50" i="3"/>
  <c r="E50" i="3"/>
  <c r="E30" i="10" s="1"/>
  <c r="D50" i="3"/>
  <c r="D30" i="10" s="1"/>
  <c r="C50" i="3"/>
  <c r="F49" i="3"/>
  <c r="E49" i="3"/>
  <c r="D49" i="3"/>
  <c r="C49" i="3"/>
  <c r="C29" i="64" s="1"/>
  <c r="F48" i="3"/>
  <c r="E48" i="3"/>
  <c r="D48" i="3"/>
  <c r="D28" i="10" s="1"/>
  <c r="C48" i="3"/>
  <c r="F47" i="3"/>
  <c r="E47" i="3"/>
  <c r="E27" i="10" s="1"/>
  <c r="D47" i="3"/>
  <c r="D27" i="10" s="1"/>
  <c r="C47" i="3"/>
  <c r="C27" i="10" s="1"/>
  <c r="F46" i="3"/>
  <c r="F26" i="10" s="1"/>
  <c r="E46" i="3"/>
  <c r="E26" i="10" s="1"/>
  <c r="D46" i="3"/>
  <c r="D26" i="10" s="1"/>
  <c r="C46" i="3"/>
  <c r="C26" i="10" s="1"/>
  <c r="F45" i="3"/>
  <c r="E45" i="3"/>
  <c r="E25" i="10" s="1"/>
  <c r="D45" i="3"/>
  <c r="D25" i="10" s="1"/>
  <c r="C45" i="3"/>
  <c r="F44" i="3"/>
  <c r="E44" i="3"/>
  <c r="D44" i="3"/>
  <c r="D15" i="63" s="1"/>
  <c r="C44" i="3"/>
  <c r="C15" i="63" s="1"/>
  <c r="F34" i="3"/>
  <c r="E34" i="3"/>
  <c r="D34" i="3"/>
  <c r="C34" i="3"/>
  <c r="F33" i="3"/>
  <c r="E33" i="3"/>
  <c r="E45" i="10" s="1"/>
  <c r="D33" i="3"/>
  <c r="D45" i="10" s="1"/>
  <c r="C33" i="3"/>
  <c r="C45" i="10" s="1"/>
  <c r="F32" i="3"/>
  <c r="F44" i="10" s="1"/>
  <c r="E32" i="3"/>
  <c r="E44" i="10" s="1"/>
  <c r="D32" i="3"/>
  <c r="D44" i="10" s="1"/>
  <c r="C32" i="3"/>
  <c r="F31" i="3"/>
  <c r="F43" i="10" s="1"/>
  <c r="E31" i="3"/>
  <c r="E43" i="10" s="1"/>
  <c r="D31" i="3"/>
  <c r="C31" i="3"/>
  <c r="C22" i="67" s="1" a="1"/>
  <c r="C22" i="67" s="1"/>
  <c r="F30" i="3"/>
  <c r="E30" i="3"/>
  <c r="E42" i="10" s="1"/>
  <c r="D30" i="3"/>
  <c r="D42" i="10" s="1"/>
  <c r="C30" i="3"/>
  <c r="F29" i="3"/>
  <c r="E29" i="3"/>
  <c r="D29" i="3"/>
  <c r="C29" i="3"/>
  <c r="F28" i="3"/>
  <c r="E28" i="3"/>
  <c r="E40" i="10" s="1"/>
  <c r="D28" i="3"/>
  <c r="D40" i="10" s="1"/>
  <c r="C28" i="3"/>
  <c r="C40" i="10" s="1"/>
  <c r="F27" i="3"/>
  <c r="F39" i="10" s="1"/>
  <c r="E27" i="3"/>
  <c r="E39" i="10" s="1"/>
  <c r="D27" i="3"/>
  <c r="C27" i="3"/>
  <c r="F26" i="3"/>
  <c r="G11" i="62" s="1"/>
  <c r="E26" i="3"/>
  <c r="E38" i="10" s="1"/>
  <c r="D26" i="3"/>
  <c r="E11" i="62" s="1"/>
  <c r="C26" i="3"/>
  <c r="F20" i="3"/>
  <c r="E20" i="3"/>
  <c r="E18" i="10" s="1"/>
  <c r="D20" i="3"/>
  <c r="D18" i="10" s="1"/>
  <c r="C20" i="3"/>
  <c r="C18" i="10" s="1"/>
  <c r="F19" i="3"/>
  <c r="F17" i="10" s="1"/>
  <c r="E19" i="3"/>
  <c r="E17" i="10" s="1"/>
  <c r="D19" i="3"/>
  <c r="D17" i="10" s="1"/>
  <c r="C19" i="3"/>
  <c r="F18" i="3"/>
  <c r="E18" i="3"/>
  <c r="E16" i="10" s="1"/>
  <c r="D18" i="3"/>
  <c r="D16" i="10" s="1"/>
  <c r="C18" i="3"/>
  <c r="C16" i="10" s="1"/>
  <c r="F17" i="3"/>
  <c r="E17" i="3"/>
  <c r="E15" i="10" s="1"/>
  <c r="D17" i="3"/>
  <c r="D15" i="10" s="1"/>
  <c r="C17" i="3"/>
  <c r="C15" i="10" s="1"/>
  <c r="F16" i="3"/>
  <c r="F14" i="10" s="1"/>
  <c r="E16" i="3"/>
  <c r="E14" i="10" s="1"/>
  <c r="D16" i="3"/>
  <c r="D14" i="10" s="1"/>
  <c r="C16" i="3"/>
  <c r="C14" i="10" s="1"/>
  <c r="F15" i="3"/>
  <c r="F13" i="10" s="1"/>
  <c r="E15" i="3"/>
  <c r="E13" i="10" s="1"/>
  <c r="D15" i="3"/>
  <c r="D13" i="10" s="1"/>
  <c r="C15" i="3"/>
  <c r="C13" i="10" s="1"/>
  <c r="F14" i="3"/>
  <c r="E14" i="3"/>
  <c r="D14" i="3"/>
  <c r="C14" i="3"/>
  <c r="F13" i="3"/>
  <c r="E13" i="3"/>
  <c r="E11" i="10" s="1"/>
  <c r="D13" i="3"/>
  <c r="D11" i="10" s="1"/>
  <c r="C13" i="3"/>
  <c r="C11" i="10" s="1"/>
  <c r="F74" i="27"/>
  <c r="E74" i="27"/>
  <c r="D74" i="27"/>
  <c r="C74" i="27"/>
  <c r="F65" i="27"/>
  <c r="D65" i="27"/>
  <c r="C65" i="27"/>
  <c r="F49" i="27"/>
  <c r="E49" i="27"/>
  <c r="D49" i="27"/>
  <c r="C49" i="27"/>
  <c r="F39" i="27"/>
  <c r="E39" i="27"/>
  <c r="D39" i="27"/>
  <c r="C39" i="27"/>
  <c r="F20" i="27"/>
  <c r="E20" i="27"/>
  <c r="D20" i="27"/>
  <c r="C20" i="27"/>
  <c r="D12" i="23"/>
  <c r="E12" i="23" s="1"/>
  <c r="F12" i="23" s="1"/>
  <c r="G12" i="23" s="1"/>
  <c r="H12" i="23" s="1"/>
  <c r="B13" i="22"/>
  <c r="B14" i="22"/>
  <c r="B15" i="22"/>
  <c r="B16" i="22"/>
  <c r="B17" i="22"/>
  <c r="I15" i="9"/>
  <c r="G15" i="9"/>
  <c r="H10" i="23"/>
  <c r="H18" i="22" s="1"/>
  <c r="H9" i="23"/>
  <c r="H17" i="22" s="1"/>
  <c r="H8" i="23"/>
  <c r="H16" i="22" s="1"/>
  <c r="H7" i="23"/>
  <c r="H5" i="23"/>
  <c r="H13" i="22" s="1"/>
  <c r="H6" i="23"/>
  <c r="K7" i="4"/>
  <c r="K7" i="2"/>
  <c r="C9" i="36"/>
  <c r="D9" i="36"/>
  <c r="E9" i="36"/>
  <c r="G30" i="36"/>
  <c r="F9" i="36"/>
  <c r="D7" i="36"/>
  <c r="E7" i="36" s="1"/>
  <c r="F7" i="36" s="1"/>
  <c r="G7" i="36" s="1"/>
  <c r="C37" i="36"/>
  <c r="F14" i="36"/>
  <c r="F30" i="36"/>
  <c r="B4378" i="24"/>
  <c r="B4377" i="24"/>
  <c r="B4376" i="24"/>
  <c r="B4375" i="24"/>
  <c r="B4374" i="24"/>
  <c r="B4373" i="24"/>
  <c r="B4372" i="24"/>
  <c r="B4371" i="24"/>
  <c r="B4370" i="24"/>
  <c r="B4369" i="24"/>
  <c r="B4368" i="24"/>
  <c r="B4367" i="24"/>
  <c r="B4366" i="24"/>
  <c r="B4365" i="24"/>
  <c r="B4364" i="24"/>
  <c r="B4363" i="24"/>
  <c r="B4362" i="24"/>
  <c r="B4361" i="24"/>
  <c r="B4360" i="24"/>
  <c r="B4359" i="24"/>
  <c r="B4358" i="24"/>
  <c r="B4357" i="24"/>
  <c r="B4356" i="24"/>
  <c r="B4355" i="24"/>
  <c r="B4354" i="24"/>
  <c r="B4353" i="24"/>
  <c r="B4352" i="24"/>
  <c r="B4351" i="24"/>
  <c r="B4350" i="24"/>
  <c r="B4349" i="24"/>
  <c r="B4348" i="24"/>
  <c r="B4347" i="24"/>
  <c r="B4346" i="24"/>
  <c r="B4345" i="24"/>
  <c r="B4344" i="24"/>
  <c r="B4343" i="24"/>
  <c r="B4342" i="24"/>
  <c r="B4341" i="24"/>
  <c r="B4340" i="24"/>
  <c r="B4339" i="24"/>
  <c r="B4338" i="24"/>
  <c r="B4337" i="24"/>
  <c r="B4336" i="24"/>
  <c r="B4335" i="24"/>
  <c r="B4334" i="24"/>
  <c r="B4333" i="24"/>
  <c r="B4332" i="24"/>
  <c r="B4331" i="24"/>
  <c r="B4330" i="24"/>
  <c r="B4329" i="24"/>
  <c r="B4328" i="24"/>
  <c r="B4327" i="24"/>
  <c r="B4326" i="24"/>
  <c r="B4325" i="24"/>
  <c r="B4324" i="24"/>
  <c r="B4323" i="24"/>
  <c r="B4322" i="24"/>
  <c r="B4321" i="24"/>
  <c r="B4320" i="24"/>
  <c r="B4319" i="24"/>
  <c r="B4318" i="24"/>
  <c r="B4317" i="24"/>
  <c r="B4316" i="24"/>
  <c r="B4315" i="24"/>
  <c r="B4314" i="24"/>
  <c r="B4313" i="24"/>
  <c r="B4312" i="24"/>
  <c r="B4311" i="24"/>
  <c r="B4310" i="24"/>
  <c r="B4309" i="24"/>
  <c r="B4308" i="24"/>
  <c r="B4307" i="24"/>
  <c r="B4306" i="24"/>
  <c r="B4305" i="24"/>
  <c r="B4304" i="24"/>
  <c r="B4303" i="24"/>
  <c r="B4302" i="24"/>
  <c r="B4301" i="24"/>
  <c r="B4300" i="24"/>
  <c r="B4299" i="24"/>
  <c r="B4298" i="24"/>
  <c r="B4297" i="24"/>
  <c r="B4296" i="24"/>
  <c r="B4295" i="24"/>
  <c r="B4294" i="24"/>
  <c r="B4293" i="24"/>
  <c r="B4292" i="24"/>
  <c r="B4291" i="24"/>
  <c r="B4290" i="24"/>
  <c r="B4289" i="24"/>
  <c r="B4288" i="24"/>
  <c r="B4287" i="24"/>
  <c r="B4286" i="24"/>
  <c r="B4285" i="24"/>
  <c r="B4284" i="24"/>
  <c r="B4283" i="24"/>
  <c r="B4282" i="24"/>
  <c r="B4281" i="24"/>
  <c r="B4280" i="24"/>
  <c r="B4279" i="24"/>
  <c r="B4278" i="24"/>
  <c r="B4277" i="24"/>
  <c r="B4276" i="24"/>
  <c r="B4275" i="24"/>
  <c r="B4274" i="24"/>
  <c r="B4273" i="24"/>
  <c r="B4272" i="24"/>
  <c r="B4271" i="24"/>
  <c r="B4270" i="24"/>
  <c r="B4269" i="24"/>
  <c r="B4268" i="24"/>
  <c r="B4267" i="24"/>
  <c r="B4266" i="24"/>
  <c r="B4265" i="24"/>
  <c r="B4264" i="24"/>
  <c r="B4263" i="24"/>
  <c r="B4262" i="24"/>
  <c r="B4261" i="24"/>
  <c r="B4260" i="24"/>
  <c r="B4259" i="24"/>
  <c r="B4258" i="24"/>
  <c r="B4257" i="24"/>
  <c r="B4256" i="24"/>
  <c r="B4255" i="24"/>
  <c r="B4254" i="24"/>
  <c r="B4253" i="24"/>
  <c r="B4252" i="24"/>
  <c r="B4251" i="24"/>
  <c r="B4250" i="24"/>
  <c r="B4249" i="24"/>
  <c r="B4248" i="24"/>
  <c r="B4247" i="24"/>
  <c r="B4246" i="24"/>
  <c r="B4245" i="24"/>
  <c r="B4244" i="24"/>
  <c r="B4243" i="24"/>
  <c r="B4242" i="24"/>
  <c r="B4241" i="24"/>
  <c r="B4240" i="24"/>
  <c r="B4239" i="24"/>
  <c r="B4238" i="24"/>
  <c r="B4237" i="24"/>
  <c r="B4236" i="24"/>
  <c r="B4235" i="24"/>
  <c r="B4234" i="24"/>
  <c r="B4233" i="24"/>
  <c r="B4232" i="24"/>
  <c r="B4231" i="24"/>
  <c r="B4230" i="24"/>
  <c r="B4229" i="24"/>
  <c r="B4228" i="24"/>
  <c r="B4227" i="24"/>
  <c r="B4226" i="24"/>
  <c r="B4225" i="24"/>
  <c r="B4224" i="24"/>
  <c r="B4223" i="24"/>
  <c r="B4222" i="24"/>
  <c r="B4221" i="24"/>
  <c r="B4220" i="24"/>
  <c r="B4219" i="24"/>
  <c r="B4218" i="24"/>
  <c r="B4217" i="24"/>
  <c r="B4216" i="24"/>
  <c r="B4215" i="24"/>
  <c r="B4214" i="24"/>
  <c r="B4213" i="24"/>
  <c r="B4212" i="24"/>
  <c r="B4211" i="24"/>
  <c r="B4210" i="24"/>
  <c r="B4209" i="24"/>
  <c r="B4208" i="24"/>
  <c r="B4207" i="24"/>
  <c r="B4206" i="24"/>
  <c r="B4205" i="24"/>
  <c r="B4204" i="24"/>
  <c r="B4203" i="24"/>
  <c r="B4202" i="24"/>
  <c r="B4201" i="24"/>
  <c r="B4200" i="24"/>
  <c r="B4199" i="24"/>
  <c r="B4198" i="24"/>
  <c r="B4197" i="24"/>
  <c r="B4196" i="24"/>
  <c r="B4195" i="24"/>
  <c r="B4194" i="24"/>
  <c r="B4193" i="24"/>
  <c r="B4192" i="24"/>
  <c r="B4191" i="24"/>
  <c r="B4190" i="24"/>
  <c r="B4189" i="24"/>
  <c r="B4188" i="24"/>
  <c r="B4187" i="24"/>
  <c r="B4186" i="24"/>
  <c r="B4185" i="24"/>
  <c r="B4184" i="24"/>
  <c r="B4183" i="24"/>
  <c r="B4182" i="24"/>
  <c r="B4181" i="24"/>
  <c r="B4180" i="24"/>
  <c r="B4179" i="24"/>
  <c r="B4178" i="24"/>
  <c r="B4177" i="24"/>
  <c r="B4176" i="24"/>
  <c r="B4175" i="24"/>
  <c r="B4174" i="24"/>
  <c r="B4173" i="24"/>
  <c r="B4172" i="24"/>
  <c r="B4171" i="24"/>
  <c r="B4170" i="24"/>
  <c r="B4169" i="24"/>
  <c r="B4168" i="24"/>
  <c r="B4167" i="24"/>
  <c r="B4166" i="24"/>
  <c r="B4165" i="24"/>
  <c r="B4164" i="24"/>
  <c r="B4163" i="24"/>
  <c r="B4162" i="24"/>
  <c r="B4161" i="24"/>
  <c r="B4160" i="24"/>
  <c r="B4159" i="24"/>
  <c r="B4158" i="24"/>
  <c r="B4157" i="24"/>
  <c r="B4156" i="24"/>
  <c r="B4155" i="24"/>
  <c r="B4154" i="24"/>
  <c r="B4153" i="24"/>
  <c r="B4152" i="24"/>
  <c r="B4151" i="24"/>
  <c r="B4150" i="24"/>
  <c r="B4149" i="24"/>
  <c r="B4148" i="24"/>
  <c r="B4147" i="24"/>
  <c r="B4146" i="24"/>
  <c r="B4145" i="24"/>
  <c r="B4144" i="24"/>
  <c r="B4143" i="24"/>
  <c r="B4142" i="24"/>
  <c r="B4141" i="24"/>
  <c r="B4140" i="24"/>
  <c r="B4139" i="24"/>
  <c r="B4138" i="24"/>
  <c r="B4137" i="24"/>
  <c r="B4136" i="24"/>
  <c r="B4135" i="24"/>
  <c r="B4134" i="24"/>
  <c r="B4133" i="24"/>
  <c r="B4132" i="24"/>
  <c r="B4131" i="24"/>
  <c r="B4130" i="24"/>
  <c r="B4129" i="24"/>
  <c r="B4128" i="24"/>
  <c r="B4127" i="24"/>
  <c r="B4126" i="24"/>
  <c r="B4125" i="24"/>
  <c r="B4124" i="24"/>
  <c r="B4123" i="24"/>
  <c r="B4122" i="24"/>
  <c r="B4121" i="24"/>
  <c r="B4120" i="24"/>
  <c r="B4119" i="24"/>
  <c r="B4118" i="24"/>
  <c r="B4117" i="24"/>
  <c r="B4116" i="24"/>
  <c r="B4115" i="24"/>
  <c r="B4114" i="24"/>
  <c r="B4113" i="24"/>
  <c r="B4112" i="24"/>
  <c r="B4111" i="24"/>
  <c r="B4110" i="24"/>
  <c r="B4109" i="24"/>
  <c r="B4108" i="24"/>
  <c r="B4107" i="24"/>
  <c r="B4106" i="24"/>
  <c r="B4105" i="24"/>
  <c r="B4104" i="24"/>
  <c r="B4103" i="24"/>
  <c r="B4102" i="24"/>
  <c r="B4101" i="24"/>
  <c r="B4100" i="24"/>
  <c r="B4099" i="24"/>
  <c r="B4098" i="24"/>
  <c r="B4097" i="24"/>
  <c r="B4096" i="24"/>
  <c r="B4095" i="24"/>
  <c r="B4094" i="24"/>
  <c r="B4093" i="24"/>
  <c r="B4092" i="24"/>
  <c r="B4091" i="24"/>
  <c r="B4090" i="24"/>
  <c r="B4089" i="24"/>
  <c r="B4088" i="24"/>
  <c r="B4087" i="24"/>
  <c r="B4086" i="24"/>
  <c r="B4085" i="24"/>
  <c r="B4084" i="24"/>
  <c r="B4083" i="24"/>
  <c r="B4082" i="24"/>
  <c r="B4081" i="24"/>
  <c r="B4080" i="24"/>
  <c r="B4079" i="24"/>
  <c r="B4078" i="24"/>
  <c r="B4077" i="24"/>
  <c r="B4076" i="24"/>
  <c r="B4075" i="24"/>
  <c r="B4074" i="24"/>
  <c r="B4073" i="24"/>
  <c r="B4072" i="24"/>
  <c r="B4071" i="24"/>
  <c r="B4070" i="24"/>
  <c r="B4069" i="24"/>
  <c r="B4068" i="24"/>
  <c r="B4067" i="24"/>
  <c r="B4066" i="24"/>
  <c r="B4065" i="24"/>
  <c r="B4064" i="24"/>
  <c r="B4063" i="24"/>
  <c r="B4062" i="24"/>
  <c r="B4061" i="24"/>
  <c r="B4060" i="24"/>
  <c r="B4059" i="24"/>
  <c r="B4058" i="24"/>
  <c r="B4057" i="24"/>
  <c r="B4056" i="24"/>
  <c r="B4055" i="24"/>
  <c r="B4054" i="24"/>
  <c r="B4053" i="24"/>
  <c r="B4052" i="24"/>
  <c r="B4051" i="24"/>
  <c r="B4050" i="24"/>
  <c r="B4049" i="24"/>
  <c r="B4048" i="24"/>
  <c r="B4047" i="24"/>
  <c r="B4046" i="24"/>
  <c r="B4045" i="24"/>
  <c r="B4044" i="24"/>
  <c r="B4043" i="24"/>
  <c r="B4042" i="24"/>
  <c r="B4041" i="24"/>
  <c r="B4040" i="24"/>
  <c r="B4039" i="24"/>
  <c r="B4038" i="24"/>
  <c r="B4037" i="24"/>
  <c r="B4036" i="24"/>
  <c r="B4035" i="24"/>
  <c r="B4034" i="24"/>
  <c r="B4033" i="24"/>
  <c r="B4032" i="24"/>
  <c r="B4031" i="24"/>
  <c r="B4030" i="24"/>
  <c r="B4029" i="24"/>
  <c r="B4028" i="24"/>
  <c r="B4027" i="24"/>
  <c r="B4026" i="24"/>
  <c r="B4025" i="24"/>
  <c r="B4024" i="24"/>
  <c r="B4023" i="24"/>
  <c r="B4022" i="24"/>
  <c r="B4021" i="24"/>
  <c r="B4020" i="24"/>
  <c r="B4019" i="24"/>
  <c r="B4018" i="24"/>
  <c r="B4017" i="24"/>
  <c r="B4016" i="24"/>
  <c r="B4015" i="24"/>
  <c r="B4014" i="24"/>
  <c r="B4013" i="24"/>
  <c r="B4012" i="24"/>
  <c r="B4011" i="24"/>
  <c r="B4010" i="24"/>
  <c r="B4009" i="24"/>
  <c r="B4008" i="24"/>
  <c r="B4007" i="24"/>
  <c r="B4006" i="24"/>
  <c r="B4005" i="24"/>
  <c r="B4004" i="24"/>
  <c r="B4003" i="24"/>
  <c r="B4002" i="24"/>
  <c r="B4001" i="24"/>
  <c r="B4000" i="24"/>
  <c r="B3999" i="24"/>
  <c r="B3998" i="24"/>
  <c r="B3997" i="24"/>
  <c r="B3996" i="24"/>
  <c r="B3995" i="24"/>
  <c r="B3994" i="24"/>
  <c r="B3993" i="24"/>
  <c r="B3992" i="24"/>
  <c r="B3991" i="24"/>
  <c r="B3990" i="24"/>
  <c r="B3989" i="24"/>
  <c r="B3988" i="24"/>
  <c r="B3987" i="24"/>
  <c r="B3986" i="24"/>
  <c r="B3985" i="24"/>
  <c r="B3984" i="24"/>
  <c r="B3983" i="24"/>
  <c r="B3982" i="24"/>
  <c r="B3981" i="24"/>
  <c r="B3980" i="24"/>
  <c r="B3979" i="24"/>
  <c r="B3978" i="24"/>
  <c r="B3977" i="24"/>
  <c r="B3976" i="24"/>
  <c r="B3975" i="24"/>
  <c r="B3974" i="24"/>
  <c r="B3973" i="24"/>
  <c r="B3972" i="24"/>
  <c r="B3971" i="24"/>
  <c r="B3970" i="24"/>
  <c r="B3969" i="24"/>
  <c r="B3968" i="24"/>
  <c r="B3967" i="24"/>
  <c r="B3966" i="24"/>
  <c r="B3965" i="24"/>
  <c r="B3964" i="24"/>
  <c r="B3963" i="24"/>
  <c r="B3962" i="24"/>
  <c r="B3961" i="24"/>
  <c r="B3960" i="24"/>
  <c r="B3959" i="24"/>
  <c r="B3958" i="24"/>
  <c r="B3957" i="24"/>
  <c r="B3956" i="24"/>
  <c r="B3955" i="24"/>
  <c r="B3954" i="24"/>
  <c r="B3953" i="24"/>
  <c r="B3952" i="24"/>
  <c r="B3951" i="24"/>
  <c r="B3950" i="24"/>
  <c r="B3949" i="24"/>
  <c r="B3948" i="24"/>
  <c r="B3947" i="24"/>
  <c r="B3946" i="24"/>
  <c r="B3945" i="24"/>
  <c r="B3944" i="24"/>
  <c r="B3943" i="24"/>
  <c r="B3942" i="24"/>
  <c r="B3941" i="24"/>
  <c r="B3940" i="24"/>
  <c r="B3939" i="24"/>
  <c r="B3938" i="24"/>
  <c r="B3937" i="24"/>
  <c r="B3936" i="24"/>
  <c r="B3935" i="24"/>
  <c r="B3934" i="24"/>
  <c r="B3933" i="24"/>
  <c r="B3932" i="24"/>
  <c r="B3931" i="24"/>
  <c r="B3930" i="24"/>
  <c r="B3929" i="24"/>
  <c r="B3928" i="24"/>
  <c r="B3927" i="24"/>
  <c r="B3926" i="24"/>
  <c r="B3925" i="24"/>
  <c r="B3924" i="24"/>
  <c r="B3923" i="24"/>
  <c r="B3922" i="24"/>
  <c r="B3921" i="24"/>
  <c r="B3920" i="24"/>
  <c r="B3919" i="24"/>
  <c r="B3918" i="24"/>
  <c r="B3917" i="24"/>
  <c r="B3916" i="24"/>
  <c r="B3915" i="24"/>
  <c r="B3914" i="24"/>
  <c r="B3913" i="24"/>
  <c r="B3912" i="24"/>
  <c r="B3911" i="24"/>
  <c r="B3910" i="24"/>
  <c r="B3909" i="24"/>
  <c r="B3908" i="24"/>
  <c r="B3907" i="24"/>
  <c r="B3906" i="24"/>
  <c r="B3905" i="24"/>
  <c r="B3904" i="24"/>
  <c r="B3903" i="24"/>
  <c r="B3902" i="24"/>
  <c r="B3901" i="24"/>
  <c r="B3900" i="24"/>
  <c r="B3899" i="24"/>
  <c r="B3898" i="24"/>
  <c r="B3897" i="24"/>
  <c r="B3896" i="24"/>
  <c r="B3895" i="24"/>
  <c r="B3894" i="24"/>
  <c r="B3893" i="24"/>
  <c r="B3892" i="24"/>
  <c r="B3891" i="24"/>
  <c r="B3890" i="24"/>
  <c r="B3889" i="24"/>
  <c r="B3888" i="24"/>
  <c r="B3887" i="24"/>
  <c r="B3886" i="24"/>
  <c r="B3885" i="24"/>
  <c r="B3884" i="24"/>
  <c r="B3883" i="24"/>
  <c r="B3882" i="24"/>
  <c r="B3881" i="24"/>
  <c r="B3880" i="24"/>
  <c r="B3879" i="24"/>
  <c r="B3878" i="24"/>
  <c r="B3877" i="24"/>
  <c r="B3876" i="24"/>
  <c r="B3875" i="24"/>
  <c r="B3874" i="24"/>
  <c r="B3873" i="24"/>
  <c r="B3872" i="24"/>
  <c r="B3871" i="24"/>
  <c r="B3870" i="24"/>
  <c r="B3869" i="24"/>
  <c r="B3868" i="24"/>
  <c r="B3867" i="24"/>
  <c r="B3866" i="24"/>
  <c r="B3865" i="24"/>
  <c r="B3864" i="24"/>
  <c r="B3863" i="24"/>
  <c r="B3862" i="24"/>
  <c r="B3861" i="24"/>
  <c r="B3860" i="24"/>
  <c r="B3859" i="24"/>
  <c r="B3858" i="24"/>
  <c r="B3857" i="24"/>
  <c r="B3856" i="24"/>
  <c r="B3855" i="24"/>
  <c r="B3854" i="24"/>
  <c r="B3853" i="24"/>
  <c r="B3852" i="24"/>
  <c r="B3851" i="24"/>
  <c r="B3850" i="24"/>
  <c r="B3849" i="24"/>
  <c r="B3848" i="24"/>
  <c r="B3847" i="24"/>
  <c r="B3846" i="24"/>
  <c r="B3845" i="24"/>
  <c r="B3844" i="24"/>
  <c r="B3843" i="24"/>
  <c r="B3842" i="24"/>
  <c r="B3841" i="24"/>
  <c r="B3840" i="24"/>
  <c r="B3839" i="24"/>
  <c r="B3838" i="24"/>
  <c r="B3837" i="24"/>
  <c r="B3836" i="24"/>
  <c r="B3835" i="24"/>
  <c r="B3834" i="24"/>
  <c r="B3833" i="24"/>
  <c r="B3832" i="24"/>
  <c r="B3831" i="24"/>
  <c r="B3830" i="24"/>
  <c r="B3829" i="24"/>
  <c r="B3828" i="24"/>
  <c r="B3827" i="24"/>
  <c r="B3826" i="24"/>
  <c r="B3825" i="24"/>
  <c r="B3824" i="24"/>
  <c r="B3823" i="24"/>
  <c r="B3822" i="24"/>
  <c r="B3821" i="24"/>
  <c r="B3820" i="24"/>
  <c r="B3819" i="24"/>
  <c r="B3818" i="24"/>
  <c r="B3817" i="24"/>
  <c r="B3816" i="24"/>
  <c r="B3815" i="24"/>
  <c r="B3814" i="24"/>
  <c r="B3813" i="24"/>
  <c r="B3812" i="24"/>
  <c r="B3811" i="24"/>
  <c r="B3810" i="24"/>
  <c r="B3809" i="24"/>
  <c r="B3808" i="24"/>
  <c r="B3807" i="24"/>
  <c r="B3806" i="24"/>
  <c r="B3805" i="24"/>
  <c r="B3804" i="24"/>
  <c r="B3803" i="24"/>
  <c r="B3802" i="24"/>
  <c r="B3801" i="24"/>
  <c r="B3800" i="24"/>
  <c r="B3799" i="24"/>
  <c r="B3798" i="24"/>
  <c r="B3797" i="24"/>
  <c r="B3796" i="24"/>
  <c r="B3795" i="24"/>
  <c r="B3794" i="24"/>
  <c r="B3793" i="24"/>
  <c r="B3792" i="24"/>
  <c r="B3791" i="24"/>
  <c r="B3790" i="24"/>
  <c r="B3789" i="24"/>
  <c r="B3788" i="24"/>
  <c r="B3787" i="24"/>
  <c r="B3786" i="24"/>
  <c r="B3785" i="24"/>
  <c r="B3784" i="24"/>
  <c r="B3783" i="24"/>
  <c r="B3782" i="24"/>
  <c r="B3781" i="24"/>
  <c r="B3780" i="24"/>
  <c r="B3779" i="24"/>
  <c r="B3778" i="24"/>
  <c r="B3777" i="24"/>
  <c r="B3776" i="24"/>
  <c r="B3775" i="24"/>
  <c r="B3774" i="24"/>
  <c r="B3773" i="24"/>
  <c r="B3772" i="24"/>
  <c r="B3771" i="24"/>
  <c r="B3770" i="24"/>
  <c r="B3769" i="24"/>
  <c r="B3768" i="24"/>
  <c r="B3767" i="24"/>
  <c r="B3766" i="24"/>
  <c r="B3765" i="24"/>
  <c r="B3764" i="24"/>
  <c r="B3763" i="24"/>
  <c r="B3762" i="24"/>
  <c r="B3761" i="24"/>
  <c r="B3760" i="24"/>
  <c r="B3759" i="24"/>
  <c r="B3758" i="24"/>
  <c r="B3757" i="24"/>
  <c r="B3756" i="24"/>
  <c r="B3755" i="24"/>
  <c r="B3754" i="24"/>
  <c r="B3753" i="24"/>
  <c r="B3752" i="24"/>
  <c r="B3751" i="24"/>
  <c r="B3750" i="24"/>
  <c r="B3749" i="24"/>
  <c r="B3748" i="24"/>
  <c r="B3747" i="24"/>
  <c r="B3746" i="24"/>
  <c r="B3745" i="24"/>
  <c r="B3744" i="24"/>
  <c r="B3743" i="24"/>
  <c r="B3742" i="24"/>
  <c r="B3741" i="24"/>
  <c r="B3740" i="24"/>
  <c r="B3739" i="24"/>
  <c r="B3738" i="24"/>
  <c r="B3737" i="24"/>
  <c r="B3736" i="24"/>
  <c r="B3735" i="24"/>
  <c r="B3734" i="24"/>
  <c r="B3733" i="24"/>
  <c r="B3732" i="24"/>
  <c r="B3731" i="24"/>
  <c r="B3730" i="24"/>
  <c r="B3729" i="24"/>
  <c r="B3728" i="24"/>
  <c r="B3727" i="24"/>
  <c r="B3726" i="24"/>
  <c r="B3725" i="24"/>
  <c r="B3724" i="24"/>
  <c r="B3723" i="24"/>
  <c r="B3722" i="24"/>
  <c r="B3721" i="24"/>
  <c r="B3720" i="24"/>
  <c r="B3719" i="24"/>
  <c r="B3718" i="24"/>
  <c r="B3717" i="24"/>
  <c r="B3716" i="24"/>
  <c r="B3715" i="24"/>
  <c r="B3714" i="24"/>
  <c r="B3713" i="24"/>
  <c r="B3712" i="24"/>
  <c r="B3711" i="24"/>
  <c r="B3710" i="24"/>
  <c r="B3709" i="24"/>
  <c r="B3708" i="24"/>
  <c r="B3707" i="24"/>
  <c r="B3706" i="24"/>
  <c r="B3705" i="24"/>
  <c r="B3704" i="24"/>
  <c r="B3703" i="24"/>
  <c r="B3702" i="24"/>
  <c r="B3701" i="24"/>
  <c r="B3700" i="24"/>
  <c r="B3699" i="24"/>
  <c r="B3698" i="24"/>
  <c r="B3697" i="24"/>
  <c r="B3696" i="24"/>
  <c r="B3695" i="24"/>
  <c r="B3694" i="24"/>
  <c r="B3693" i="24"/>
  <c r="B3692" i="24"/>
  <c r="B3691" i="24"/>
  <c r="B3690" i="24"/>
  <c r="B3689" i="24"/>
  <c r="B3688" i="24"/>
  <c r="B3687" i="24"/>
  <c r="B3686" i="24"/>
  <c r="B3685" i="24"/>
  <c r="B3684" i="24"/>
  <c r="B3683" i="24"/>
  <c r="B3682" i="24"/>
  <c r="B3681" i="24"/>
  <c r="B3680" i="24"/>
  <c r="B3679" i="24"/>
  <c r="B3678" i="24"/>
  <c r="B3677" i="24"/>
  <c r="B3676" i="24"/>
  <c r="B3675" i="24"/>
  <c r="B3674" i="24"/>
  <c r="B3673" i="24"/>
  <c r="B3672" i="24"/>
  <c r="B3671" i="24"/>
  <c r="B3670" i="24"/>
  <c r="B3669" i="24"/>
  <c r="B3668" i="24"/>
  <c r="B3667" i="24"/>
  <c r="B3666" i="24"/>
  <c r="B3665" i="24"/>
  <c r="B3664" i="24"/>
  <c r="B3663" i="24"/>
  <c r="B3662" i="24"/>
  <c r="B3661" i="24"/>
  <c r="B3660" i="24"/>
  <c r="B3659" i="24"/>
  <c r="B3658" i="24"/>
  <c r="B3657" i="24"/>
  <c r="B3656" i="24"/>
  <c r="B3655" i="24"/>
  <c r="B3654" i="24"/>
  <c r="B3653" i="24"/>
  <c r="B3652" i="24"/>
  <c r="B3651" i="24"/>
  <c r="B3650" i="24"/>
  <c r="B3649" i="24"/>
  <c r="B3648" i="24"/>
  <c r="B3647" i="24"/>
  <c r="B3646" i="24"/>
  <c r="B3645" i="24"/>
  <c r="B3644" i="24"/>
  <c r="B3643" i="24"/>
  <c r="B3642" i="24"/>
  <c r="B3641" i="24"/>
  <c r="B3640" i="24"/>
  <c r="B3639" i="24"/>
  <c r="B3638" i="24"/>
  <c r="B3637" i="24"/>
  <c r="B3636" i="24"/>
  <c r="B3635" i="24"/>
  <c r="B3634" i="24"/>
  <c r="B3633" i="24"/>
  <c r="B3632" i="24"/>
  <c r="B3631" i="24"/>
  <c r="B3630" i="24"/>
  <c r="B3629" i="24"/>
  <c r="B3628" i="24"/>
  <c r="B3627" i="24"/>
  <c r="B3626" i="24"/>
  <c r="B3625" i="24"/>
  <c r="B3624" i="24"/>
  <c r="B3623" i="24"/>
  <c r="B3622" i="24"/>
  <c r="B3621" i="24"/>
  <c r="B3620" i="24"/>
  <c r="B3619" i="24"/>
  <c r="B3618" i="24"/>
  <c r="B3617" i="24"/>
  <c r="B3616" i="24"/>
  <c r="B3615" i="24"/>
  <c r="B3614" i="24"/>
  <c r="B3613" i="24"/>
  <c r="B3612" i="24"/>
  <c r="B3611" i="24"/>
  <c r="B3610" i="24"/>
  <c r="B3609" i="24"/>
  <c r="B3608" i="24"/>
  <c r="B3607" i="24"/>
  <c r="B3606" i="24"/>
  <c r="B3605" i="24"/>
  <c r="B3604" i="24"/>
  <c r="B3603" i="24"/>
  <c r="B3602" i="24"/>
  <c r="B3601" i="24"/>
  <c r="B3600" i="24"/>
  <c r="B3599" i="24"/>
  <c r="B3598" i="24"/>
  <c r="B3597" i="24"/>
  <c r="B3596" i="24"/>
  <c r="B3595" i="24"/>
  <c r="B3594" i="24"/>
  <c r="B3593" i="24"/>
  <c r="B3592" i="24"/>
  <c r="B3591" i="24"/>
  <c r="B3590" i="24"/>
  <c r="B3589" i="24"/>
  <c r="B3588" i="24"/>
  <c r="B3587" i="24"/>
  <c r="B3586" i="24"/>
  <c r="B3585" i="24"/>
  <c r="B3584" i="24"/>
  <c r="B3583" i="24"/>
  <c r="B3582" i="24"/>
  <c r="B3581" i="24"/>
  <c r="B3580" i="24"/>
  <c r="B3579" i="24"/>
  <c r="B3578" i="24"/>
  <c r="B3577" i="24"/>
  <c r="B3576" i="24"/>
  <c r="B3575" i="24"/>
  <c r="B3574" i="24"/>
  <c r="B3573" i="24"/>
  <c r="B3572" i="24"/>
  <c r="B3571" i="24"/>
  <c r="B3570" i="24"/>
  <c r="B3569" i="24"/>
  <c r="B3568" i="24"/>
  <c r="B3567" i="24"/>
  <c r="B3566" i="24"/>
  <c r="B3565" i="24"/>
  <c r="B3564" i="24"/>
  <c r="B3563" i="24"/>
  <c r="B3562" i="24"/>
  <c r="B3561" i="24"/>
  <c r="B3560" i="24"/>
  <c r="B3559" i="24"/>
  <c r="B3558" i="24"/>
  <c r="B3557" i="24"/>
  <c r="B3556" i="24"/>
  <c r="B3555" i="24"/>
  <c r="B3554" i="24"/>
  <c r="B3553" i="24"/>
  <c r="B3552" i="24"/>
  <c r="B3551" i="24"/>
  <c r="B3550" i="24"/>
  <c r="B3549" i="24"/>
  <c r="B3548" i="24"/>
  <c r="B3547" i="24"/>
  <c r="B3546" i="24"/>
  <c r="B3545" i="24"/>
  <c r="B3544" i="24"/>
  <c r="B3543" i="24"/>
  <c r="B3542" i="24"/>
  <c r="B3541" i="24"/>
  <c r="B3540" i="24"/>
  <c r="B3539" i="24"/>
  <c r="B3538" i="24"/>
  <c r="B3537" i="24"/>
  <c r="B3536" i="24"/>
  <c r="B3535" i="24"/>
  <c r="B3534" i="24"/>
  <c r="B3533" i="24"/>
  <c r="B3532" i="24"/>
  <c r="B3531" i="24"/>
  <c r="B3530" i="24"/>
  <c r="B3529" i="24"/>
  <c r="B3528" i="24"/>
  <c r="B3527" i="24"/>
  <c r="B3526" i="24"/>
  <c r="B3525" i="24"/>
  <c r="B3524" i="24"/>
  <c r="B3523" i="24"/>
  <c r="B3522" i="24"/>
  <c r="B3521" i="24"/>
  <c r="B3520" i="24"/>
  <c r="B3519" i="24"/>
  <c r="B3518" i="24"/>
  <c r="B3517" i="24"/>
  <c r="B3516" i="24"/>
  <c r="B3515" i="24"/>
  <c r="B3514" i="24"/>
  <c r="B3513" i="24"/>
  <c r="B3512" i="24"/>
  <c r="B3511" i="24"/>
  <c r="B3510" i="24"/>
  <c r="B3509" i="24"/>
  <c r="B3508" i="24"/>
  <c r="B3507" i="24"/>
  <c r="B3506" i="24"/>
  <c r="B3505" i="24"/>
  <c r="B3504" i="24"/>
  <c r="B3503" i="24"/>
  <c r="B3502" i="24"/>
  <c r="B3501" i="24"/>
  <c r="B3500" i="24"/>
  <c r="B3499" i="24"/>
  <c r="B3498" i="24"/>
  <c r="B3497" i="24"/>
  <c r="B3496" i="24"/>
  <c r="B3495" i="24"/>
  <c r="B3494" i="24"/>
  <c r="B3493" i="24"/>
  <c r="B3492" i="24"/>
  <c r="B3491" i="24"/>
  <c r="B3490" i="24"/>
  <c r="B3489" i="24"/>
  <c r="B3488" i="24"/>
  <c r="B3487" i="24"/>
  <c r="B3486" i="24"/>
  <c r="B3485" i="24"/>
  <c r="B3484" i="24"/>
  <c r="B3483" i="24"/>
  <c r="B3482" i="24"/>
  <c r="B3481" i="24"/>
  <c r="B3480" i="24"/>
  <c r="B3479" i="24"/>
  <c r="B3478" i="24"/>
  <c r="B3477" i="24"/>
  <c r="B3476" i="24"/>
  <c r="B3475" i="24"/>
  <c r="B3474" i="24"/>
  <c r="B3473" i="24"/>
  <c r="B3472" i="24"/>
  <c r="B3471" i="24"/>
  <c r="B3470" i="24"/>
  <c r="B3469" i="24"/>
  <c r="B3468" i="24"/>
  <c r="B3467" i="24"/>
  <c r="B3466" i="24"/>
  <c r="B3465" i="24"/>
  <c r="B3464" i="24"/>
  <c r="B3463" i="24"/>
  <c r="B3462" i="24"/>
  <c r="B3461" i="24"/>
  <c r="B3460" i="24"/>
  <c r="B3459" i="24"/>
  <c r="B3458" i="24"/>
  <c r="B3457" i="24"/>
  <c r="B3456" i="24"/>
  <c r="B3455" i="24"/>
  <c r="B3454" i="24"/>
  <c r="B3453" i="24"/>
  <c r="B3452" i="24"/>
  <c r="B3451" i="24"/>
  <c r="B3450" i="24"/>
  <c r="B3449" i="24"/>
  <c r="B3448" i="24"/>
  <c r="B3447" i="24"/>
  <c r="B3446" i="24"/>
  <c r="B3445" i="24"/>
  <c r="B3444" i="24"/>
  <c r="B3443" i="24"/>
  <c r="B3442" i="24"/>
  <c r="B3441" i="24"/>
  <c r="B3440" i="24"/>
  <c r="B3439" i="24"/>
  <c r="B3438" i="24"/>
  <c r="B3437" i="24"/>
  <c r="B3436" i="24"/>
  <c r="B3435" i="24"/>
  <c r="B3434" i="24"/>
  <c r="B3433" i="24"/>
  <c r="B3432" i="24"/>
  <c r="B3431" i="24"/>
  <c r="B3430" i="24"/>
  <c r="B3429" i="24"/>
  <c r="B3428" i="24"/>
  <c r="B3427" i="24"/>
  <c r="B3426" i="24"/>
  <c r="B3425" i="24"/>
  <c r="B3424" i="24"/>
  <c r="B3423" i="24"/>
  <c r="B3422" i="24"/>
  <c r="B3421" i="24"/>
  <c r="B3420" i="24"/>
  <c r="B3419" i="24"/>
  <c r="B3418" i="24"/>
  <c r="B3417" i="24"/>
  <c r="B3416" i="24"/>
  <c r="B3415" i="24"/>
  <c r="B3414" i="24"/>
  <c r="B3413" i="24"/>
  <c r="B3412" i="24"/>
  <c r="B3411" i="24"/>
  <c r="B3410" i="24"/>
  <c r="B3409" i="24"/>
  <c r="B3408" i="24"/>
  <c r="B3407" i="24"/>
  <c r="B3406" i="24"/>
  <c r="B3405" i="24"/>
  <c r="B3404" i="24"/>
  <c r="B3403" i="24"/>
  <c r="B3402" i="24"/>
  <c r="B3401" i="24"/>
  <c r="B3400" i="24"/>
  <c r="B3399" i="24"/>
  <c r="B3398" i="24"/>
  <c r="B3397" i="24"/>
  <c r="B3396" i="24"/>
  <c r="B3395" i="24"/>
  <c r="B3394" i="24"/>
  <c r="B3393" i="24"/>
  <c r="B3392" i="24"/>
  <c r="B3391" i="24"/>
  <c r="B3390" i="24"/>
  <c r="B3389" i="24"/>
  <c r="B3388" i="24"/>
  <c r="B3387" i="24"/>
  <c r="B3386" i="24"/>
  <c r="B3385" i="24"/>
  <c r="B3384" i="24"/>
  <c r="B3383" i="24"/>
  <c r="B3382" i="24"/>
  <c r="B3381" i="24"/>
  <c r="B3380" i="24"/>
  <c r="B3379" i="24"/>
  <c r="B3378" i="24"/>
  <c r="B3377" i="24"/>
  <c r="B3376" i="24"/>
  <c r="B3375" i="24"/>
  <c r="B3374" i="24"/>
  <c r="B3373" i="24"/>
  <c r="B3372" i="24"/>
  <c r="B3371" i="24"/>
  <c r="B3370" i="24"/>
  <c r="B3369" i="24"/>
  <c r="B3368" i="24"/>
  <c r="B3367" i="24"/>
  <c r="B3366" i="24"/>
  <c r="B3365" i="24"/>
  <c r="B3364" i="24"/>
  <c r="B3363" i="24"/>
  <c r="B3362" i="24"/>
  <c r="B3361" i="24"/>
  <c r="B3360" i="24"/>
  <c r="B3359" i="24"/>
  <c r="B3358" i="24"/>
  <c r="B3357" i="24"/>
  <c r="B3356" i="24"/>
  <c r="B3355" i="24"/>
  <c r="B3354" i="24"/>
  <c r="B3353" i="24"/>
  <c r="B3352" i="24"/>
  <c r="B3351" i="24"/>
  <c r="B3350" i="24"/>
  <c r="B3349" i="24"/>
  <c r="B3348" i="24"/>
  <c r="B3347" i="24"/>
  <c r="B3346" i="24"/>
  <c r="B3345" i="24"/>
  <c r="B3344" i="24"/>
  <c r="B3343" i="24"/>
  <c r="B3342" i="24"/>
  <c r="B3341" i="24"/>
  <c r="B3340" i="24"/>
  <c r="B3339" i="24"/>
  <c r="B3338" i="24"/>
  <c r="B3337" i="24"/>
  <c r="B3336" i="24"/>
  <c r="B3335" i="24"/>
  <c r="B3334" i="24"/>
  <c r="B3333" i="24"/>
  <c r="B3332" i="24"/>
  <c r="B3331" i="24"/>
  <c r="B3330" i="24"/>
  <c r="B3329" i="24"/>
  <c r="B3328" i="24"/>
  <c r="B3327" i="24"/>
  <c r="B3326" i="24"/>
  <c r="B3325" i="24"/>
  <c r="B3324" i="24"/>
  <c r="B3323" i="24"/>
  <c r="B3322" i="24"/>
  <c r="B3321" i="24"/>
  <c r="B3320" i="24"/>
  <c r="B3319" i="24"/>
  <c r="B3318" i="24"/>
  <c r="B3317" i="24"/>
  <c r="B3316" i="24"/>
  <c r="B3315" i="24"/>
  <c r="B3314" i="24"/>
  <c r="B3313" i="24"/>
  <c r="B3312" i="24"/>
  <c r="B3311" i="24"/>
  <c r="B3310" i="24"/>
  <c r="B3309" i="24"/>
  <c r="B3308" i="24"/>
  <c r="B3307" i="24"/>
  <c r="B3306" i="24"/>
  <c r="B3305" i="24"/>
  <c r="B3304" i="24"/>
  <c r="B3303" i="24"/>
  <c r="B3302" i="24"/>
  <c r="B3301" i="24"/>
  <c r="B3300" i="24"/>
  <c r="B3299" i="24"/>
  <c r="B3298" i="24"/>
  <c r="B3297" i="24"/>
  <c r="B3296" i="24"/>
  <c r="B3295" i="24"/>
  <c r="B3294" i="24"/>
  <c r="B3293" i="24"/>
  <c r="B3292" i="24"/>
  <c r="B3291" i="24"/>
  <c r="B3290" i="24"/>
  <c r="B3289" i="24"/>
  <c r="B3288" i="24"/>
  <c r="B3287" i="24"/>
  <c r="B3286" i="24"/>
  <c r="B3285" i="24"/>
  <c r="B3284" i="24"/>
  <c r="B3283" i="24"/>
  <c r="B3282" i="24"/>
  <c r="B3281" i="24"/>
  <c r="B3280" i="24"/>
  <c r="B3279" i="24"/>
  <c r="B3278" i="24"/>
  <c r="B3277" i="24"/>
  <c r="B3276" i="24"/>
  <c r="B3275" i="24"/>
  <c r="B3274" i="24"/>
  <c r="B3273" i="24"/>
  <c r="B3272" i="24"/>
  <c r="B3271" i="24"/>
  <c r="B3270" i="24"/>
  <c r="B3269" i="24"/>
  <c r="B3268" i="24"/>
  <c r="B3267" i="24"/>
  <c r="B3266" i="24"/>
  <c r="B3265" i="24"/>
  <c r="B3264" i="24"/>
  <c r="B3263" i="24"/>
  <c r="B3262" i="24"/>
  <c r="B3261" i="24"/>
  <c r="B3260" i="24"/>
  <c r="B3259" i="24"/>
  <c r="B3258" i="24"/>
  <c r="B3257" i="24"/>
  <c r="B3256" i="24"/>
  <c r="B3255" i="24"/>
  <c r="B3254" i="24"/>
  <c r="B3253" i="24"/>
  <c r="B3252" i="24"/>
  <c r="B3251" i="24"/>
  <c r="B3250" i="24"/>
  <c r="B3249" i="24"/>
  <c r="B3248" i="24"/>
  <c r="B3247" i="24"/>
  <c r="B3246" i="24"/>
  <c r="B3245" i="24"/>
  <c r="B3244" i="24"/>
  <c r="B3243" i="24"/>
  <c r="B3242" i="24"/>
  <c r="B3241" i="24"/>
  <c r="B3240" i="24"/>
  <c r="B3239" i="24"/>
  <c r="B3238" i="24"/>
  <c r="B3237" i="24"/>
  <c r="B3236" i="24"/>
  <c r="B3235" i="24"/>
  <c r="B3234" i="24"/>
  <c r="B3233" i="24"/>
  <c r="B3232" i="24"/>
  <c r="B3231" i="24"/>
  <c r="B3230" i="24"/>
  <c r="B3229" i="24"/>
  <c r="B3228" i="24"/>
  <c r="B3227" i="24"/>
  <c r="B3226" i="24"/>
  <c r="B3225" i="24"/>
  <c r="B3224" i="24"/>
  <c r="B3223" i="24"/>
  <c r="B3222" i="24"/>
  <c r="B3221" i="24"/>
  <c r="B3220" i="24"/>
  <c r="B3219" i="24"/>
  <c r="B3218" i="24"/>
  <c r="B3217" i="24"/>
  <c r="B3216" i="24"/>
  <c r="B3215" i="24"/>
  <c r="B3214" i="24"/>
  <c r="B3213" i="24"/>
  <c r="B3212" i="24"/>
  <c r="B3211" i="24"/>
  <c r="B3210" i="24"/>
  <c r="B3209" i="24"/>
  <c r="B3208" i="24"/>
  <c r="B3207" i="24"/>
  <c r="B3206" i="24"/>
  <c r="B3205" i="24"/>
  <c r="B3204" i="24"/>
  <c r="B3203" i="24"/>
  <c r="B3202" i="24"/>
  <c r="B3201" i="24"/>
  <c r="B3200" i="24"/>
  <c r="B3199" i="24"/>
  <c r="B3198" i="24"/>
  <c r="B3197" i="24"/>
  <c r="B3196" i="24"/>
  <c r="B3195" i="24"/>
  <c r="B3194" i="24"/>
  <c r="B3193" i="24"/>
  <c r="B3192" i="24"/>
  <c r="B3191" i="24"/>
  <c r="B3190" i="24"/>
  <c r="B3189" i="24"/>
  <c r="B3188" i="24"/>
  <c r="B3187" i="24"/>
  <c r="B3186" i="24"/>
  <c r="B3185" i="24"/>
  <c r="B3184" i="24"/>
  <c r="B3183" i="24"/>
  <c r="B3182" i="24"/>
  <c r="B3181" i="24"/>
  <c r="B3180" i="24"/>
  <c r="B3179" i="24"/>
  <c r="B3178" i="24"/>
  <c r="B3177" i="24"/>
  <c r="B3176" i="24"/>
  <c r="B3175" i="24"/>
  <c r="B3174" i="24"/>
  <c r="B3173" i="24"/>
  <c r="B3172" i="24"/>
  <c r="B3171" i="24"/>
  <c r="B3170" i="24"/>
  <c r="B3169" i="24"/>
  <c r="B3168" i="24"/>
  <c r="B3167" i="24"/>
  <c r="B3166" i="24"/>
  <c r="B3165" i="24"/>
  <c r="B3164" i="24"/>
  <c r="B3163" i="24"/>
  <c r="B3162" i="24"/>
  <c r="B3161" i="24"/>
  <c r="B3160" i="24"/>
  <c r="B3159" i="24"/>
  <c r="B3158" i="24"/>
  <c r="B3157" i="24"/>
  <c r="B3156" i="24"/>
  <c r="B3155" i="24"/>
  <c r="B3154" i="24"/>
  <c r="B3153" i="24"/>
  <c r="B3152" i="24"/>
  <c r="B3151" i="24"/>
  <c r="B3150" i="24"/>
  <c r="B3149" i="24"/>
  <c r="B3148" i="24"/>
  <c r="B3147" i="24"/>
  <c r="B3146" i="24"/>
  <c r="B3145" i="24"/>
  <c r="B3144" i="24"/>
  <c r="B3143" i="24"/>
  <c r="B3142" i="24"/>
  <c r="B3141" i="24"/>
  <c r="B3140" i="24"/>
  <c r="B3139" i="24"/>
  <c r="B3138" i="24"/>
  <c r="B3137" i="24"/>
  <c r="B3136" i="24"/>
  <c r="B3135" i="24"/>
  <c r="B3134" i="24"/>
  <c r="B3133" i="24"/>
  <c r="B3132" i="24"/>
  <c r="B3131" i="24"/>
  <c r="B3130" i="24"/>
  <c r="B3129" i="24"/>
  <c r="B3128" i="24"/>
  <c r="B3127" i="24"/>
  <c r="B3126" i="24"/>
  <c r="B3125" i="24"/>
  <c r="B3124" i="24"/>
  <c r="B3123" i="24"/>
  <c r="B3122" i="24"/>
  <c r="B3121" i="24"/>
  <c r="B3120" i="24"/>
  <c r="B3119" i="24"/>
  <c r="B3118" i="24"/>
  <c r="B3117" i="24"/>
  <c r="B3116" i="24"/>
  <c r="B3115" i="24"/>
  <c r="B3114" i="24"/>
  <c r="B3113" i="24"/>
  <c r="B3112" i="24"/>
  <c r="B3111" i="24"/>
  <c r="B3110" i="24"/>
  <c r="B3109" i="24"/>
  <c r="B3108" i="24"/>
  <c r="B3107" i="24"/>
  <c r="B3106" i="24"/>
  <c r="B3105" i="24"/>
  <c r="B3104" i="24"/>
  <c r="B3103" i="24"/>
  <c r="B3102" i="24"/>
  <c r="B3101" i="24"/>
  <c r="B3100" i="24"/>
  <c r="B3099" i="24"/>
  <c r="B3098" i="24"/>
  <c r="B3097" i="24"/>
  <c r="B3096" i="24"/>
  <c r="B3095" i="24"/>
  <c r="B3094" i="24"/>
  <c r="B3093" i="24"/>
  <c r="B3092" i="24"/>
  <c r="B3091" i="24"/>
  <c r="B3090" i="24"/>
  <c r="B3089" i="24"/>
  <c r="B3088" i="24"/>
  <c r="B3087" i="24"/>
  <c r="B3086" i="24"/>
  <c r="B3085" i="24"/>
  <c r="B3084" i="24"/>
  <c r="B3083" i="24"/>
  <c r="B3082" i="24"/>
  <c r="B3081" i="24"/>
  <c r="B3080" i="24"/>
  <c r="B3079" i="24"/>
  <c r="B3078" i="24"/>
  <c r="B3077" i="24"/>
  <c r="B3076" i="24"/>
  <c r="B3075" i="24"/>
  <c r="B3074" i="24"/>
  <c r="B3073" i="24"/>
  <c r="B3072" i="24"/>
  <c r="B3071" i="24"/>
  <c r="B3070" i="24"/>
  <c r="B3069" i="24"/>
  <c r="B3068" i="24"/>
  <c r="B3067" i="24"/>
  <c r="B3066" i="24"/>
  <c r="B3065" i="24"/>
  <c r="B3064" i="24"/>
  <c r="B3063" i="24"/>
  <c r="B3062" i="24"/>
  <c r="B3061" i="24"/>
  <c r="B3060" i="24"/>
  <c r="B3059" i="24"/>
  <c r="B3058" i="24"/>
  <c r="B3057" i="24"/>
  <c r="B3056" i="24"/>
  <c r="B3055" i="24"/>
  <c r="B3054" i="24"/>
  <c r="B3053" i="24"/>
  <c r="B3052" i="24"/>
  <c r="B3051" i="24"/>
  <c r="B3050" i="24"/>
  <c r="B3049" i="24"/>
  <c r="B3048" i="24"/>
  <c r="B3047" i="24"/>
  <c r="B3046" i="24"/>
  <c r="B3045" i="24"/>
  <c r="B3044" i="24"/>
  <c r="B3043" i="24"/>
  <c r="B3042" i="24"/>
  <c r="B3041" i="24"/>
  <c r="B3040" i="24"/>
  <c r="B3039" i="24"/>
  <c r="B3038" i="24"/>
  <c r="B3037" i="24"/>
  <c r="B3036" i="24"/>
  <c r="B3035" i="24"/>
  <c r="B3034" i="24"/>
  <c r="B3033" i="24"/>
  <c r="B3032" i="24"/>
  <c r="B3031" i="24"/>
  <c r="B3030" i="24"/>
  <c r="B3029" i="24"/>
  <c r="B3028" i="24"/>
  <c r="B3027" i="24"/>
  <c r="B3026" i="24"/>
  <c r="B3025" i="24"/>
  <c r="B3024" i="24"/>
  <c r="B3023" i="24"/>
  <c r="B3022" i="24"/>
  <c r="B3021" i="24"/>
  <c r="B3020" i="24"/>
  <c r="B3019" i="24"/>
  <c r="B3018" i="24"/>
  <c r="B3017" i="24"/>
  <c r="B3016" i="24"/>
  <c r="B3015" i="24"/>
  <c r="B3014" i="24"/>
  <c r="B3013" i="24"/>
  <c r="B3012" i="24"/>
  <c r="B3011" i="24"/>
  <c r="B3010" i="24"/>
  <c r="B3009" i="24"/>
  <c r="B3008" i="24"/>
  <c r="B3007" i="24"/>
  <c r="B3006" i="24"/>
  <c r="B3005" i="24"/>
  <c r="B3004" i="24"/>
  <c r="B3003" i="24"/>
  <c r="B3002" i="24"/>
  <c r="B3001" i="24"/>
  <c r="B3000" i="24"/>
  <c r="B2999" i="24"/>
  <c r="B2998" i="24"/>
  <c r="B2997" i="24"/>
  <c r="B2996" i="24"/>
  <c r="B2995" i="24"/>
  <c r="B2994" i="24"/>
  <c r="B2993" i="24"/>
  <c r="B2992" i="24"/>
  <c r="B2991" i="24"/>
  <c r="B2990" i="24"/>
  <c r="B2989" i="24"/>
  <c r="B2988" i="24"/>
  <c r="B2987" i="24"/>
  <c r="B2986" i="24"/>
  <c r="B2985" i="24"/>
  <c r="B2984" i="24"/>
  <c r="B2983" i="24"/>
  <c r="B2982" i="24"/>
  <c r="B2981" i="24"/>
  <c r="B2980" i="24"/>
  <c r="B2979" i="24"/>
  <c r="B2978" i="24"/>
  <c r="B2977" i="24"/>
  <c r="B2976" i="24"/>
  <c r="B2975" i="24"/>
  <c r="B2974" i="24"/>
  <c r="B2973" i="24"/>
  <c r="B2972" i="24"/>
  <c r="B2971" i="24"/>
  <c r="B2970" i="24"/>
  <c r="B2969" i="24"/>
  <c r="B2968" i="24"/>
  <c r="B2967" i="24"/>
  <c r="B2966" i="24"/>
  <c r="B2965" i="24"/>
  <c r="B2964" i="24"/>
  <c r="B2963" i="24"/>
  <c r="B2962" i="24"/>
  <c r="B2961" i="24"/>
  <c r="B2960" i="24"/>
  <c r="B2959" i="24"/>
  <c r="B2958" i="24"/>
  <c r="B2957" i="24"/>
  <c r="B2956" i="24"/>
  <c r="B2955" i="24"/>
  <c r="B2954" i="24"/>
  <c r="B2953" i="24"/>
  <c r="B2952" i="24"/>
  <c r="B2951" i="24"/>
  <c r="B2950" i="24"/>
  <c r="B2949" i="24"/>
  <c r="B2948" i="24"/>
  <c r="B2947" i="24"/>
  <c r="B2946" i="24"/>
  <c r="B2945" i="24"/>
  <c r="B2944" i="24"/>
  <c r="B2943" i="24"/>
  <c r="B2942" i="24"/>
  <c r="B2941" i="24"/>
  <c r="B2940" i="24"/>
  <c r="B2939" i="24"/>
  <c r="B2938" i="24"/>
  <c r="B2937" i="24"/>
  <c r="B2936" i="24"/>
  <c r="B2935" i="24"/>
  <c r="B2934" i="24"/>
  <c r="B2933" i="24"/>
  <c r="B2932" i="24"/>
  <c r="B2931" i="24"/>
  <c r="B2930" i="24"/>
  <c r="B2929" i="24"/>
  <c r="B2928" i="24"/>
  <c r="B2927" i="24"/>
  <c r="B2926" i="24"/>
  <c r="B2925" i="24"/>
  <c r="B2924" i="24"/>
  <c r="B2923" i="24"/>
  <c r="B2922" i="24"/>
  <c r="B2921" i="24"/>
  <c r="B2920" i="24"/>
  <c r="B2919" i="24"/>
  <c r="B2918" i="24"/>
  <c r="B2917" i="24"/>
  <c r="B2916" i="24"/>
  <c r="B2915" i="24"/>
  <c r="B2914" i="24"/>
  <c r="B2913" i="24"/>
  <c r="B2912" i="24"/>
  <c r="B2911" i="24"/>
  <c r="B2910" i="24"/>
  <c r="B2909" i="24"/>
  <c r="B2908" i="24"/>
  <c r="B2907" i="24"/>
  <c r="B2906" i="24"/>
  <c r="B2905" i="24"/>
  <c r="B2904" i="24"/>
  <c r="B2903" i="24"/>
  <c r="B2902" i="24"/>
  <c r="B2901" i="24"/>
  <c r="B2900" i="24"/>
  <c r="B2899" i="24"/>
  <c r="B2898" i="24"/>
  <c r="B2897" i="24"/>
  <c r="B2896" i="24"/>
  <c r="B2895" i="24"/>
  <c r="B2894" i="24"/>
  <c r="B2893" i="24"/>
  <c r="B2892" i="24"/>
  <c r="B2891" i="24"/>
  <c r="B2890" i="24"/>
  <c r="B2889" i="24"/>
  <c r="B2888" i="24"/>
  <c r="B2887" i="24"/>
  <c r="B2886" i="24"/>
  <c r="B2885" i="24"/>
  <c r="B2884" i="24"/>
  <c r="B2883" i="24"/>
  <c r="B2882" i="24"/>
  <c r="B2881" i="24"/>
  <c r="B2880" i="24"/>
  <c r="B2879" i="24"/>
  <c r="B2878" i="24"/>
  <c r="B2877" i="24"/>
  <c r="B2876" i="24"/>
  <c r="B2875" i="24"/>
  <c r="B2874" i="24"/>
  <c r="B2873" i="24"/>
  <c r="B2872" i="24"/>
  <c r="B2871" i="24"/>
  <c r="B2870" i="24"/>
  <c r="B2869" i="24"/>
  <c r="B2868" i="24"/>
  <c r="B2867" i="24"/>
  <c r="B2866" i="24"/>
  <c r="B2865" i="24"/>
  <c r="B2864" i="24"/>
  <c r="B2863" i="24"/>
  <c r="B2862" i="24"/>
  <c r="B2861" i="24"/>
  <c r="B2860" i="24"/>
  <c r="B2859" i="24"/>
  <c r="B2858" i="24"/>
  <c r="B2857" i="24"/>
  <c r="B2856" i="24"/>
  <c r="B2855" i="24"/>
  <c r="B2854" i="24"/>
  <c r="B2853" i="24"/>
  <c r="B2852" i="24"/>
  <c r="B2851" i="24"/>
  <c r="B2850" i="24"/>
  <c r="B2849" i="24"/>
  <c r="B2848" i="24"/>
  <c r="B2847" i="24"/>
  <c r="B2846" i="24"/>
  <c r="B2845" i="24"/>
  <c r="B2844" i="24"/>
  <c r="B2843" i="24"/>
  <c r="B2842" i="24"/>
  <c r="B2841" i="24"/>
  <c r="B2840" i="24"/>
  <c r="B2839" i="24"/>
  <c r="B2838" i="24"/>
  <c r="B2837" i="24"/>
  <c r="B2836" i="24"/>
  <c r="B2835" i="24"/>
  <c r="B2834" i="24"/>
  <c r="B2833" i="24"/>
  <c r="B2832" i="24"/>
  <c r="B2831" i="24"/>
  <c r="B2830" i="24"/>
  <c r="B2829" i="24"/>
  <c r="B2828" i="24"/>
  <c r="B2827" i="24"/>
  <c r="B2826" i="24"/>
  <c r="B2825" i="24"/>
  <c r="B2824" i="24"/>
  <c r="B2823" i="24"/>
  <c r="B2822" i="24"/>
  <c r="B2821" i="24"/>
  <c r="B2820" i="24"/>
  <c r="B2819" i="24"/>
  <c r="B2818" i="24"/>
  <c r="B2817" i="24"/>
  <c r="B2816" i="24"/>
  <c r="B2815" i="24"/>
  <c r="B2814" i="24"/>
  <c r="B2813" i="24"/>
  <c r="B2812" i="24"/>
  <c r="B2811" i="24"/>
  <c r="B2810" i="24"/>
  <c r="B2809" i="24"/>
  <c r="B2808" i="24"/>
  <c r="B2807" i="24"/>
  <c r="B2806" i="24"/>
  <c r="B2805" i="24"/>
  <c r="B2804" i="24"/>
  <c r="B2803" i="24"/>
  <c r="B2802" i="24"/>
  <c r="B2801" i="24"/>
  <c r="B2800" i="24"/>
  <c r="B2799" i="24"/>
  <c r="B2798" i="24"/>
  <c r="B2797" i="24"/>
  <c r="B2796" i="24"/>
  <c r="B2795" i="24"/>
  <c r="B2794" i="24"/>
  <c r="B2793" i="24"/>
  <c r="B2792" i="24"/>
  <c r="B2791" i="24"/>
  <c r="B2790" i="24"/>
  <c r="B2789" i="24"/>
  <c r="B2788" i="24"/>
  <c r="B2787" i="24"/>
  <c r="B2786" i="24"/>
  <c r="B2785" i="24"/>
  <c r="B2784" i="24"/>
  <c r="B2783" i="24"/>
  <c r="B2782" i="24"/>
  <c r="B2781" i="24"/>
  <c r="B2780" i="24"/>
  <c r="B2779" i="24"/>
  <c r="B2778" i="24"/>
  <c r="B2777" i="24"/>
  <c r="B2776" i="24"/>
  <c r="B2775" i="24"/>
  <c r="B2774" i="24"/>
  <c r="B2773" i="24"/>
  <c r="B2772" i="24"/>
  <c r="B2771" i="24"/>
  <c r="B2770" i="24"/>
  <c r="B2769" i="24"/>
  <c r="B2768" i="24"/>
  <c r="B2767" i="24"/>
  <c r="B2766" i="24"/>
  <c r="B2765" i="24"/>
  <c r="B2764" i="24"/>
  <c r="B2763" i="24"/>
  <c r="B2762" i="24"/>
  <c r="B2761" i="24"/>
  <c r="B2760" i="24"/>
  <c r="B2759" i="24"/>
  <c r="B2758" i="24"/>
  <c r="B2757" i="24"/>
  <c r="B2756" i="24"/>
  <c r="B2755" i="24"/>
  <c r="B2754" i="24"/>
  <c r="B2753" i="24"/>
  <c r="B2752" i="24"/>
  <c r="B2751" i="24"/>
  <c r="B2750" i="24"/>
  <c r="B2749" i="24"/>
  <c r="B2748" i="24"/>
  <c r="B2747" i="24"/>
  <c r="B2746" i="24"/>
  <c r="B2745" i="24"/>
  <c r="B2744" i="24"/>
  <c r="B2743" i="24"/>
  <c r="B2742" i="24"/>
  <c r="B2741" i="24"/>
  <c r="B2740" i="24"/>
  <c r="B2739" i="24"/>
  <c r="B2738" i="24"/>
  <c r="B2737" i="24"/>
  <c r="B2736" i="24"/>
  <c r="B2735" i="24"/>
  <c r="B2734" i="24"/>
  <c r="B2733" i="24"/>
  <c r="B2732" i="24"/>
  <c r="B2731" i="24"/>
  <c r="B2730" i="24"/>
  <c r="B2729" i="24"/>
  <c r="B2728" i="24"/>
  <c r="B2727" i="24"/>
  <c r="B2726" i="24"/>
  <c r="B2725" i="24"/>
  <c r="B2724" i="24"/>
  <c r="B2723" i="24"/>
  <c r="B2722" i="24"/>
  <c r="B2721" i="24"/>
  <c r="B2720" i="24"/>
  <c r="B2719" i="24"/>
  <c r="B2718" i="24"/>
  <c r="B2717" i="24"/>
  <c r="B2716" i="24"/>
  <c r="B2715" i="24"/>
  <c r="B2714" i="24"/>
  <c r="B2713" i="24"/>
  <c r="B2712" i="24"/>
  <c r="B2711" i="24"/>
  <c r="B2710" i="24"/>
  <c r="B2709" i="24"/>
  <c r="B2708" i="24"/>
  <c r="B2707" i="24"/>
  <c r="B2706" i="24"/>
  <c r="B2705" i="24"/>
  <c r="B2704" i="24"/>
  <c r="B2703" i="24"/>
  <c r="B2702" i="24"/>
  <c r="B2701" i="24"/>
  <c r="B2700" i="24"/>
  <c r="B2699" i="24"/>
  <c r="B2698" i="24"/>
  <c r="B2697" i="24"/>
  <c r="B2696" i="24"/>
  <c r="B2695" i="24"/>
  <c r="B2694" i="24"/>
  <c r="B2693" i="24"/>
  <c r="B2692" i="24"/>
  <c r="B2691" i="24"/>
  <c r="B2690" i="24"/>
  <c r="B2689" i="24"/>
  <c r="B2688" i="24"/>
  <c r="B2687" i="24"/>
  <c r="B2686" i="24"/>
  <c r="B2685" i="24"/>
  <c r="B2684" i="24"/>
  <c r="B2683" i="24"/>
  <c r="B2682" i="24"/>
  <c r="B2681" i="24"/>
  <c r="B2680" i="24"/>
  <c r="B2679" i="24"/>
  <c r="B2678" i="24"/>
  <c r="B2677" i="24"/>
  <c r="B2676" i="24"/>
  <c r="B2675" i="24"/>
  <c r="B2674" i="24"/>
  <c r="B2673" i="24"/>
  <c r="B2672" i="24"/>
  <c r="B2671" i="24"/>
  <c r="B2670" i="24"/>
  <c r="B2669" i="24"/>
  <c r="B2668" i="24"/>
  <c r="B2667" i="24"/>
  <c r="B2666" i="24"/>
  <c r="B2665" i="24"/>
  <c r="B2664" i="24"/>
  <c r="B2663" i="24"/>
  <c r="B2662" i="24"/>
  <c r="B2661" i="24"/>
  <c r="B2660" i="24"/>
  <c r="B2659" i="24"/>
  <c r="B2658" i="24"/>
  <c r="B2657" i="24"/>
  <c r="B2656" i="24"/>
  <c r="B2655" i="24"/>
  <c r="B2654" i="24"/>
  <c r="B2653" i="24"/>
  <c r="B2652" i="24"/>
  <c r="B2651" i="24"/>
  <c r="B2650" i="24"/>
  <c r="B2649" i="24"/>
  <c r="B2648" i="24"/>
  <c r="B2647" i="24"/>
  <c r="B2646" i="24"/>
  <c r="B2645" i="24"/>
  <c r="B2644" i="24"/>
  <c r="B2643" i="24"/>
  <c r="B2642" i="24"/>
  <c r="B2641" i="24"/>
  <c r="B2640" i="24"/>
  <c r="B2639" i="24"/>
  <c r="B2638" i="24"/>
  <c r="B2637" i="24"/>
  <c r="B2636" i="24"/>
  <c r="B2635" i="24"/>
  <c r="B2634" i="24"/>
  <c r="B2633" i="24"/>
  <c r="B2632" i="24"/>
  <c r="B2631" i="24"/>
  <c r="B2630" i="24"/>
  <c r="B2629" i="24"/>
  <c r="B2628" i="24"/>
  <c r="B2627" i="24"/>
  <c r="B2626" i="24"/>
  <c r="B2625" i="24"/>
  <c r="B2624" i="24"/>
  <c r="B2623" i="24"/>
  <c r="B2622" i="24"/>
  <c r="B2621" i="24"/>
  <c r="B2620" i="24"/>
  <c r="B2619" i="24"/>
  <c r="B2618" i="24"/>
  <c r="B2617" i="24"/>
  <c r="B2616" i="24"/>
  <c r="B2615" i="24"/>
  <c r="B2614" i="24"/>
  <c r="B2613" i="24"/>
  <c r="B2612" i="24"/>
  <c r="B2611" i="24"/>
  <c r="B2610" i="24"/>
  <c r="B2609" i="24"/>
  <c r="B2608" i="24"/>
  <c r="B2607" i="24"/>
  <c r="B2606" i="24"/>
  <c r="B2605" i="24"/>
  <c r="B2604" i="24"/>
  <c r="B2603" i="24"/>
  <c r="B2602" i="24"/>
  <c r="B2601" i="24"/>
  <c r="B2600" i="24"/>
  <c r="B2599" i="24"/>
  <c r="B2598" i="24"/>
  <c r="B2597" i="24"/>
  <c r="B2596" i="24"/>
  <c r="B2595" i="24"/>
  <c r="B2594" i="24"/>
  <c r="B2593" i="24"/>
  <c r="B2592" i="24"/>
  <c r="B2591" i="24"/>
  <c r="B2590" i="24"/>
  <c r="B2589" i="24"/>
  <c r="B2588" i="24"/>
  <c r="B2587" i="24"/>
  <c r="B2586" i="24"/>
  <c r="B2585" i="24"/>
  <c r="B2584" i="24"/>
  <c r="B2583" i="24"/>
  <c r="B2582" i="24"/>
  <c r="B2581" i="24"/>
  <c r="B2580" i="24"/>
  <c r="B2579" i="24"/>
  <c r="B2578" i="24"/>
  <c r="B2577" i="24"/>
  <c r="B2576" i="24"/>
  <c r="B2575" i="24"/>
  <c r="B2574" i="24"/>
  <c r="B2573" i="24"/>
  <c r="B2572" i="24"/>
  <c r="B2571" i="24"/>
  <c r="B2570" i="24"/>
  <c r="B2569" i="24"/>
  <c r="B2568" i="24"/>
  <c r="B2567" i="24"/>
  <c r="B2566" i="24"/>
  <c r="B2565" i="24"/>
  <c r="B2564" i="24"/>
  <c r="B2563" i="24"/>
  <c r="B2562" i="24"/>
  <c r="B2561" i="24"/>
  <c r="B2560" i="24"/>
  <c r="B2559" i="24"/>
  <c r="B2558" i="24"/>
  <c r="B2557" i="24"/>
  <c r="B2556" i="24"/>
  <c r="B2555" i="24"/>
  <c r="B2554" i="24"/>
  <c r="B2553" i="24"/>
  <c r="B2552" i="24"/>
  <c r="B2551" i="24"/>
  <c r="B2550" i="24"/>
  <c r="B2549" i="24"/>
  <c r="B2548" i="24"/>
  <c r="B2547" i="24"/>
  <c r="B2546" i="24"/>
  <c r="B2545" i="24"/>
  <c r="B2544" i="24"/>
  <c r="B2543" i="24"/>
  <c r="B2542" i="24"/>
  <c r="B2541" i="24"/>
  <c r="B2540" i="24"/>
  <c r="B2539" i="24"/>
  <c r="B2538" i="24"/>
  <c r="B2537" i="24"/>
  <c r="B2536" i="24"/>
  <c r="B2535" i="24"/>
  <c r="B2534" i="24"/>
  <c r="B2533" i="24"/>
  <c r="B2532" i="24"/>
  <c r="B2531" i="24"/>
  <c r="B2530" i="24"/>
  <c r="B2529" i="24"/>
  <c r="B2528" i="24"/>
  <c r="B2527" i="24"/>
  <c r="B2526" i="24"/>
  <c r="B2525" i="24"/>
  <c r="B2524" i="24"/>
  <c r="B2523" i="24"/>
  <c r="B2522" i="24"/>
  <c r="B2521" i="24"/>
  <c r="B2520" i="24"/>
  <c r="B2519" i="24"/>
  <c r="B2518" i="24"/>
  <c r="B2517" i="24"/>
  <c r="B2516" i="24"/>
  <c r="B2515" i="24"/>
  <c r="B2514" i="24"/>
  <c r="B2513" i="24"/>
  <c r="B2512" i="24"/>
  <c r="B2511" i="24"/>
  <c r="B2510" i="24"/>
  <c r="B2509" i="24"/>
  <c r="B2508" i="24"/>
  <c r="B2507" i="24"/>
  <c r="B2506" i="24"/>
  <c r="B2505" i="24"/>
  <c r="B2504" i="24"/>
  <c r="B2503" i="24"/>
  <c r="B2502" i="24"/>
  <c r="B2501" i="24"/>
  <c r="B2500" i="24"/>
  <c r="B2499" i="24"/>
  <c r="B2498" i="24"/>
  <c r="B2497" i="24"/>
  <c r="B2496" i="24"/>
  <c r="B2495" i="24"/>
  <c r="B2494" i="24"/>
  <c r="B2493" i="24"/>
  <c r="B2492" i="24"/>
  <c r="B2491" i="24"/>
  <c r="B2490" i="24"/>
  <c r="B2489" i="24"/>
  <c r="B2488" i="24"/>
  <c r="B2487" i="24"/>
  <c r="B2486" i="24"/>
  <c r="B2485" i="24"/>
  <c r="B2484" i="24"/>
  <c r="B2483" i="24"/>
  <c r="B2482" i="24"/>
  <c r="B2481" i="24"/>
  <c r="B2480" i="24"/>
  <c r="B2479" i="24"/>
  <c r="B2478" i="24"/>
  <c r="B2477" i="24"/>
  <c r="B2476" i="24"/>
  <c r="B2475" i="24"/>
  <c r="B2474" i="24"/>
  <c r="B2473" i="24"/>
  <c r="B2472" i="24"/>
  <c r="B2471" i="24"/>
  <c r="B2470" i="24"/>
  <c r="B2469" i="24"/>
  <c r="B2468" i="24"/>
  <c r="B2467" i="24"/>
  <c r="B2466" i="24"/>
  <c r="B2465" i="24"/>
  <c r="B2464" i="24"/>
  <c r="B2463" i="24"/>
  <c r="B2462" i="24"/>
  <c r="B2461" i="24"/>
  <c r="B2460" i="24"/>
  <c r="B2459" i="24"/>
  <c r="B2458" i="24"/>
  <c r="B2457" i="24"/>
  <c r="B2456" i="24"/>
  <c r="B2455" i="24"/>
  <c r="B2454" i="24"/>
  <c r="B2453" i="24"/>
  <c r="B2452" i="24"/>
  <c r="B2451" i="24"/>
  <c r="B2450" i="24"/>
  <c r="B2449" i="24"/>
  <c r="B2448" i="24"/>
  <c r="B2447" i="24"/>
  <c r="B2446" i="24"/>
  <c r="B2445" i="24"/>
  <c r="B2444" i="24"/>
  <c r="B2443" i="24"/>
  <c r="B2442" i="24"/>
  <c r="B2441" i="24"/>
  <c r="B2440" i="24"/>
  <c r="B2439" i="24"/>
  <c r="B2438" i="24"/>
  <c r="B2437" i="24"/>
  <c r="B2436" i="24"/>
  <c r="B2435" i="24"/>
  <c r="B2434" i="24"/>
  <c r="B2433" i="24"/>
  <c r="B2432" i="24"/>
  <c r="B2431" i="24"/>
  <c r="B2430" i="24"/>
  <c r="B2429" i="24"/>
  <c r="B2428" i="24"/>
  <c r="B2427" i="24"/>
  <c r="B2426" i="24"/>
  <c r="B2425" i="24"/>
  <c r="B2424" i="24"/>
  <c r="B2423" i="24"/>
  <c r="B2422" i="24"/>
  <c r="B2421" i="24"/>
  <c r="B2420" i="24"/>
  <c r="B2419" i="24"/>
  <c r="B2418" i="24"/>
  <c r="B2417" i="24"/>
  <c r="B2416" i="24"/>
  <c r="B2415" i="24"/>
  <c r="B2414" i="24"/>
  <c r="B2413" i="24"/>
  <c r="B2412" i="24"/>
  <c r="B2411" i="24"/>
  <c r="B2410" i="24"/>
  <c r="B2409" i="24"/>
  <c r="B2408" i="24"/>
  <c r="B2407" i="24"/>
  <c r="B2406" i="24"/>
  <c r="B2405" i="24"/>
  <c r="B2404" i="24"/>
  <c r="B2403" i="24"/>
  <c r="B2402" i="24"/>
  <c r="B2401" i="24"/>
  <c r="B2400" i="24"/>
  <c r="B2399" i="24"/>
  <c r="B2398" i="24"/>
  <c r="B2397" i="24"/>
  <c r="B2396" i="24"/>
  <c r="B2395" i="24"/>
  <c r="B2394" i="24"/>
  <c r="B2393" i="24"/>
  <c r="B2392" i="24"/>
  <c r="B2391" i="24"/>
  <c r="B2390" i="24"/>
  <c r="B2389" i="24"/>
  <c r="B2388" i="24"/>
  <c r="B2387" i="24"/>
  <c r="B2386" i="24"/>
  <c r="B2385" i="24"/>
  <c r="B2384" i="24"/>
  <c r="B2383" i="24"/>
  <c r="B2382" i="24"/>
  <c r="B2381" i="24"/>
  <c r="B2380" i="24"/>
  <c r="B2379" i="24"/>
  <c r="B2378" i="24"/>
  <c r="B2377" i="24"/>
  <c r="B2376" i="24"/>
  <c r="B2375" i="24"/>
  <c r="B2374" i="24"/>
  <c r="B2373" i="24"/>
  <c r="B2372" i="24"/>
  <c r="B2371" i="24"/>
  <c r="B2370" i="24"/>
  <c r="B2369" i="24"/>
  <c r="B2368" i="24"/>
  <c r="B2367" i="24"/>
  <c r="B2366" i="24"/>
  <c r="B2365" i="24"/>
  <c r="B2364" i="24"/>
  <c r="B2363" i="24"/>
  <c r="B2362" i="24"/>
  <c r="B2361" i="24"/>
  <c r="B2360" i="24"/>
  <c r="B2359" i="24"/>
  <c r="B2358" i="24"/>
  <c r="B2357" i="24"/>
  <c r="B2356" i="24"/>
  <c r="B2355" i="24"/>
  <c r="B2354" i="24"/>
  <c r="B2353" i="24"/>
  <c r="B2352" i="24"/>
  <c r="B2351" i="24"/>
  <c r="B2350" i="24"/>
  <c r="B2349" i="24"/>
  <c r="B2348" i="24"/>
  <c r="B2347" i="24"/>
  <c r="B2346" i="24"/>
  <c r="B2345" i="24"/>
  <c r="B2344" i="24"/>
  <c r="B2343" i="24"/>
  <c r="B2342" i="24"/>
  <c r="B2341" i="24"/>
  <c r="B2340" i="24"/>
  <c r="B2339" i="24"/>
  <c r="B2338" i="24"/>
  <c r="B2337" i="24"/>
  <c r="B2336" i="24"/>
  <c r="B2335" i="24"/>
  <c r="B2334" i="24"/>
  <c r="B2333" i="24"/>
  <c r="B2332" i="24"/>
  <c r="B2331" i="24"/>
  <c r="B2330" i="24"/>
  <c r="B2329" i="24"/>
  <c r="B2328" i="24"/>
  <c r="B2327" i="24"/>
  <c r="B2326" i="24"/>
  <c r="B2325" i="24"/>
  <c r="B2324" i="24"/>
  <c r="B2323" i="24"/>
  <c r="B2322" i="24"/>
  <c r="B2321" i="24"/>
  <c r="B2320" i="24"/>
  <c r="B2319" i="24"/>
  <c r="B2318" i="24"/>
  <c r="B2317" i="24"/>
  <c r="B2316" i="24"/>
  <c r="B2315" i="24"/>
  <c r="B2314" i="24"/>
  <c r="B2313" i="24"/>
  <c r="B2312" i="24"/>
  <c r="B2311" i="24"/>
  <c r="B2310" i="24"/>
  <c r="B2309" i="24"/>
  <c r="B2308" i="24"/>
  <c r="B2307" i="24"/>
  <c r="B2306" i="24"/>
  <c r="B2305" i="24"/>
  <c r="B2304" i="24"/>
  <c r="B2303" i="24"/>
  <c r="B2302" i="24"/>
  <c r="B2301" i="24"/>
  <c r="B2300" i="24"/>
  <c r="B2299" i="24"/>
  <c r="B2298" i="24"/>
  <c r="B2297" i="24"/>
  <c r="B2296" i="24"/>
  <c r="B2295" i="24"/>
  <c r="B2294" i="24"/>
  <c r="B2293" i="24"/>
  <c r="B2292" i="24"/>
  <c r="B2291" i="24"/>
  <c r="B2290" i="24"/>
  <c r="B2289" i="24"/>
  <c r="B2288" i="24"/>
  <c r="B2287" i="24"/>
  <c r="B2286" i="24"/>
  <c r="B2285" i="24"/>
  <c r="B2284" i="24"/>
  <c r="B2283" i="24"/>
  <c r="B2282" i="24"/>
  <c r="B2281" i="24"/>
  <c r="B2280" i="24"/>
  <c r="B2279" i="24"/>
  <c r="B2278" i="24"/>
  <c r="B2277" i="24"/>
  <c r="B2276" i="24"/>
  <c r="B2275" i="24"/>
  <c r="B2274" i="24"/>
  <c r="B2273" i="24"/>
  <c r="B2272" i="24"/>
  <c r="B2271" i="24"/>
  <c r="B2270" i="24"/>
  <c r="B2269" i="24"/>
  <c r="B2268" i="24"/>
  <c r="B2267" i="24"/>
  <c r="B2266" i="24"/>
  <c r="B2265" i="24"/>
  <c r="B2264" i="24"/>
  <c r="B2263" i="24"/>
  <c r="B2262" i="24"/>
  <c r="B2261" i="24"/>
  <c r="B2260" i="24"/>
  <c r="B2259" i="24"/>
  <c r="B2258" i="24"/>
  <c r="B2257" i="24"/>
  <c r="B2256" i="24"/>
  <c r="B2255" i="24"/>
  <c r="B2254" i="24"/>
  <c r="B2253" i="24"/>
  <c r="B2252" i="24"/>
  <c r="B2251" i="24"/>
  <c r="B2250" i="24"/>
  <c r="B2249" i="24"/>
  <c r="B2248" i="24"/>
  <c r="B2247" i="24"/>
  <c r="B2246" i="24"/>
  <c r="B2245" i="24"/>
  <c r="B2244" i="24"/>
  <c r="B2243" i="24"/>
  <c r="B2242" i="24"/>
  <c r="B2241" i="24"/>
  <c r="B2240" i="24"/>
  <c r="B2239" i="24"/>
  <c r="B2238" i="24"/>
  <c r="B2237" i="24"/>
  <c r="B2236" i="24"/>
  <c r="B2235" i="24"/>
  <c r="B2234" i="24"/>
  <c r="B2233" i="24"/>
  <c r="B2232" i="24"/>
  <c r="B2231" i="24"/>
  <c r="B2230" i="24"/>
  <c r="B2229" i="24"/>
  <c r="B2228" i="24"/>
  <c r="B2227" i="24"/>
  <c r="B2226" i="24"/>
  <c r="B2225" i="24"/>
  <c r="B2224" i="24"/>
  <c r="B2223" i="24"/>
  <c r="B2222" i="24"/>
  <c r="B2221" i="24"/>
  <c r="B2220" i="24"/>
  <c r="B2219" i="24"/>
  <c r="B2218" i="24"/>
  <c r="B2217" i="24"/>
  <c r="B2216" i="24"/>
  <c r="B2215" i="24"/>
  <c r="B2214" i="24"/>
  <c r="B2213" i="24"/>
  <c r="B2212" i="24"/>
  <c r="B2211" i="24"/>
  <c r="B2210" i="24"/>
  <c r="B2209" i="24"/>
  <c r="B2208" i="24"/>
  <c r="B2207" i="24"/>
  <c r="B2206" i="24"/>
  <c r="B2205" i="24"/>
  <c r="B2204" i="24"/>
  <c r="B2203" i="24"/>
  <c r="B2202" i="24"/>
  <c r="B2201" i="24"/>
  <c r="B2200" i="24"/>
  <c r="B2199" i="24"/>
  <c r="B2198" i="24"/>
  <c r="B2197" i="24"/>
  <c r="B2196" i="24"/>
  <c r="B2195" i="24"/>
  <c r="B2194" i="24"/>
  <c r="B2193" i="24"/>
  <c r="B2192" i="24"/>
  <c r="B2191" i="24"/>
  <c r="B2190" i="24"/>
  <c r="B2189" i="24"/>
  <c r="B2188" i="24"/>
  <c r="B2187" i="24"/>
  <c r="B2186" i="24"/>
  <c r="B2185" i="24"/>
  <c r="B2184" i="24"/>
  <c r="B2183" i="24"/>
  <c r="B2182" i="24"/>
  <c r="B2181" i="24"/>
  <c r="B2180" i="24"/>
  <c r="B2179" i="24"/>
  <c r="B2178" i="24"/>
  <c r="B2177" i="24"/>
  <c r="B2176" i="24"/>
  <c r="B2175" i="24"/>
  <c r="B2174" i="24"/>
  <c r="B2173" i="24"/>
  <c r="B2172" i="24"/>
  <c r="B2171" i="24"/>
  <c r="B2170" i="24"/>
  <c r="B2169" i="24"/>
  <c r="B2168" i="24"/>
  <c r="B2167" i="24"/>
  <c r="B2166" i="24"/>
  <c r="B2165" i="24"/>
  <c r="B2164" i="24"/>
  <c r="B2163" i="24"/>
  <c r="B2162" i="24"/>
  <c r="B2161" i="24"/>
  <c r="B2160" i="24"/>
  <c r="B2159" i="24"/>
  <c r="B2158" i="24"/>
  <c r="B2157" i="24"/>
  <c r="B2156" i="24"/>
  <c r="B2155" i="24"/>
  <c r="B2154" i="24"/>
  <c r="B2153" i="24"/>
  <c r="B2152" i="24"/>
  <c r="B2151" i="24"/>
  <c r="B2150" i="24"/>
  <c r="B2149" i="24"/>
  <c r="B2148" i="24"/>
  <c r="B2147" i="24"/>
  <c r="B2146" i="24"/>
  <c r="B2145" i="24"/>
  <c r="B2144" i="24"/>
  <c r="B2143" i="24"/>
  <c r="B2142" i="24"/>
  <c r="B2141" i="24"/>
  <c r="B2140" i="24"/>
  <c r="B2139" i="24"/>
  <c r="B2138" i="24"/>
  <c r="B2137" i="24"/>
  <c r="B2136" i="24"/>
  <c r="B2135" i="24"/>
  <c r="B2134" i="24"/>
  <c r="B2133" i="24"/>
  <c r="B2132" i="24"/>
  <c r="B2131" i="24"/>
  <c r="B2130" i="24"/>
  <c r="B2129" i="24"/>
  <c r="B2128" i="24"/>
  <c r="B2127" i="24"/>
  <c r="B2126" i="24"/>
  <c r="B2125" i="24"/>
  <c r="B2124" i="24"/>
  <c r="B2123" i="24"/>
  <c r="B2122" i="24"/>
  <c r="B2121" i="24"/>
  <c r="B2120" i="24"/>
  <c r="B2119" i="24"/>
  <c r="B2118" i="24"/>
  <c r="B2117" i="24"/>
  <c r="B2116" i="24"/>
  <c r="B2115" i="24"/>
  <c r="B2114" i="24"/>
  <c r="B2113" i="24"/>
  <c r="B2112" i="24"/>
  <c r="B2111" i="24"/>
  <c r="B2110" i="24"/>
  <c r="B2109" i="24"/>
  <c r="B2108" i="24"/>
  <c r="B2107" i="24"/>
  <c r="B2106" i="24"/>
  <c r="B2105" i="24"/>
  <c r="B2104" i="24"/>
  <c r="B2103" i="24"/>
  <c r="B2102" i="24"/>
  <c r="B2101" i="24"/>
  <c r="B2100" i="24"/>
  <c r="B2099" i="24"/>
  <c r="B2098" i="24"/>
  <c r="B2097" i="24"/>
  <c r="B2096" i="24"/>
  <c r="B2095" i="24"/>
  <c r="B2094" i="24"/>
  <c r="B2093" i="24"/>
  <c r="B2092" i="24"/>
  <c r="B2091" i="24"/>
  <c r="B2090" i="24"/>
  <c r="B2089" i="24"/>
  <c r="B2088" i="24"/>
  <c r="B2087" i="24"/>
  <c r="B2086" i="24"/>
  <c r="B2085" i="24"/>
  <c r="B2084" i="24"/>
  <c r="B2083" i="24"/>
  <c r="B2082" i="24"/>
  <c r="B2081" i="24"/>
  <c r="B2080" i="24"/>
  <c r="B2079" i="24"/>
  <c r="B2078" i="24"/>
  <c r="B2077" i="24"/>
  <c r="B2076" i="24"/>
  <c r="B2075" i="24"/>
  <c r="B2074" i="24"/>
  <c r="B2073" i="24"/>
  <c r="B2072" i="24"/>
  <c r="B2071" i="24"/>
  <c r="B2070" i="24"/>
  <c r="B2069" i="24"/>
  <c r="B2068" i="24"/>
  <c r="B2067" i="24"/>
  <c r="B2066" i="24"/>
  <c r="B2065" i="24"/>
  <c r="B2064" i="24"/>
  <c r="B2063" i="24"/>
  <c r="B2062" i="24"/>
  <c r="B2061" i="24"/>
  <c r="B2060" i="24"/>
  <c r="B2059" i="24"/>
  <c r="B2058" i="24"/>
  <c r="B2057" i="24"/>
  <c r="B2056" i="24"/>
  <c r="B2055" i="24"/>
  <c r="B2054" i="24"/>
  <c r="B2053" i="24"/>
  <c r="B2052" i="24"/>
  <c r="B2051" i="24"/>
  <c r="B2050" i="24"/>
  <c r="B2049" i="24"/>
  <c r="B2048" i="24"/>
  <c r="B2047" i="24"/>
  <c r="B2046" i="24"/>
  <c r="B2045" i="24"/>
  <c r="B2044" i="24"/>
  <c r="B2043" i="24"/>
  <c r="B2042" i="24"/>
  <c r="B2041" i="24"/>
  <c r="B2040" i="24"/>
  <c r="B2039" i="24"/>
  <c r="B2038" i="24"/>
  <c r="B2037" i="24"/>
  <c r="B2036" i="24"/>
  <c r="B2035" i="24"/>
  <c r="B2034" i="24"/>
  <c r="B2033" i="24"/>
  <c r="B2032" i="24"/>
  <c r="B2031" i="24"/>
  <c r="B2030" i="24"/>
  <c r="B2029" i="24"/>
  <c r="B2028" i="24"/>
  <c r="B2027" i="24"/>
  <c r="B2026" i="24"/>
  <c r="B2025" i="24"/>
  <c r="B2024" i="24"/>
  <c r="B2023" i="24"/>
  <c r="B2022" i="24"/>
  <c r="B2021" i="24"/>
  <c r="B2020" i="24"/>
  <c r="B2019" i="24"/>
  <c r="B2018" i="24"/>
  <c r="B2017" i="24"/>
  <c r="B2016" i="24"/>
  <c r="B2015" i="24"/>
  <c r="B2014" i="24"/>
  <c r="B2013" i="24"/>
  <c r="B2012" i="24"/>
  <c r="B2011" i="24"/>
  <c r="B2010" i="24"/>
  <c r="B2009" i="24"/>
  <c r="B2008" i="24"/>
  <c r="B2007" i="24"/>
  <c r="B2006" i="24"/>
  <c r="B2005" i="24"/>
  <c r="B2004" i="24"/>
  <c r="B2003" i="24"/>
  <c r="B2002" i="24"/>
  <c r="B2001" i="24"/>
  <c r="B2000" i="24"/>
  <c r="B1999" i="24"/>
  <c r="B1998" i="24"/>
  <c r="B1997" i="24"/>
  <c r="B1996" i="24"/>
  <c r="B1995" i="24"/>
  <c r="B1994" i="24"/>
  <c r="B1993" i="24"/>
  <c r="B1992" i="24"/>
  <c r="B1991" i="24"/>
  <c r="B1990" i="24"/>
  <c r="B1989" i="24"/>
  <c r="B1988" i="24"/>
  <c r="B1987" i="24"/>
  <c r="B1986" i="24"/>
  <c r="B1985" i="24"/>
  <c r="B1984" i="24"/>
  <c r="B1983" i="24"/>
  <c r="B1982" i="24"/>
  <c r="B1981" i="24"/>
  <c r="B1980" i="24"/>
  <c r="B1979" i="24"/>
  <c r="B1978" i="24"/>
  <c r="B1977" i="24"/>
  <c r="B1976" i="24"/>
  <c r="B1975" i="24"/>
  <c r="B1974" i="24"/>
  <c r="B1973" i="24"/>
  <c r="B1972" i="24"/>
  <c r="B1971" i="24"/>
  <c r="B1970" i="24"/>
  <c r="B1969" i="24"/>
  <c r="B1968" i="24"/>
  <c r="B1967" i="24"/>
  <c r="B1966" i="24"/>
  <c r="B1965" i="24"/>
  <c r="B1964" i="24"/>
  <c r="B1963" i="24"/>
  <c r="B1962" i="24"/>
  <c r="B1961" i="24"/>
  <c r="B1960" i="24"/>
  <c r="B1959" i="24"/>
  <c r="B1958" i="24"/>
  <c r="B1957" i="24"/>
  <c r="B1956" i="24"/>
  <c r="B1955" i="24"/>
  <c r="B1954" i="24"/>
  <c r="B1953" i="24"/>
  <c r="B1952" i="24"/>
  <c r="B1951" i="24"/>
  <c r="B1950" i="24"/>
  <c r="B1949" i="24"/>
  <c r="B1948" i="24"/>
  <c r="B1947" i="24"/>
  <c r="B1946" i="24"/>
  <c r="B1945" i="24"/>
  <c r="B1944" i="24"/>
  <c r="B1943" i="24"/>
  <c r="B1942" i="24"/>
  <c r="B1941" i="24"/>
  <c r="B1940" i="24"/>
  <c r="B1939" i="24"/>
  <c r="B1938" i="24"/>
  <c r="B1937" i="24"/>
  <c r="B1936" i="24"/>
  <c r="B1935" i="24"/>
  <c r="B1934" i="24"/>
  <c r="B1933" i="24"/>
  <c r="B1932" i="24"/>
  <c r="B1931" i="24"/>
  <c r="B1930" i="24"/>
  <c r="B1929" i="24"/>
  <c r="B1928" i="24"/>
  <c r="B1927" i="24"/>
  <c r="B1926" i="24"/>
  <c r="B1925" i="24"/>
  <c r="B1924" i="24"/>
  <c r="B1923" i="24"/>
  <c r="B1922" i="24"/>
  <c r="B1921" i="24"/>
  <c r="B1920" i="24"/>
  <c r="B1919" i="24"/>
  <c r="B1918" i="24"/>
  <c r="B1917" i="24"/>
  <c r="B1916" i="24"/>
  <c r="B1915" i="24"/>
  <c r="B1914" i="24"/>
  <c r="B1913" i="24"/>
  <c r="B1912" i="24"/>
  <c r="B1911" i="24"/>
  <c r="B1910" i="24"/>
  <c r="B1909" i="24"/>
  <c r="B1908" i="24"/>
  <c r="B1907" i="24"/>
  <c r="B1906" i="24"/>
  <c r="B1905" i="24"/>
  <c r="B1904" i="24"/>
  <c r="B1903" i="24"/>
  <c r="B1902" i="24"/>
  <c r="B1901" i="24"/>
  <c r="B1900" i="24"/>
  <c r="B1899" i="24"/>
  <c r="B1898" i="24"/>
  <c r="B1897" i="24"/>
  <c r="B1896" i="24"/>
  <c r="B1895" i="24"/>
  <c r="B1894" i="24"/>
  <c r="B1893" i="24"/>
  <c r="B1892" i="24"/>
  <c r="B1891" i="24"/>
  <c r="B1890" i="24"/>
  <c r="B1889" i="24"/>
  <c r="B1888" i="24"/>
  <c r="B1887" i="24"/>
  <c r="B1886" i="24"/>
  <c r="B1885" i="24"/>
  <c r="B1884" i="24"/>
  <c r="B1883" i="24"/>
  <c r="B1882" i="24"/>
  <c r="B1881" i="24"/>
  <c r="B1880" i="24"/>
  <c r="B1879" i="24"/>
  <c r="B1878" i="24"/>
  <c r="B1877" i="24"/>
  <c r="B1876" i="24"/>
  <c r="B1875" i="24"/>
  <c r="B1874" i="24"/>
  <c r="B1873" i="24"/>
  <c r="B1872" i="24"/>
  <c r="B1871" i="24"/>
  <c r="B1870" i="24"/>
  <c r="B1869" i="24"/>
  <c r="B1868" i="24"/>
  <c r="B1867" i="24"/>
  <c r="B1866" i="24"/>
  <c r="B1865" i="24"/>
  <c r="B1864" i="24"/>
  <c r="B1863" i="24"/>
  <c r="B1862" i="24"/>
  <c r="B1861" i="24"/>
  <c r="B1860" i="24"/>
  <c r="B1859" i="24"/>
  <c r="B1858" i="24"/>
  <c r="B1857" i="24"/>
  <c r="B1856" i="24"/>
  <c r="B1855" i="24"/>
  <c r="B1854" i="24"/>
  <c r="B1853" i="24"/>
  <c r="B1852" i="24"/>
  <c r="B1851" i="24"/>
  <c r="B1850" i="24"/>
  <c r="B1849" i="24"/>
  <c r="B1848" i="24"/>
  <c r="B1847" i="24"/>
  <c r="B1846" i="24"/>
  <c r="B1845" i="24"/>
  <c r="B1844" i="24"/>
  <c r="B1843" i="24"/>
  <c r="B1842" i="24"/>
  <c r="B1841" i="24"/>
  <c r="B1840" i="24"/>
  <c r="B1839" i="24"/>
  <c r="B1838" i="24"/>
  <c r="B1837" i="24"/>
  <c r="B1836" i="24"/>
  <c r="B1835" i="24"/>
  <c r="B1834" i="24"/>
  <c r="B1833" i="24"/>
  <c r="B1832" i="24"/>
  <c r="B1831" i="24"/>
  <c r="B1830" i="24"/>
  <c r="B1829" i="24"/>
  <c r="B1828" i="24"/>
  <c r="B1827" i="24"/>
  <c r="B1826" i="24"/>
  <c r="B1825" i="24"/>
  <c r="B1824" i="24"/>
  <c r="B1823" i="24"/>
  <c r="B1822" i="24"/>
  <c r="B1821" i="24"/>
  <c r="B1820" i="24"/>
  <c r="B1819" i="24"/>
  <c r="B1818" i="24"/>
  <c r="B1817" i="24"/>
  <c r="B1816" i="24"/>
  <c r="B1815" i="24"/>
  <c r="B1814" i="24"/>
  <c r="B1813" i="24"/>
  <c r="B1812" i="24"/>
  <c r="B1811" i="24"/>
  <c r="B1810" i="24"/>
  <c r="B1809" i="24"/>
  <c r="B1808" i="24"/>
  <c r="B1807" i="24"/>
  <c r="B1806" i="24"/>
  <c r="B1805" i="24"/>
  <c r="B1804" i="24"/>
  <c r="B1803" i="24"/>
  <c r="B1802" i="24"/>
  <c r="B1801" i="24"/>
  <c r="B1800" i="24"/>
  <c r="B1799" i="24"/>
  <c r="B1798" i="24"/>
  <c r="B1797" i="24"/>
  <c r="B1796" i="24"/>
  <c r="B1795" i="24"/>
  <c r="B1794" i="24"/>
  <c r="B1793" i="24"/>
  <c r="B1792" i="24"/>
  <c r="B1791" i="24"/>
  <c r="B1790" i="24"/>
  <c r="B1789" i="24"/>
  <c r="B1788" i="24"/>
  <c r="B1787" i="24"/>
  <c r="B1786" i="24"/>
  <c r="B1785" i="24"/>
  <c r="B1784" i="24"/>
  <c r="B1783" i="24"/>
  <c r="B1782" i="24"/>
  <c r="B1781" i="24"/>
  <c r="B1780" i="24"/>
  <c r="B1779" i="24"/>
  <c r="B1778" i="24"/>
  <c r="B1777" i="24"/>
  <c r="B1776" i="24"/>
  <c r="B1775" i="24"/>
  <c r="B1774" i="24"/>
  <c r="B1773" i="24"/>
  <c r="B1772" i="24"/>
  <c r="B1771" i="24"/>
  <c r="B1770" i="24"/>
  <c r="B1769" i="24"/>
  <c r="B1768" i="24"/>
  <c r="B1767" i="24"/>
  <c r="B1766" i="24"/>
  <c r="B1765" i="24"/>
  <c r="B1764" i="24"/>
  <c r="B1763" i="24"/>
  <c r="B1762" i="24"/>
  <c r="B1761" i="24"/>
  <c r="B1760" i="24"/>
  <c r="B1759" i="24"/>
  <c r="B1758" i="24"/>
  <c r="B1757" i="24"/>
  <c r="B1756" i="24"/>
  <c r="B1755" i="24"/>
  <c r="B1754" i="24"/>
  <c r="B1753" i="24"/>
  <c r="B1752" i="24"/>
  <c r="B1751" i="24"/>
  <c r="B1750" i="24"/>
  <c r="B1749" i="24"/>
  <c r="B1748" i="24"/>
  <c r="B1747" i="24"/>
  <c r="B1746" i="24"/>
  <c r="B1745" i="24"/>
  <c r="B1744" i="24"/>
  <c r="B1743" i="24"/>
  <c r="B1742" i="24"/>
  <c r="B1741" i="24"/>
  <c r="B1740" i="24"/>
  <c r="B1739" i="24"/>
  <c r="B1738" i="24"/>
  <c r="B1737" i="24"/>
  <c r="B1736" i="24"/>
  <c r="B1735" i="24"/>
  <c r="B1734" i="24"/>
  <c r="B1733" i="24"/>
  <c r="B1732" i="24"/>
  <c r="B1731" i="24"/>
  <c r="B1730" i="24"/>
  <c r="B1729" i="24"/>
  <c r="B1728" i="24"/>
  <c r="B1727" i="24"/>
  <c r="B1726" i="24"/>
  <c r="B1725" i="24"/>
  <c r="B1724" i="24"/>
  <c r="B1723" i="24"/>
  <c r="B1722" i="24"/>
  <c r="B1721" i="24"/>
  <c r="B1720" i="24"/>
  <c r="B1719" i="24"/>
  <c r="B1718" i="24"/>
  <c r="B1717" i="24"/>
  <c r="B1716" i="24"/>
  <c r="B1715" i="24"/>
  <c r="B1714" i="24"/>
  <c r="B1713" i="24"/>
  <c r="B1712" i="24"/>
  <c r="B1711" i="24"/>
  <c r="B1710" i="24"/>
  <c r="B1709" i="24"/>
  <c r="B1708" i="24"/>
  <c r="B1707" i="24"/>
  <c r="B1706" i="24"/>
  <c r="B1705" i="24"/>
  <c r="B1704" i="24"/>
  <c r="B1703" i="24"/>
  <c r="B1702" i="24"/>
  <c r="B1701" i="24"/>
  <c r="B1700" i="24"/>
  <c r="B1699" i="24"/>
  <c r="B1698" i="24"/>
  <c r="B1697" i="24"/>
  <c r="B1696" i="24"/>
  <c r="B1695" i="24"/>
  <c r="B1694" i="24"/>
  <c r="B1693" i="24"/>
  <c r="B1692" i="24"/>
  <c r="B1691" i="24"/>
  <c r="B1690" i="24"/>
  <c r="B1689" i="24"/>
  <c r="B1688" i="24"/>
  <c r="B1687" i="24"/>
  <c r="B1686" i="24"/>
  <c r="B1685" i="24"/>
  <c r="B1684" i="24"/>
  <c r="B1683" i="24"/>
  <c r="B1682" i="24"/>
  <c r="B1681" i="24"/>
  <c r="B1680" i="24"/>
  <c r="B1679" i="24"/>
  <c r="B1678" i="24"/>
  <c r="B1677" i="24"/>
  <c r="B1676" i="24"/>
  <c r="B1675" i="24"/>
  <c r="B1674" i="24"/>
  <c r="B1673" i="24"/>
  <c r="B1672" i="24"/>
  <c r="B1671" i="24"/>
  <c r="B1670" i="24"/>
  <c r="B1669" i="24"/>
  <c r="B1668" i="24"/>
  <c r="B1667" i="24"/>
  <c r="B1666" i="24"/>
  <c r="B1665" i="24"/>
  <c r="B1664" i="24"/>
  <c r="B1663" i="24"/>
  <c r="B1662" i="24"/>
  <c r="B1661" i="24"/>
  <c r="B1660" i="24"/>
  <c r="B1659" i="24"/>
  <c r="B1658" i="24"/>
  <c r="B1657" i="24"/>
  <c r="B1656" i="24"/>
  <c r="B1655" i="24"/>
  <c r="B1654" i="24"/>
  <c r="B1653" i="24"/>
  <c r="B1652" i="24"/>
  <c r="B1651" i="24"/>
  <c r="B1650" i="24"/>
  <c r="B1649" i="24"/>
  <c r="B1648" i="24"/>
  <c r="B1647" i="24"/>
  <c r="B1646" i="24"/>
  <c r="B1645" i="24"/>
  <c r="B1644" i="24"/>
  <c r="B1643" i="24"/>
  <c r="B1642" i="24"/>
  <c r="B1641" i="24"/>
  <c r="B1640" i="24"/>
  <c r="B1639" i="24"/>
  <c r="B1638" i="24"/>
  <c r="B1637" i="24"/>
  <c r="B1636" i="24"/>
  <c r="B1635" i="24"/>
  <c r="B1634" i="24"/>
  <c r="B1633" i="24"/>
  <c r="B1632" i="24"/>
  <c r="B1631" i="24"/>
  <c r="B1630" i="24"/>
  <c r="B1629" i="24"/>
  <c r="B1628" i="24"/>
  <c r="B1627" i="24"/>
  <c r="B1626" i="24"/>
  <c r="B1625" i="24"/>
  <c r="B1624" i="24"/>
  <c r="B1623" i="24"/>
  <c r="B1622" i="24"/>
  <c r="B1621" i="24"/>
  <c r="B1620" i="24"/>
  <c r="B1619" i="24"/>
  <c r="B1618" i="24"/>
  <c r="B1617" i="24"/>
  <c r="B1616" i="24"/>
  <c r="B1615" i="24"/>
  <c r="B1614" i="24"/>
  <c r="B1613" i="24"/>
  <c r="B1612" i="24"/>
  <c r="B1611" i="24"/>
  <c r="B1610" i="24"/>
  <c r="B1609" i="24"/>
  <c r="B1608" i="24"/>
  <c r="B1607" i="24"/>
  <c r="B1606" i="24"/>
  <c r="B1605" i="24"/>
  <c r="B1604" i="24"/>
  <c r="B1603" i="24"/>
  <c r="B1602" i="24"/>
  <c r="B1601" i="24"/>
  <c r="B1600" i="24"/>
  <c r="B1599" i="24"/>
  <c r="B1598" i="24"/>
  <c r="B1597" i="24"/>
  <c r="B1596" i="24"/>
  <c r="B1595" i="24"/>
  <c r="B1594" i="24"/>
  <c r="B1593" i="24"/>
  <c r="B1592" i="24"/>
  <c r="B1591" i="24"/>
  <c r="B1590" i="24"/>
  <c r="B1589" i="24"/>
  <c r="B1588" i="24"/>
  <c r="B1587" i="24"/>
  <c r="B1586" i="24"/>
  <c r="B1585" i="24"/>
  <c r="B1584" i="24"/>
  <c r="B1583" i="24"/>
  <c r="B1582" i="24"/>
  <c r="B1581" i="24"/>
  <c r="B1580" i="24"/>
  <c r="B1579" i="24"/>
  <c r="B1578" i="24"/>
  <c r="B1577" i="24"/>
  <c r="B1576" i="24"/>
  <c r="B1575" i="24"/>
  <c r="B1574" i="24"/>
  <c r="B1573" i="24"/>
  <c r="B1572" i="24"/>
  <c r="B1571" i="24"/>
  <c r="B1570" i="24"/>
  <c r="B1569" i="24"/>
  <c r="B1568" i="24"/>
  <c r="B1567" i="24"/>
  <c r="B1566" i="24"/>
  <c r="B1565" i="24"/>
  <c r="B1564" i="24"/>
  <c r="B1563" i="24"/>
  <c r="B1562" i="24"/>
  <c r="B1561" i="24"/>
  <c r="B1560" i="24"/>
  <c r="B1559" i="24"/>
  <c r="B1558" i="24"/>
  <c r="B1557" i="24"/>
  <c r="B1556" i="24"/>
  <c r="B1555" i="24"/>
  <c r="B1554" i="24"/>
  <c r="B1553" i="24"/>
  <c r="B1552" i="24"/>
  <c r="B1551" i="24"/>
  <c r="B1550" i="24"/>
  <c r="B1549" i="24"/>
  <c r="B1548" i="24"/>
  <c r="B1547" i="24"/>
  <c r="B1546" i="24"/>
  <c r="B1545" i="24"/>
  <c r="B1544" i="24"/>
  <c r="B1543" i="24"/>
  <c r="B1542" i="24"/>
  <c r="B1541" i="24"/>
  <c r="B1540" i="24"/>
  <c r="B1539" i="24"/>
  <c r="B1538" i="24"/>
  <c r="B1537" i="24"/>
  <c r="B1536" i="24"/>
  <c r="B1535" i="24"/>
  <c r="B1534" i="24"/>
  <c r="B1533" i="24"/>
  <c r="B1532" i="24"/>
  <c r="B1531" i="24"/>
  <c r="B1530" i="24"/>
  <c r="B1529" i="24"/>
  <c r="B1528" i="24"/>
  <c r="B1527" i="24"/>
  <c r="B1526" i="24"/>
  <c r="B1525" i="24"/>
  <c r="B1524" i="24"/>
  <c r="B1523" i="24"/>
  <c r="B1522" i="24"/>
  <c r="B1521" i="24"/>
  <c r="B1520" i="24"/>
  <c r="B1519" i="24"/>
  <c r="B1518" i="24"/>
  <c r="B1517" i="24"/>
  <c r="B1516" i="24"/>
  <c r="B1515" i="24"/>
  <c r="B1514" i="24"/>
  <c r="B1513" i="24"/>
  <c r="B1512" i="24"/>
  <c r="B1511" i="24"/>
  <c r="B1510" i="24"/>
  <c r="B1509" i="24"/>
  <c r="B1508" i="24"/>
  <c r="B1507" i="24"/>
  <c r="B1506" i="24"/>
  <c r="B1505" i="24"/>
  <c r="B1504" i="24"/>
  <c r="B1503" i="24"/>
  <c r="B1502" i="24"/>
  <c r="B1501" i="24"/>
  <c r="B1500" i="24"/>
  <c r="B1499" i="24"/>
  <c r="B1498" i="24"/>
  <c r="B1497" i="24"/>
  <c r="B1496" i="24"/>
  <c r="B1495" i="24"/>
  <c r="B1494" i="24"/>
  <c r="B1493" i="24"/>
  <c r="B1492" i="24"/>
  <c r="B1491" i="24"/>
  <c r="B1490" i="24"/>
  <c r="B1489" i="24"/>
  <c r="B1488" i="24"/>
  <c r="B1487" i="24"/>
  <c r="B1486" i="24"/>
  <c r="B1485" i="24"/>
  <c r="B1484" i="24"/>
  <c r="B1483" i="24"/>
  <c r="B1482" i="24"/>
  <c r="B1481" i="24"/>
  <c r="B1480" i="24"/>
  <c r="B1479" i="24"/>
  <c r="B1478" i="24"/>
  <c r="B1477" i="24"/>
  <c r="B1476" i="24"/>
  <c r="B1475" i="24"/>
  <c r="B1474" i="24"/>
  <c r="B1473" i="24"/>
  <c r="B1472" i="24"/>
  <c r="B1471" i="24"/>
  <c r="B1470" i="24"/>
  <c r="B1469" i="24"/>
  <c r="B1468" i="24"/>
  <c r="B1467" i="24"/>
  <c r="B1466" i="24"/>
  <c r="B1465" i="24"/>
  <c r="B1464" i="24"/>
  <c r="B1463" i="24"/>
  <c r="B1462" i="24"/>
  <c r="B1461" i="24"/>
  <c r="B1460" i="24"/>
  <c r="B1459" i="24"/>
  <c r="B1458" i="24"/>
  <c r="B1457" i="24"/>
  <c r="B1456" i="24"/>
  <c r="B1455" i="24"/>
  <c r="B1454" i="24"/>
  <c r="B1453" i="24"/>
  <c r="B1452" i="24"/>
  <c r="B1451" i="24"/>
  <c r="B1450" i="24"/>
  <c r="B1449" i="24"/>
  <c r="B1448" i="24"/>
  <c r="B1447" i="24"/>
  <c r="B1446" i="24"/>
  <c r="B1445" i="24"/>
  <c r="B1444" i="24"/>
  <c r="B1443" i="24"/>
  <c r="B1442" i="24"/>
  <c r="B1441" i="24"/>
  <c r="B1440" i="24"/>
  <c r="B1439" i="24"/>
  <c r="B1438" i="24"/>
  <c r="B1437" i="24"/>
  <c r="B1436" i="24"/>
  <c r="B1435" i="24"/>
  <c r="B1434" i="24"/>
  <c r="B1433" i="24"/>
  <c r="B1432" i="24"/>
  <c r="B1431" i="24"/>
  <c r="B1430" i="24"/>
  <c r="B1429" i="24"/>
  <c r="B1428" i="24"/>
  <c r="B1427" i="24"/>
  <c r="B1426" i="24"/>
  <c r="B1425" i="24"/>
  <c r="B1424" i="24"/>
  <c r="B1423" i="24"/>
  <c r="B1422" i="24"/>
  <c r="B1421" i="24"/>
  <c r="B1420" i="24"/>
  <c r="B1419" i="24"/>
  <c r="B1418" i="24"/>
  <c r="B1417" i="24"/>
  <c r="B1416" i="24"/>
  <c r="B1415" i="24"/>
  <c r="B1414" i="24"/>
  <c r="B1413" i="24"/>
  <c r="B1412" i="24"/>
  <c r="B1411" i="24"/>
  <c r="B1410" i="24"/>
  <c r="B1409" i="24"/>
  <c r="B1408" i="24"/>
  <c r="B1407" i="24"/>
  <c r="B1406" i="24"/>
  <c r="B1405" i="24"/>
  <c r="B1404" i="24"/>
  <c r="B1403" i="24"/>
  <c r="B1402" i="24"/>
  <c r="B1401" i="24"/>
  <c r="B1400" i="24"/>
  <c r="B1399" i="24"/>
  <c r="B1398" i="24"/>
  <c r="B1397" i="24"/>
  <c r="B1396" i="24"/>
  <c r="B1395" i="24"/>
  <c r="B1394" i="24"/>
  <c r="B1393" i="24"/>
  <c r="B1392" i="24"/>
  <c r="B1391" i="24"/>
  <c r="B1390" i="24"/>
  <c r="B1389" i="24"/>
  <c r="B1388" i="24"/>
  <c r="B1387" i="24"/>
  <c r="B1386" i="24"/>
  <c r="B1385" i="24"/>
  <c r="B1384" i="24"/>
  <c r="B1383" i="24"/>
  <c r="B1382" i="24"/>
  <c r="B1381" i="24"/>
  <c r="B1380" i="24"/>
  <c r="B1379" i="24"/>
  <c r="B1378" i="24"/>
  <c r="B1377" i="24"/>
  <c r="B1376" i="24"/>
  <c r="B1375" i="24"/>
  <c r="B1374" i="24"/>
  <c r="B1373" i="24"/>
  <c r="B1372" i="24"/>
  <c r="B1371" i="24"/>
  <c r="B1370" i="24"/>
  <c r="B1369" i="24"/>
  <c r="B1368" i="24"/>
  <c r="B1367" i="24"/>
  <c r="B1366" i="24"/>
  <c r="B1365" i="24"/>
  <c r="B1364" i="24"/>
  <c r="B1363" i="24"/>
  <c r="B1362" i="24"/>
  <c r="B1361" i="24"/>
  <c r="B1360" i="24"/>
  <c r="B1359" i="24"/>
  <c r="B1358" i="24"/>
  <c r="B1357" i="24"/>
  <c r="B1356" i="24"/>
  <c r="B1355" i="24"/>
  <c r="B1354" i="24"/>
  <c r="B1353" i="24"/>
  <c r="B1352" i="24"/>
  <c r="B1351" i="24"/>
  <c r="B1350" i="24"/>
  <c r="B1349" i="24"/>
  <c r="B1348" i="24"/>
  <c r="B1347" i="24"/>
  <c r="B1346" i="24"/>
  <c r="B1345" i="24"/>
  <c r="B1344" i="24"/>
  <c r="B1343" i="24"/>
  <c r="B1342" i="24"/>
  <c r="B1341" i="24"/>
  <c r="B1340" i="24"/>
  <c r="B1339" i="24"/>
  <c r="B1338" i="24"/>
  <c r="B1337" i="24"/>
  <c r="B1336" i="24"/>
  <c r="B1335" i="24"/>
  <c r="B1334" i="24"/>
  <c r="B1333" i="24"/>
  <c r="B1332" i="24"/>
  <c r="B1331" i="24"/>
  <c r="B1330" i="24"/>
  <c r="B1329" i="24"/>
  <c r="B1328" i="24"/>
  <c r="B1327" i="24"/>
  <c r="B1326" i="24"/>
  <c r="B1325" i="24"/>
  <c r="B1324" i="24"/>
  <c r="B1323" i="24"/>
  <c r="B1322" i="24"/>
  <c r="B1321" i="24"/>
  <c r="B1320" i="24"/>
  <c r="B1319" i="24"/>
  <c r="B1318" i="24"/>
  <c r="B1317" i="24"/>
  <c r="B1316" i="24"/>
  <c r="B1315" i="24"/>
  <c r="B1314" i="24"/>
  <c r="B1313" i="24"/>
  <c r="B1312" i="24"/>
  <c r="B1311" i="24"/>
  <c r="B1310" i="24"/>
  <c r="B1309" i="24"/>
  <c r="B1308" i="24"/>
  <c r="B1307" i="24"/>
  <c r="B1306" i="24"/>
  <c r="B1305" i="24"/>
  <c r="B1304" i="24"/>
  <c r="B1303" i="24"/>
  <c r="B1302" i="24"/>
  <c r="B1301" i="24"/>
  <c r="B1300" i="24"/>
  <c r="B1299" i="24"/>
  <c r="B1298" i="24"/>
  <c r="B1297" i="24"/>
  <c r="B1296" i="24"/>
  <c r="B1295" i="24"/>
  <c r="B1294" i="24"/>
  <c r="B1293" i="24"/>
  <c r="B1292" i="24"/>
  <c r="B1291" i="24"/>
  <c r="B1290" i="24"/>
  <c r="B1289" i="24"/>
  <c r="B1288" i="24"/>
  <c r="B1287" i="24"/>
  <c r="B1286" i="24"/>
  <c r="B1285" i="24"/>
  <c r="B1284" i="24"/>
  <c r="B1283" i="24"/>
  <c r="B1282" i="24"/>
  <c r="B1281" i="24"/>
  <c r="B1280" i="24"/>
  <c r="B1279" i="24"/>
  <c r="B1278" i="24"/>
  <c r="B1277" i="24"/>
  <c r="B1276" i="24"/>
  <c r="B1275" i="24"/>
  <c r="B1274" i="24"/>
  <c r="B1273" i="24"/>
  <c r="B1272" i="24"/>
  <c r="B1271" i="24"/>
  <c r="B1270" i="24"/>
  <c r="B1269" i="24"/>
  <c r="B1268" i="24"/>
  <c r="B1267" i="24"/>
  <c r="B1266" i="24"/>
  <c r="B1265" i="24"/>
  <c r="B1264" i="24"/>
  <c r="B1263" i="24"/>
  <c r="B1262" i="24"/>
  <c r="B1261" i="24"/>
  <c r="B1260" i="24"/>
  <c r="B1259" i="24"/>
  <c r="B1258" i="24"/>
  <c r="B1257" i="24"/>
  <c r="B1256" i="24"/>
  <c r="B1255" i="24"/>
  <c r="B1254" i="24"/>
  <c r="B1253" i="24"/>
  <c r="B1252" i="24"/>
  <c r="B1251" i="24"/>
  <c r="B1250" i="24"/>
  <c r="B1249" i="24"/>
  <c r="B1248" i="24"/>
  <c r="B1247" i="24"/>
  <c r="B1246" i="24"/>
  <c r="B1245" i="24"/>
  <c r="B1244" i="24"/>
  <c r="B1243" i="24"/>
  <c r="B1242" i="24"/>
  <c r="B1241" i="24"/>
  <c r="B1240" i="24"/>
  <c r="B1239" i="24"/>
  <c r="B1238" i="24"/>
  <c r="B1237" i="24"/>
  <c r="B1236" i="24"/>
  <c r="B1235" i="24"/>
  <c r="B1234" i="24"/>
  <c r="B1233" i="24"/>
  <c r="B1232" i="24"/>
  <c r="B1231" i="24"/>
  <c r="B1230" i="24"/>
  <c r="B1229" i="24"/>
  <c r="B1228" i="24"/>
  <c r="B1227" i="24"/>
  <c r="B1226" i="24"/>
  <c r="B1225" i="24"/>
  <c r="B1224" i="24"/>
  <c r="B1223" i="24"/>
  <c r="B1222" i="24"/>
  <c r="B1221" i="24"/>
  <c r="B1220" i="24"/>
  <c r="B1219" i="24"/>
  <c r="B1218" i="24"/>
  <c r="B1217" i="24"/>
  <c r="B1216" i="24"/>
  <c r="B1215" i="24"/>
  <c r="B1214" i="24"/>
  <c r="B1213" i="24"/>
  <c r="B1212" i="24"/>
  <c r="B1211" i="24"/>
  <c r="B1210" i="24"/>
  <c r="B1209" i="24"/>
  <c r="B1208" i="24"/>
  <c r="B1207" i="24"/>
  <c r="B1206" i="24"/>
  <c r="B1205" i="24"/>
  <c r="B1204" i="24"/>
  <c r="B1203" i="24"/>
  <c r="B1202" i="24"/>
  <c r="B1201" i="24"/>
  <c r="B1200" i="24"/>
  <c r="B1199" i="24"/>
  <c r="B1198" i="24"/>
  <c r="B1197" i="24"/>
  <c r="B1196" i="24"/>
  <c r="B1195" i="24"/>
  <c r="B1194" i="24"/>
  <c r="B1193" i="24"/>
  <c r="B1192" i="24"/>
  <c r="B1191" i="24"/>
  <c r="B1190" i="24"/>
  <c r="B1189" i="24"/>
  <c r="B1188" i="24"/>
  <c r="B1187" i="24"/>
  <c r="B1186" i="24"/>
  <c r="B1185" i="24"/>
  <c r="B1184" i="24"/>
  <c r="B1183" i="24"/>
  <c r="B1182" i="24"/>
  <c r="B1181" i="24"/>
  <c r="B1180" i="24"/>
  <c r="B1179" i="24"/>
  <c r="B1178" i="24"/>
  <c r="B1177" i="24"/>
  <c r="B1176" i="24"/>
  <c r="B1175" i="24"/>
  <c r="B1174" i="24"/>
  <c r="B1173" i="24"/>
  <c r="B1172" i="24"/>
  <c r="B1171" i="24"/>
  <c r="B1170" i="24"/>
  <c r="B1169" i="24"/>
  <c r="B1168" i="24"/>
  <c r="B1167" i="24"/>
  <c r="B1166" i="24"/>
  <c r="B1165" i="24"/>
  <c r="B1164" i="24"/>
  <c r="B1163" i="24"/>
  <c r="B1162" i="24"/>
  <c r="B1161" i="24"/>
  <c r="B1160" i="24"/>
  <c r="B1159" i="24"/>
  <c r="B1158" i="24"/>
  <c r="B1157" i="24"/>
  <c r="B1156" i="24"/>
  <c r="B1155" i="24"/>
  <c r="B1154" i="24"/>
  <c r="B1153" i="24"/>
  <c r="B1152" i="24"/>
  <c r="B1151" i="24"/>
  <c r="B1150" i="24"/>
  <c r="B1149" i="24"/>
  <c r="B1148" i="24"/>
  <c r="B1147" i="24"/>
  <c r="B1146" i="24"/>
  <c r="B1145" i="24"/>
  <c r="B1144" i="24"/>
  <c r="B1143" i="24"/>
  <c r="B1142" i="24"/>
  <c r="B1141" i="24"/>
  <c r="B1140" i="24"/>
  <c r="B1139" i="24"/>
  <c r="B1138" i="24"/>
  <c r="B1137" i="24"/>
  <c r="B1136" i="24"/>
  <c r="B1135" i="24"/>
  <c r="B1134" i="24"/>
  <c r="B1133" i="24"/>
  <c r="B1132" i="24"/>
  <c r="B1131" i="24"/>
  <c r="B1130" i="24"/>
  <c r="B1129" i="24"/>
  <c r="B1128" i="24"/>
  <c r="B1127" i="24"/>
  <c r="B1126" i="24"/>
  <c r="B1125" i="24"/>
  <c r="B1124" i="24"/>
  <c r="B1123" i="24"/>
  <c r="B1122" i="24"/>
  <c r="B1121" i="24"/>
  <c r="B1120" i="24"/>
  <c r="B1119" i="24"/>
  <c r="B1118" i="24"/>
  <c r="B1117" i="24"/>
  <c r="B1116" i="24"/>
  <c r="B1115" i="24"/>
  <c r="B1114" i="24"/>
  <c r="B1113" i="24"/>
  <c r="B1112" i="24"/>
  <c r="B1111" i="24"/>
  <c r="B1110" i="24"/>
  <c r="B1109" i="24"/>
  <c r="B1108" i="24"/>
  <c r="B1107" i="24"/>
  <c r="B1106" i="24"/>
  <c r="B1105" i="24"/>
  <c r="B1104" i="24"/>
  <c r="B1103" i="24"/>
  <c r="B1102" i="24"/>
  <c r="B1101" i="24"/>
  <c r="B1100" i="24"/>
  <c r="B1099" i="24"/>
  <c r="B1098" i="24"/>
  <c r="B1097" i="24"/>
  <c r="B1096" i="24"/>
  <c r="B1095" i="24"/>
  <c r="B1094" i="24"/>
  <c r="B1093" i="24"/>
  <c r="B1092" i="24"/>
  <c r="B1091" i="24"/>
  <c r="B1090" i="24"/>
  <c r="B1089" i="24"/>
  <c r="B1088" i="24"/>
  <c r="B1087" i="24"/>
  <c r="B1086" i="24"/>
  <c r="B1085" i="24"/>
  <c r="B1084" i="24"/>
  <c r="B1083" i="24"/>
  <c r="B1082" i="24"/>
  <c r="B1081" i="24"/>
  <c r="B1080" i="24"/>
  <c r="B1079" i="24"/>
  <c r="B1078" i="24"/>
  <c r="B1077" i="24"/>
  <c r="B1076" i="24"/>
  <c r="B1075" i="24"/>
  <c r="B1074" i="24"/>
  <c r="B1073" i="24"/>
  <c r="B1072" i="24"/>
  <c r="B1071" i="24"/>
  <c r="B1070" i="24"/>
  <c r="B1069" i="24"/>
  <c r="B1068" i="24"/>
  <c r="B1067" i="24"/>
  <c r="B1066" i="24"/>
  <c r="B1065" i="24"/>
  <c r="B1064" i="24"/>
  <c r="B1063" i="24"/>
  <c r="B1062" i="24"/>
  <c r="B1061" i="24"/>
  <c r="B1060" i="24"/>
  <c r="B1059" i="24"/>
  <c r="B1058" i="24"/>
  <c r="B1057" i="24"/>
  <c r="B1056" i="24"/>
  <c r="B1055" i="24"/>
  <c r="B1054" i="24"/>
  <c r="B1053" i="24"/>
  <c r="B1052" i="24"/>
  <c r="B1051" i="24"/>
  <c r="B1050" i="24"/>
  <c r="B1049" i="24"/>
  <c r="B1048" i="24"/>
  <c r="B1047" i="24"/>
  <c r="B1046" i="24"/>
  <c r="B1045" i="24"/>
  <c r="B1044" i="24"/>
  <c r="B1043" i="24"/>
  <c r="B1042" i="24"/>
  <c r="B1041" i="24"/>
  <c r="B1040" i="24"/>
  <c r="B1039" i="24"/>
  <c r="B1038" i="24"/>
  <c r="B1037" i="24"/>
  <c r="B1036" i="24"/>
  <c r="B1035" i="24"/>
  <c r="B1034" i="24"/>
  <c r="B1033" i="24"/>
  <c r="B1032" i="24"/>
  <c r="B1031" i="24"/>
  <c r="B1030" i="24"/>
  <c r="B1029" i="24"/>
  <c r="B1028" i="24"/>
  <c r="B1027" i="24"/>
  <c r="B1026" i="24"/>
  <c r="B1025" i="24"/>
  <c r="B1024" i="24"/>
  <c r="B1023" i="24"/>
  <c r="B1022" i="24"/>
  <c r="B1021" i="24"/>
  <c r="B1020" i="24"/>
  <c r="B1019" i="24"/>
  <c r="B1018" i="24"/>
  <c r="B1017" i="24"/>
  <c r="B1016" i="24"/>
  <c r="B1015" i="24"/>
  <c r="B1014" i="24"/>
  <c r="B1013" i="24"/>
  <c r="B1012" i="24"/>
  <c r="B1011" i="24"/>
  <c r="B1010" i="24"/>
  <c r="B1009" i="24"/>
  <c r="B1008" i="24"/>
  <c r="B1007" i="24"/>
  <c r="B1006" i="24"/>
  <c r="B1005" i="24"/>
  <c r="B1004" i="24"/>
  <c r="B1003" i="24"/>
  <c r="B1002" i="24"/>
  <c r="B1001" i="24"/>
  <c r="B1000" i="24"/>
  <c r="B999" i="24"/>
  <c r="B998" i="24"/>
  <c r="B997" i="24"/>
  <c r="B996" i="24"/>
  <c r="B995" i="24"/>
  <c r="B994" i="24"/>
  <c r="B993" i="24"/>
  <c r="B992" i="24"/>
  <c r="B991" i="24"/>
  <c r="B990" i="24"/>
  <c r="B989" i="24"/>
  <c r="B988" i="24"/>
  <c r="B987" i="24"/>
  <c r="B986" i="24"/>
  <c r="B985" i="24"/>
  <c r="B984" i="24"/>
  <c r="B983" i="24"/>
  <c r="B982" i="24"/>
  <c r="B981" i="24"/>
  <c r="B980" i="24"/>
  <c r="B979" i="24"/>
  <c r="B978" i="24"/>
  <c r="B977" i="24"/>
  <c r="B976" i="24"/>
  <c r="B975" i="24"/>
  <c r="B974" i="24"/>
  <c r="B973" i="24"/>
  <c r="B972" i="24"/>
  <c r="B971" i="24"/>
  <c r="B970" i="24"/>
  <c r="B969" i="24"/>
  <c r="B968" i="24"/>
  <c r="B967" i="24"/>
  <c r="B966" i="24"/>
  <c r="B965" i="24"/>
  <c r="B964" i="24"/>
  <c r="B963" i="24"/>
  <c r="B962" i="24"/>
  <c r="B961" i="24"/>
  <c r="B960" i="24"/>
  <c r="B959" i="24"/>
  <c r="B958" i="24"/>
  <c r="B957" i="24"/>
  <c r="B956" i="24"/>
  <c r="B955" i="24"/>
  <c r="B954" i="24"/>
  <c r="B953" i="24"/>
  <c r="B952" i="24"/>
  <c r="B951" i="24"/>
  <c r="B950" i="24"/>
  <c r="B949" i="24"/>
  <c r="B948" i="24"/>
  <c r="B947" i="24"/>
  <c r="B946" i="24"/>
  <c r="B945" i="24"/>
  <c r="B944" i="24"/>
  <c r="B943" i="24"/>
  <c r="B942" i="24"/>
  <c r="B941" i="24"/>
  <c r="B940" i="24"/>
  <c r="B939" i="24"/>
  <c r="B938" i="24"/>
  <c r="B937" i="24"/>
  <c r="B936" i="24"/>
  <c r="B935" i="24"/>
  <c r="B934" i="24"/>
  <c r="B933" i="24"/>
  <c r="B932" i="24"/>
  <c r="B931" i="24"/>
  <c r="B930" i="24"/>
  <c r="B929" i="24"/>
  <c r="B928" i="24"/>
  <c r="B927" i="24"/>
  <c r="B926" i="24"/>
  <c r="B925" i="24"/>
  <c r="B924" i="24"/>
  <c r="B923" i="24"/>
  <c r="B922" i="24"/>
  <c r="B921" i="24"/>
  <c r="B920" i="24"/>
  <c r="B919" i="24"/>
  <c r="B918" i="24"/>
  <c r="B917" i="24"/>
  <c r="B916" i="24"/>
  <c r="B915" i="24"/>
  <c r="B914" i="24"/>
  <c r="B913" i="24"/>
  <c r="B912" i="24"/>
  <c r="B911" i="24"/>
  <c r="B910" i="24"/>
  <c r="B909" i="24"/>
  <c r="B908" i="24"/>
  <c r="B907" i="24"/>
  <c r="B906" i="24"/>
  <c r="B905" i="24"/>
  <c r="B904" i="24"/>
  <c r="B903" i="24"/>
  <c r="B902" i="24"/>
  <c r="B901" i="24"/>
  <c r="B900" i="24"/>
  <c r="B899" i="24"/>
  <c r="B898" i="24"/>
  <c r="B897" i="24"/>
  <c r="B896" i="24"/>
  <c r="B895" i="24"/>
  <c r="B894" i="24"/>
  <c r="B893" i="24"/>
  <c r="B892" i="24"/>
  <c r="B891" i="24"/>
  <c r="B890" i="24"/>
  <c r="B889" i="24"/>
  <c r="B888" i="24"/>
  <c r="B887" i="24"/>
  <c r="B886" i="24"/>
  <c r="B885" i="24"/>
  <c r="B884" i="24"/>
  <c r="B883" i="24"/>
  <c r="B882" i="24"/>
  <c r="B881" i="24"/>
  <c r="B880" i="24"/>
  <c r="B879" i="24"/>
  <c r="B878" i="24"/>
  <c r="B877" i="24"/>
  <c r="B876" i="24"/>
  <c r="B875" i="24"/>
  <c r="B874" i="24"/>
  <c r="B873" i="24"/>
  <c r="B872" i="24"/>
  <c r="B871" i="24"/>
  <c r="B870" i="24"/>
  <c r="B869" i="24"/>
  <c r="B868" i="24"/>
  <c r="B867" i="24"/>
  <c r="B866" i="24"/>
  <c r="B865" i="24"/>
  <c r="B864" i="24"/>
  <c r="B863" i="24"/>
  <c r="B862" i="24"/>
  <c r="B861" i="24"/>
  <c r="B860" i="24"/>
  <c r="B859" i="24"/>
  <c r="B858" i="24"/>
  <c r="B857" i="24"/>
  <c r="B856" i="24"/>
  <c r="B855" i="24"/>
  <c r="B854" i="24"/>
  <c r="B853" i="24"/>
  <c r="B852" i="24"/>
  <c r="B851" i="24"/>
  <c r="B850" i="24"/>
  <c r="B849" i="24"/>
  <c r="B848" i="24"/>
  <c r="B847" i="24"/>
  <c r="B846" i="24"/>
  <c r="B845" i="24"/>
  <c r="B844" i="24"/>
  <c r="B843" i="24"/>
  <c r="B842" i="24"/>
  <c r="B841" i="24"/>
  <c r="B840" i="24"/>
  <c r="B839" i="24"/>
  <c r="B838" i="24"/>
  <c r="B837" i="24"/>
  <c r="B836" i="24"/>
  <c r="B835" i="24"/>
  <c r="B834" i="24"/>
  <c r="B833" i="24"/>
  <c r="B832" i="24"/>
  <c r="B831" i="24"/>
  <c r="B830" i="24"/>
  <c r="B829" i="24"/>
  <c r="B828" i="24"/>
  <c r="B827" i="24"/>
  <c r="B826" i="24"/>
  <c r="B825" i="24"/>
  <c r="B824" i="24"/>
  <c r="B823" i="24"/>
  <c r="B822" i="24"/>
  <c r="B821" i="24"/>
  <c r="B820" i="24"/>
  <c r="B819" i="24"/>
  <c r="B818" i="24"/>
  <c r="B817" i="24"/>
  <c r="B816" i="24"/>
  <c r="B815" i="24"/>
  <c r="B814" i="24"/>
  <c r="B813" i="24"/>
  <c r="B812" i="24"/>
  <c r="B811" i="24"/>
  <c r="B810" i="24"/>
  <c r="B809" i="24"/>
  <c r="B808" i="24"/>
  <c r="B807" i="24"/>
  <c r="B806" i="24"/>
  <c r="B805" i="24"/>
  <c r="B804" i="24"/>
  <c r="B803" i="24"/>
  <c r="B802" i="24"/>
  <c r="B801" i="24"/>
  <c r="B800" i="24"/>
  <c r="B799" i="24"/>
  <c r="B798" i="24"/>
  <c r="B797" i="24"/>
  <c r="B796" i="24"/>
  <c r="B795" i="24"/>
  <c r="B794" i="24"/>
  <c r="B793" i="24"/>
  <c r="B792" i="24"/>
  <c r="B791" i="24"/>
  <c r="B790" i="24"/>
  <c r="B789" i="24"/>
  <c r="B788" i="24"/>
  <c r="B787" i="24"/>
  <c r="B786" i="24"/>
  <c r="B785" i="24"/>
  <c r="B784" i="24"/>
  <c r="B783" i="24"/>
  <c r="B782" i="24"/>
  <c r="B781" i="24"/>
  <c r="B780" i="24"/>
  <c r="B779" i="24"/>
  <c r="B778" i="24"/>
  <c r="B777" i="24"/>
  <c r="B776" i="24"/>
  <c r="B775" i="24"/>
  <c r="B774" i="24"/>
  <c r="B773" i="24"/>
  <c r="B772" i="24"/>
  <c r="B771" i="24"/>
  <c r="B770" i="24"/>
  <c r="B769" i="24"/>
  <c r="B768" i="24"/>
  <c r="B767" i="24"/>
  <c r="B766" i="24"/>
  <c r="B765" i="24"/>
  <c r="B764" i="24"/>
  <c r="B763" i="24"/>
  <c r="B762" i="24"/>
  <c r="B761" i="24"/>
  <c r="B760" i="24"/>
  <c r="B759" i="24"/>
  <c r="B758" i="24"/>
  <c r="B757" i="24"/>
  <c r="B756" i="24"/>
  <c r="B755" i="24"/>
  <c r="B754" i="24"/>
  <c r="B753" i="24"/>
  <c r="B752" i="24"/>
  <c r="B751" i="24"/>
  <c r="B750" i="24"/>
  <c r="B749" i="24"/>
  <c r="B748" i="24"/>
  <c r="B747" i="24"/>
  <c r="B746" i="24"/>
  <c r="B745" i="24"/>
  <c r="B744" i="24"/>
  <c r="B743" i="24"/>
  <c r="B742" i="24"/>
  <c r="B741" i="24"/>
  <c r="B740" i="24"/>
  <c r="B739" i="24"/>
  <c r="B738" i="24"/>
  <c r="B737" i="24"/>
  <c r="B736" i="24"/>
  <c r="B735" i="24"/>
  <c r="B734" i="24"/>
  <c r="B733" i="24"/>
  <c r="B732" i="24"/>
  <c r="B731" i="24"/>
  <c r="B730" i="24"/>
  <c r="B729" i="24"/>
  <c r="B728" i="24"/>
  <c r="B727" i="24"/>
  <c r="B726" i="24"/>
  <c r="B725" i="24"/>
  <c r="B724" i="24"/>
  <c r="B723" i="24"/>
  <c r="B722" i="24"/>
  <c r="B721" i="24"/>
  <c r="B720" i="24"/>
  <c r="B719" i="24"/>
  <c r="B718" i="24"/>
  <c r="B717" i="24"/>
  <c r="B716" i="24"/>
  <c r="B715" i="24"/>
  <c r="B714" i="24"/>
  <c r="B713" i="24"/>
  <c r="B712" i="24"/>
  <c r="B711" i="24"/>
  <c r="B710" i="24"/>
  <c r="B709" i="24"/>
  <c r="B708" i="24"/>
  <c r="B707" i="24"/>
  <c r="B706" i="24"/>
  <c r="B705" i="24"/>
  <c r="B704" i="24"/>
  <c r="B703" i="24"/>
  <c r="B702" i="24"/>
  <c r="B701" i="24"/>
  <c r="B700" i="24"/>
  <c r="B699" i="24"/>
  <c r="B698" i="24"/>
  <c r="B697" i="24"/>
  <c r="B696" i="24"/>
  <c r="B695" i="24"/>
  <c r="B694" i="24"/>
  <c r="B693" i="24"/>
  <c r="B692" i="24"/>
  <c r="B691" i="24"/>
  <c r="B690" i="24"/>
  <c r="B689" i="24"/>
  <c r="B688" i="24"/>
  <c r="B687" i="24"/>
  <c r="B686" i="24"/>
  <c r="B685" i="24"/>
  <c r="B684" i="24"/>
  <c r="B683" i="24"/>
  <c r="B682" i="24"/>
  <c r="B681" i="24"/>
  <c r="B680" i="24"/>
  <c r="B679" i="24"/>
  <c r="B678" i="24"/>
  <c r="B677" i="24"/>
  <c r="B676" i="24"/>
  <c r="B675" i="24"/>
  <c r="B674" i="24"/>
  <c r="B673" i="24"/>
  <c r="B672" i="24"/>
  <c r="B671" i="24"/>
  <c r="B670" i="24"/>
  <c r="B669" i="24"/>
  <c r="B668" i="24"/>
  <c r="B667" i="24"/>
  <c r="B666" i="24"/>
  <c r="B665" i="24"/>
  <c r="B664" i="24"/>
  <c r="B663" i="24"/>
  <c r="B662" i="24"/>
  <c r="B661" i="24"/>
  <c r="B660" i="24"/>
  <c r="B659" i="24"/>
  <c r="B658" i="24"/>
  <c r="B657" i="24"/>
  <c r="B656" i="24"/>
  <c r="B655" i="24"/>
  <c r="B654" i="24"/>
  <c r="B653" i="24"/>
  <c r="B652" i="24"/>
  <c r="B651" i="24"/>
  <c r="B650" i="24"/>
  <c r="B649" i="24"/>
  <c r="B648" i="24"/>
  <c r="B647" i="24"/>
  <c r="B646" i="24"/>
  <c r="B645" i="24"/>
  <c r="B644" i="24"/>
  <c r="B643" i="24"/>
  <c r="B642" i="24"/>
  <c r="B641" i="24"/>
  <c r="B640" i="24"/>
  <c r="B639" i="24"/>
  <c r="B638" i="24"/>
  <c r="B637" i="24"/>
  <c r="B636" i="24"/>
  <c r="B635" i="24"/>
  <c r="B634" i="24"/>
  <c r="B633" i="24"/>
  <c r="B632" i="24"/>
  <c r="B631" i="24"/>
  <c r="B630" i="24"/>
  <c r="B629" i="24"/>
  <c r="B628" i="24"/>
  <c r="B627" i="24"/>
  <c r="B626" i="24"/>
  <c r="B625" i="24"/>
  <c r="B624" i="24"/>
  <c r="B623" i="24"/>
  <c r="B622" i="24"/>
  <c r="B621" i="24"/>
  <c r="B620" i="24"/>
  <c r="B619" i="24"/>
  <c r="B618" i="24"/>
  <c r="B617" i="24"/>
  <c r="B616" i="24"/>
  <c r="B615" i="24"/>
  <c r="B614" i="24"/>
  <c r="B613" i="24"/>
  <c r="B612" i="24"/>
  <c r="B611" i="24"/>
  <c r="B610" i="24"/>
  <c r="B609" i="24"/>
  <c r="B608" i="24"/>
  <c r="B607" i="24"/>
  <c r="B606" i="24"/>
  <c r="B605" i="24"/>
  <c r="B604" i="24"/>
  <c r="B603" i="24"/>
  <c r="B602" i="24"/>
  <c r="B601" i="24"/>
  <c r="B600" i="24"/>
  <c r="B599" i="24"/>
  <c r="B598" i="24"/>
  <c r="B597" i="24"/>
  <c r="B596" i="24"/>
  <c r="B595" i="24"/>
  <c r="B594" i="24"/>
  <c r="B593" i="24"/>
  <c r="B592" i="24"/>
  <c r="B591" i="24"/>
  <c r="B590" i="24"/>
  <c r="B589" i="24"/>
  <c r="B588" i="24"/>
  <c r="B587" i="24"/>
  <c r="B586" i="24"/>
  <c r="B585" i="24"/>
  <c r="B584" i="24"/>
  <c r="B583" i="24"/>
  <c r="B582" i="24"/>
  <c r="B581" i="24"/>
  <c r="B580" i="24"/>
  <c r="B579" i="24"/>
  <c r="B578" i="24"/>
  <c r="B577" i="24"/>
  <c r="B576" i="24"/>
  <c r="B575" i="24"/>
  <c r="B574" i="24"/>
  <c r="B573" i="24"/>
  <c r="B572" i="24"/>
  <c r="B571" i="24"/>
  <c r="B570" i="24"/>
  <c r="B569" i="24"/>
  <c r="B568" i="24"/>
  <c r="B567" i="24"/>
  <c r="B566" i="24"/>
  <c r="B565" i="24"/>
  <c r="B564" i="24"/>
  <c r="B563" i="24"/>
  <c r="B562" i="24"/>
  <c r="B561" i="24"/>
  <c r="B560" i="24"/>
  <c r="B559" i="24"/>
  <c r="B558" i="24"/>
  <c r="B557" i="24"/>
  <c r="B556" i="24"/>
  <c r="B555" i="24"/>
  <c r="B554" i="24"/>
  <c r="B553" i="24"/>
  <c r="B552" i="24"/>
  <c r="B551" i="24"/>
  <c r="B550" i="24"/>
  <c r="B549" i="24"/>
  <c r="B548" i="24"/>
  <c r="B547" i="24"/>
  <c r="B546" i="24"/>
  <c r="B545" i="24"/>
  <c r="B544" i="24"/>
  <c r="B543" i="24"/>
  <c r="B542" i="24"/>
  <c r="B541" i="24"/>
  <c r="B540" i="24"/>
  <c r="B539" i="24"/>
  <c r="B538" i="24"/>
  <c r="B537" i="24"/>
  <c r="B536" i="24"/>
  <c r="B535" i="24"/>
  <c r="B534" i="24"/>
  <c r="B533" i="24"/>
  <c r="B532" i="24"/>
  <c r="B531" i="24"/>
  <c r="B530" i="24"/>
  <c r="B529" i="24"/>
  <c r="B528" i="24"/>
  <c r="B527" i="24"/>
  <c r="B526" i="24"/>
  <c r="B525" i="24"/>
  <c r="B524" i="24"/>
  <c r="B523" i="24"/>
  <c r="B522" i="24"/>
  <c r="B521" i="24"/>
  <c r="B520" i="24"/>
  <c r="B519" i="24"/>
  <c r="B518" i="24"/>
  <c r="B517" i="24"/>
  <c r="B516" i="24"/>
  <c r="B515" i="24"/>
  <c r="B514" i="24"/>
  <c r="B513" i="24"/>
  <c r="B512" i="24"/>
  <c r="B511" i="24"/>
  <c r="B510" i="24"/>
  <c r="B509" i="24"/>
  <c r="B508" i="24"/>
  <c r="B507" i="24"/>
  <c r="B506" i="24"/>
  <c r="B505" i="24"/>
  <c r="B504" i="24"/>
  <c r="B503" i="24"/>
  <c r="B502" i="24"/>
  <c r="B501" i="24"/>
  <c r="B500" i="24"/>
  <c r="B499" i="24"/>
  <c r="B498" i="24"/>
  <c r="B497" i="24"/>
  <c r="B496" i="24"/>
  <c r="B495" i="24"/>
  <c r="B494" i="24"/>
  <c r="B493" i="24"/>
  <c r="B492" i="24"/>
  <c r="B491" i="24"/>
  <c r="B490" i="24"/>
  <c r="B489" i="24"/>
  <c r="B488" i="24"/>
  <c r="B487" i="24"/>
  <c r="B486" i="24"/>
  <c r="B485" i="24"/>
  <c r="B484" i="24"/>
  <c r="B483" i="24"/>
  <c r="B482" i="24"/>
  <c r="B481" i="24"/>
  <c r="B480" i="24"/>
  <c r="B479" i="24"/>
  <c r="B478" i="24"/>
  <c r="B477" i="24"/>
  <c r="B476" i="24"/>
  <c r="B475" i="24"/>
  <c r="B474" i="24"/>
  <c r="B473" i="24"/>
  <c r="B472" i="24"/>
  <c r="B471" i="24"/>
  <c r="B470" i="24"/>
  <c r="B469" i="24"/>
  <c r="B468" i="24"/>
  <c r="B467" i="24"/>
  <c r="B466" i="24"/>
  <c r="B465" i="24"/>
  <c r="B464" i="24"/>
  <c r="B463" i="24"/>
  <c r="B462" i="24"/>
  <c r="B461" i="24"/>
  <c r="B460" i="24"/>
  <c r="B459" i="24"/>
  <c r="B458" i="24"/>
  <c r="B457" i="24"/>
  <c r="B456" i="24"/>
  <c r="B455" i="24"/>
  <c r="B454" i="24"/>
  <c r="B453" i="24"/>
  <c r="B452" i="24"/>
  <c r="B451" i="24"/>
  <c r="B450" i="24"/>
  <c r="B449" i="24"/>
  <c r="B448" i="24"/>
  <c r="B447" i="24"/>
  <c r="B446" i="24"/>
  <c r="B445" i="24"/>
  <c r="B444" i="24"/>
  <c r="B443" i="24"/>
  <c r="B442" i="24"/>
  <c r="B441" i="24"/>
  <c r="B440" i="24"/>
  <c r="B439" i="24"/>
  <c r="B438" i="24"/>
  <c r="B437" i="24"/>
  <c r="B436" i="24"/>
  <c r="B435" i="24"/>
  <c r="B434" i="24"/>
  <c r="B433" i="24"/>
  <c r="B432" i="24"/>
  <c r="B431" i="24"/>
  <c r="B430" i="24"/>
  <c r="B429" i="24"/>
  <c r="B428" i="24"/>
  <c r="B427" i="24"/>
  <c r="B426" i="24"/>
  <c r="B425" i="24"/>
  <c r="B424" i="24"/>
  <c r="B423" i="24"/>
  <c r="B422" i="24"/>
  <c r="B421" i="24"/>
  <c r="B420" i="24"/>
  <c r="B419" i="24"/>
  <c r="B418" i="24"/>
  <c r="B417" i="24"/>
  <c r="B416" i="24"/>
  <c r="B415" i="24"/>
  <c r="B414" i="24"/>
  <c r="B413" i="24"/>
  <c r="B412" i="24"/>
  <c r="B411" i="24"/>
  <c r="B410" i="24"/>
  <c r="B409" i="24"/>
  <c r="B408" i="24"/>
  <c r="B407" i="24"/>
  <c r="B406" i="24"/>
  <c r="B405" i="24"/>
  <c r="B404" i="24"/>
  <c r="B403" i="24"/>
  <c r="B402" i="24"/>
  <c r="B401" i="24"/>
  <c r="B400" i="24"/>
  <c r="B399" i="24"/>
  <c r="B398" i="24"/>
  <c r="B397" i="24"/>
  <c r="B396" i="24"/>
  <c r="B395" i="24"/>
  <c r="B394" i="24"/>
  <c r="B393" i="24"/>
  <c r="B392" i="24"/>
  <c r="B391" i="24"/>
  <c r="B390" i="24"/>
  <c r="B389" i="24"/>
  <c r="B388" i="24"/>
  <c r="B387" i="24"/>
  <c r="B386" i="24"/>
  <c r="B385" i="24"/>
  <c r="B384" i="24"/>
  <c r="B383" i="24"/>
  <c r="B382" i="24"/>
  <c r="B381" i="24"/>
  <c r="B380" i="24"/>
  <c r="B379" i="24"/>
  <c r="B378" i="24"/>
  <c r="B377" i="24"/>
  <c r="B376" i="24"/>
  <c r="B375" i="24"/>
  <c r="B374" i="24"/>
  <c r="B373" i="24"/>
  <c r="B372" i="24"/>
  <c r="B371" i="24"/>
  <c r="B370" i="24"/>
  <c r="B369" i="24"/>
  <c r="B368" i="24"/>
  <c r="B367" i="24"/>
  <c r="B366" i="24"/>
  <c r="B365" i="24"/>
  <c r="B364" i="24"/>
  <c r="B363" i="24"/>
  <c r="B362" i="24"/>
  <c r="B361" i="24"/>
  <c r="B360" i="24"/>
  <c r="B359" i="24"/>
  <c r="B358" i="24"/>
  <c r="B357" i="24"/>
  <c r="B356" i="24"/>
  <c r="B355" i="24"/>
  <c r="B354" i="24"/>
  <c r="B353" i="24"/>
  <c r="B352" i="24"/>
  <c r="B351" i="24"/>
  <c r="B350" i="24"/>
  <c r="B349" i="24"/>
  <c r="B348" i="24"/>
  <c r="B347" i="24"/>
  <c r="B346" i="24"/>
  <c r="B345" i="24"/>
  <c r="B344" i="24"/>
  <c r="B343" i="24"/>
  <c r="B342" i="24"/>
  <c r="B341" i="24"/>
  <c r="B340" i="24"/>
  <c r="B339" i="24"/>
  <c r="B338" i="24"/>
  <c r="B337" i="24"/>
  <c r="B336" i="24"/>
  <c r="B335" i="24"/>
  <c r="B334" i="24"/>
  <c r="B333" i="24"/>
  <c r="B332" i="24"/>
  <c r="B331" i="24"/>
  <c r="B330" i="24"/>
  <c r="B329" i="24"/>
  <c r="B328" i="24"/>
  <c r="B327" i="24"/>
  <c r="B326" i="24"/>
  <c r="B325" i="24"/>
  <c r="B324" i="24"/>
  <c r="B323" i="24"/>
  <c r="B322" i="24"/>
  <c r="B321" i="24"/>
  <c r="B320" i="24"/>
  <c r="B319" i="24"/>
  <c r="B318" i="24"/>
  <c r="B317" i="24"/>
  <c r="B316" i="24"/>
  <c r="B315" i="24"/>
  <c r="B314" i="24"/>
  <c r="B313" i="24"/>
  <c r="B312" i="24"/>
  <c r="B311" i="24"/>
  <c r="B310" i="24"/>
  <c r="B309" i="24"/>
  <c r="B308" i="24"/>
  <c r="B307" i="24"/>
  <c r="B306" i="24"/>
  <c r="B305" i="24"/>
  <c r="B304" i="24"/>
  <c r="B303" i="24"/>
  <c r="B302" i="24"/>
  <c r="B301" i="24"/>
  <c r="B300" i="24"/>
  <c r="B299" i="24"/>
  <c r="B298" i="24"/>
  <c r="B297" i="24"/>
  <c r="B296" i="24"/>
  <c r="B295" i="24"/>
  <c r="B294" i="24"/>
  <c r="B293" i="24"/>
  <c r="B292" i="24"/>
  <c r="B291" i="24"/>
  <c r="B290" i="24"/>
  <c r="B289" i="24"/>
  <c r="B288" i="24"/>
  <c r="B287" i="24"/>
  <c r="B286" i="24"/>
  <c r="B285" i="24"/>
  <c r="B284" i="24"/>
  <c r="B283" i="24"/>
  <c r="B282" i="24"/>
  <c r="B281" i="24"/>
  <c r="B280" i="24"/>
  <c r="B279" i="24"/>
  <c r="B278" i="24"/>
  <c r="B277" i="24"/>
  <c r="B276" i="24"/>
  <c r="B275" i="24"/>
  <c r="B274" i="24"/>
  <c r="B273" i="24"/>
  <c r="B272" i="24"/>
  <c r="B271" i="24"/>
  <c r="B270" i="24"/>
  <c r="B269" i="24"/>
  <c r="B268" i="24"/>
  <c r="B267" i="24"/>
  <c r="B266" i="24"/>
  <c r="B265" i="24"/>
  <c r="B264" i="24"/>
  <c r="B263" i="24"/>
  <c r="B262" i="24"/>
  <c r="B261" i="24"/>
  <c r="B260" i="24"/>
  <c r="B259" i="24"/>
  <c r="B258" i="24"/>
  <c r="B257" i="24"/>
  <c r="B256" i="24"/>
  <c r="B255" i="24"/>
  <c r="B254" i="24"/>
  <c r="B253" i="24"/>
  <c r="B252" i="24"/>
  <c r="B251" i="24"/>
  <c r="B250" i="24"/>
  <c r="B249" i="24"/>
  <c r="B248" i="24"/>
  <c r="B247" i="24"/>
  <c r="B246" i="24"/>
  <c r="B245" i="24"/>
  <c r="B244" i="24"/>
  <c r="B243" i="24"/>
  <c r="B242" i="24"/>
  <c r="B241" i="24"/>
  <c r="B240" i="24"/>
  <c r="B239" i="24"/>
  <c r="B238" i="24"/>
  <c r="B237" i="24"/>
  <c r="B236" i="24"/>
  <c r="B235" i="24"/>
  <c r="B234" i="24"/>
  <c r="B233" i="24"/>
  <c r="B232" i="24"/>
  <c r="B231" i="24"/>
  <c r="B230" i="24"/>
  <c r="B229" i="24"/>
  <c r="B228" i="24"/>
  <c r="B227" i="24"/>
  <c r="B226" i="24"/>
  <c r="B225" i="24"/>
  <c r="B224" i="24"/>
  <c r="B223" i="24"/>
  <c r="B222" i="24"/>
  <c r="B221" i="24"/>
  <c r="B220" i="24"/>
  <c r="B219" i="24"/>
  <c r="B218" i="24"/>
  <c r="B217" i="24"/>
  <c r="B216" i="24"/>
  <c r="B215" i="24"/>
  <c r="B214" i="24"/>
  <c r="B213" i="24"/>
  <c r="B212" i="24"/>
  <c r="B211" i="24"/>
  <c r="B210" i="24"/>
  <c r="B209" i="24"/>
  <c r="B208" i="24"/>
  <c r="B207" i="24"/>
  <c r="B206" i="24"/>
  <c r="B205" i="24"/>
  <c r="B204" i="24"/>
  <c r="B203" i="24"/>
  <c r="B202" i="24"/>
  <c r="B201" i="24"/>
  <c r="B200" i="24"/>
  <c r="B199" i="24"/>
  <c r="B198" i="24"/>
  <c r="B197" i="24"/>
  <c r="B196" i="24"/>
  <c r="B195" i="24"/>
  <c r="B194" i="24"/>
  <c r="B193" i="24"/>
  <c r="B192" i="24"/>
  <c r="B191" i="24"/>
  <c r="B190" i="24"/>
  <c r="B189" i="24"/>
  <c r="B188" i="24"/>
  <c r="B187" i="24"/>
  <c r="B186" i="24"/>
  <c r="B185" i="24"/>
  <c r="B184" i="24"/>
  <c r="B183" i="24"/>
  <c r="B182" i="24"/>
  <c r="B181" i="24"/>
  <c r="B180" i="24"/>
  <c r="B179" i="24"/>
  <c r="B178" i="24"/>
  <c r="B177" i="24"/>
  <c r="B176" i="24"/>
  <c r="B175" i="24"/>
  <c r="B174" i="24"/>
  <c r="B173" i="24"/>
  <c r="B172" i="24"/>
  <c r="B171" i="24"/>
  <c r="B170" i="24"/>
  <c r="B169" i="24"/>
  <c r="B168" i="24"/>
  <c r="B167" i="24"/>
  <c r="B166" i="24"/>
  <c r="B165" i="24"/>
  <c r="B164" i="24"/>
  <c r="B163" i="24"/>
  <c r="B162" i="24"/>
  <c r="B161" i="24"/>
  <c r="B160" i="24"/>
  <c r="B159" i="24"/>
  <c r="B158" i="24"/>
  <c r="B157" i="24"/>
  <c r="B156" i="24"/>
  <c r="B155" i="24"/>
  <c r="B154" i="24"/>
  <c r="B153" i="24"/>
  <c r="B152" i="24"/>
  <c r="B151" i="24"/>
  <c r="B150" i="24"/>
  <c r="B149" i="24"/>
  <c r="B148" i="24"/>
  <c r="B147" i="24"/>
  <c r="B146" i="24"/>
  <c r="B145" i="24"/>
  <c r="B144" i="24"/>
  <c r="B143" i="24"/>
  <c r="B142" i="24"/>
  <c r="B141" i="24"/>
  <c r="B140" i="24"/>
  <c r="B139" i="24"/>
  <c r="B138" i="24"/>
  <c r="B137" i="24"/>
  <c r="B136" i="24"/>
  <c r="B135" i="24"/>
  <c r="B134" i="24"/>
  <c r="B133" i="24"/>
  <c r="B132" i="24"/>
  <c r="B131" i="24"/>
  <c r="B130" i="24"/>
  <c r="B129" i="24"/>
  <c r="B128" i="24"/>
  <c r="B127" i="24"/>
  <c r="B126" i="24"/>
  <c r="B125" i="24"/>
  <c r="B124" i="24"/>
  <c r="B123" i="24"/>
  <c r="B122" i="24"/>
  <c r="B121" i="24"/>
  <c r="B120" i="24"/>
  <c r="B119" i="24"/>
  <c r="B118" i="24"/>
  <c r="B117" i="24"/>
  <c r="B116" i="24"/>
  <c r="B115" i="24"/>
  <c r="B114" i="24"/>
  <c r="B113" i="24"/>
  <c r="B112" i="24"/>
  <c r="B111" i="24"/>
  <c r="B110" i="24"/>
  <c r="B109" i="24"/>
  <c r="B108" i="24"/>
  <c r="B107" i="24"/>
  <c r="B106" i="24"/>
  <c r="B105" i="24"/>
  <c r="B104" i="24"/>
  <c r="B103" i="24"/>
  <c r="B10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C4378" i="24"/>
  <c r="C4377" i="24"/>
  <c r="C4376" i="24"/>
  <c r="C4375" i="24"/>
  <c r="C4374" i="24"/>
  <c r="C4373" i="24"/>
  <c r="C4372" i="24"/>
  <c r="C4371" i="24"/>
  <c r="C4370" i="24"/>
  <c r="C4369" i="24"/>
  <c r="C4368" i="24"/>
  <c r="C4367" i="24"/>
  <c r="C4366" i="24"/>
  <c r="C4365" i="24"/>
  <c r="C4364" i="24"/>
  <c r="C4363" i="24"/>
  <c r="C4362" i="24"/>
  <c r="C4361" i="24"/>
  <c r="C4360" i="24"/>
  <c r="C4359" i="24"/>
  <c r="C4358" i="24"/>
  <c r="C4357" i="24"/>
  <c r="C4356" i="24"/>
  <c r="C4355" i="24"/>
  <c r="C4354" i="24"/>
  <c r="C4353" i="24"/>
  <c r="C4352" i="24"/>
  <c r="C4351" i="24"/>
  <c r="C4350" i="24"/>
  <c r="C4349" i="24"/>
  <c r="C4348" i="24"/>
  <c r="C4347" i="24"/>
  <c r="C4346" i="24"/>
  <c r="C4345" i="24"/>
  <c r="C4344" i="24"/>
  <c r="C4343" i="24"/>
  <c r="C4342" i="24"/>
  <c r="C4341" i="24"/>
  <c r="C4340" i="24"/>
  <c r="C4339" i="24"/>
  <c r="C4338" i="24"/>
  <c r="C4337" i="24"/>
  <c r="C4336" i="24"/>
  <c r="C4335" i="24"/>
  <c r="C4334" i="24"/>
  <c r="C4333" i="24"/>
  <c r="C4332" i="24"/>
  <c r="C4331" i="24"/>
  <c r="C4330" i="24"/>
  <c r="C4329" i="24"/>
  <c r="C4328" i="24"/>
  <c r="C4327" i="24"/>
  <c r="C4326" i="24"/>
  <c r="C4325" i="24"/>
  <c r="C4324" i="24"/>
  <c r="C4323" i="24"/>
  <c r="C4322" i="24"/>
  <c r="C4321" i="24"/>
  <c r="C4320" i="24"/>
  <c r="C4319" i="24"/>
  <c r="C4318" i="24"/>
  <c r="C4317" i="24"/>
  <c r="C4316" i="24"/>
  <c r="C4315" i="24"/>
  <c r="C4314" i="24"/>
  <c r="C4313" i="24"/>
  <c r="C4312" i="24"/>
  <c r="C4311" i="24"/>
  <c r="C4310" i="24"/>
  <c r="C4309" i="24"/>
  <c r="C4308" i="24"/>
  <c r="C4307" i="24"/>
  <c r="C4306" i="24"/>
  <c r="C4305" i="24"/>
  <c r="C4304" i="24"/>
  <c r="C4303" i="24"/>
  <c r="C4302" i="24"/>
  <c r="C4301" i="24"/>
  <c r="C4300" i="24"/>
  <c r="C4299" i="24"/>
  <c r="C4298" i="24"/>
  <c r="C4297" i="24"/>
  <c r="C4296" i="24"/>
  <c r="C4295" i="24"/>
  <c r="C4294" i="24"/>
  <c r="C4293" i="24"/>
  <c r="C4292" i="24"/>
  <c r="C4291" i="24"/>
  <c r="C4290" i="24"/>
  <c r="C4289" i="24"/>
  <c r="C4288" i="24"/>
  <c r="C4287" i="24"/>
  <c r="C4286" i="24"/>
  <c r="C4285" i="24"/>
  <c r="C4284" i="24"/>
  <c r="C4283" i="24"/>
  <c r="C4282" i="24"/>
  <c r="C4281" i="24"/>
  <c r="C4280" i="24"/>
  <c r="C4279" i="24"/>
  <c r="C4278" i="24"/>
  <c r="C4277" i="24"/>
  <c r="C4276" i="24"/>
  <c r="C4275" i="24"/>
  <c r="C4274" i="24"/>
  <c r="C4273" i="24"/>
  <c r="C4272" i="24"/>
  <c r="C4271" i="24"/>
  <c r="C4270" i="24"/>
  <c r="C4269" i="24"/>
  <c r="C4268" i="24"/>
  <c r="C4267" i="24"/>
  <c r="C4266" i="24"/>
  <c r="C4265" i="24"/>
  <c r="C4264" i="24"/>
  <c r="C4263" i="24"/>
  <c r="C4262" i="24"/>
  <c r="C4261" i="24"/>
  <c r="C4260" i="24"/>
  <c r="C4259" i="24"/>
  <c r="C4258" i="24"/>
  <c r="C4257" i="24"/>
  <c r="C4256" i="24"/>
  <c r="C4255" i="24"/>
  <c r="C4254" i="24"/>
  <c r="C4253" i="24"/>
  <c r="C4252" i="24"/>
  <c r="C4251" i="24"/>
  <c r="C4250" i="24"/>
  <c r="C4249" i="24"/>
  <c r="C4248" i="24"/>
  <c r="C4247" i="24"/>
  <c r="C4246" i="24"/>
  <c r="C4245" i="24"/>
  <c r="C4244" i="24"/>
  <c r="C4243" i="24"/>
  <c r="C4242" i="24"/>
  <c r="C4241" i="24"/>
  <c r="C4240" i="24"/>
  <c r="C4239" i="24"/>
  <c r="C4238" i="24"/>
  <c r="C4237" i="24"/>
  <c r="C4236" i="24"/>
  <c r="C4235" i="24"/>
  <c r="C4234" i="24"/>
  <c r="C4233" i="24"/>
  <c r="C4232" i="24"/>
  <c r="C4231" i="24"/>
  <c r="C4230" i="24"/>
  <c r="C4229" i="24"/>
  <c r="C4228" i="24"/>
  <c r="C4227" i="24"/>
  <c r="C4226" i="24"/>
  <c r="C4225" i="24"/>
  <c r="C4224" i="24"/>
  <c r="C4223" i="24"/>
  <c r="C4222" i="24"/>
  <c r="C4221" i="24"/>
  <c r="C4220" i="24"/>
  <c r="C4219" i="24"/>
  <c r="C4218" i="24"/>
  <c r="C4217" i="24"/>
  <c r="C4216" i="24"/>
  <c r="C4215" i="24"/>
  <c r="C4214" i="24"/>
  <c r="C4213" i="24"/>
  <c r="C4212" i="24"/>
  <c r="C4211" i="24"/>
  <c r="C4210" i="24"/>
  <c r="C4209" i="24"/>
  <c r="C4208" i="24"/>
  <c r="C4207" i="24"/>
  <c r="C4206" i="24"/>
  <c r="C4205" i="24"/>
  <c r="C4204" i="24"/>
  <c r="C4203" i="24"/>
  <c r="C4202" i="24"/>
  <c r="C4201" i="24"/>
  <c r="C4200" i="24"/>
  <c r="C4199" i="24"/>
  <c r="C4198" i="24"/>
  <c r="C4197" i="24"/>
  <c r="C4196" i="24"/>
  <c r="C4195" i="24"/>
  <c r="C4194" i="24"/>
  <c r="C4193" i="24"/>
  <c r="C4192" i="24"/>
  <c r="C4191" i="24"/>
  <c r="C4190" i="24"/>
  <c r="C4189" i="24"/>
  <c r="C4188" i="24"/>
  <c r="C4187" i="24"/>
  <c r="C4186" i="24"/>
  <c r="C4185" i="24"/>
  <c r="C4184" i="24"/>
  <c r="C4183" i="24"/>
  <c r="C4182" i="24"/>
  <c r="C4181" i="24"/>
  <c r="C4180" i="24"/>
  <c r="C4179" i="24"/>
  <c r="C4178" i="24"/>
  <c r="C4177" i="24"/>
  <c r="C4176" i="24"/>
  <c r="C4175" i="24"/>
  <c r="C4174" i="24"/>
  <c r="C4173" i="24"/>
  <c r="C4172" i="24"/>
  <c r="C4171" i="24"/>
  <c r="C4170" i="24"/>
  <c r="C4169" i="24"/>
  <c r="C4168" i="24"/>
  <c r="C4167" i="24"/>
  <c r="C4166" i="24"/>
  <c r="C4165" i="24"/>
  <c r="C4164" i="24"/>
  <c r="C4163" i="24"/>
  <c r="C4162" i="24"/>
  <c r="C4161" i="24"/>
  <c r="C4160" i="24"/>
  <c r="C4159" i="24"/>
  <c r="C4158" i="24"/>
  <c r="C4157" i="24"/>
  <c r="C4156" i="24"/>
  <c r="C4155" i="24"/>
  <c r="C4154" i="24"/>
  <c r="C4153" i="24"/>
  <c r="C4152" i="24"/>
  <c r="C4151" i="24"/>
  <c r="C4150" i="24"/>
  <c r="C4149" i="24"/>
  <c r="C4148" i="24"/>
  <c r="C4147" i="24"/>
  <c r="C4146" i="24"/>
  <c r="C4145" i="24"/>
  <c r="C4144" i="24"/>
  <c r="C4143" i="24"/>
  <c r="C4142" i="24"/>
  <c r="C4141" i="24"/>
  <c r="C4140" i="24"/>
  <c r="C4139" i="24"/>
  <c r="C4138" i="24"/>
  <c r="C4137" i="24"/>
  <c r="C4136" i="24"/>
  <c r="C4135" i="24"/>
  <c r="C4134" i="24"/>
  <c r="C4133" i="24"/>
  <c r="C4132" i="24"/>
  <c r="C4131" i="24"/>
  <c r="C4130" i="24"/>
  <c r="C4129" i="24"/>
  <c r="C4128" i="24"/>
  <c r="C4127" i="24"/>
  <c r="C4126" i="24"/>
  <c r="C4125" i="24"/>
  <c r="C4124" i="24"/>
  <c r="C4123" i="24"/>
  <c r="C4122" i="24"/>
  <c r="C4121" i="24"/>
  <c r="C4120" i="24"/>
  <c r="C4119" i="24"/>
  <c r="C4118" i="24"/>
  <c r="C4117" i="24"/>
  <c r="C4116" i="24"/>
  <c r="C4115" i="24"/>
  <c r="C4114" i="24"/>
  <c r="C4113" i="24"/>
  <c r="C4112" i="24"/>
  <c r="C4111" i="24"/>
  <c r="C4110" i="24"/>
  <c r="C4109" i="24"/>
  <c r="C4108" i="24"/>
  <c r="C4107" i="24"/>
  <c r="C4106" i="24"/>
  <c r="C4105" i="24"/>
  <c r="C4104" i="24"/>
  <c r="C4103" i="24"/>
  <c r="C4102" i="24"/>
  <c r="C4101" i="24"/>
  <c r="C4100" i="24"/>
  <c r="C4099" i="24"/>
  <c r="C4098" i="24"/>
  <c r="C4097" i="24"/>
  <c r="C4096" i="24"/>
  <c r="C4095" i="24"/>
  <c r="C4094" i="24"/>
  <c r="C4093" i="24"/>
  <c r="C4092" i="24"/>
  <c r="C4091" i="24"/>
  <c r="C4090" i="24"/>
  <c r="C4089" i="24"/>
  <c r="C4088" i="24"/>
  <c r="C4087" i="24"/>
  <c r="C4086" i="24"/>
  <c r="C4085" i="24"/>
  <c r="C4084" i="24"/>
  <c r="C4083" i="24"/>
  <c r="C4082" i="24"/>
  <c r="C4081" i="24"/>
  <c r="C4080" i="24"/>
  <c r="C4079" i="24"/>
  <c r="C4078" i="24"/>
  <c r="C4077" i="24"/>
  <c r="C4076" i="24"/>
  <c r="C4075" i="24"/>
  <c r="C4074" i="24"/>
  <c r="C4073" i="24"/>
  <c r="C4072" i="24"/>
  <c r="C4071" i="24"/>
  <c r="C4070" i="24"/>
  <c r="C4069" i="24"/>
  <c r="C4068" i="24"/>
  <c r="C4067" i="24"/>
  <c r="C4066" i="24"/>
  <c r="C4065" i="24"/>
  <c r="C4064" i="24"/>
  <c r="C4063" i="24"/>
  <c r="C4062" i="24"/>
  <c r="C4061" i="24"/>
  <c r="C4060" i="24"/>
  <c r="C4059" i="24"/>
  <c r="C4058" i="24"/>
  <c r="C4057" i="24"/>
  <c r="C4056" i="24"/>
  <c r="C4055" i="24"/>
  <c r="C4054" i="24"/>
  <c r="C4053" i="24"/>
  <c r="C4052" i="24"/>
  <c r="C4051" i="24"/>
  <c r="C4050" i="24"/>
  <c r="C4049" i="24"/>
  <c r="C4048" i="24"/>
  <c r="C4047" i="24"/>
  <c r="C4046" i="24"/>
  <c r="C4045" i="24"/>
  <c r="C4044" i="24"/>
  <c r="C4043" i="24"/>
  <c r="C4042" i="24"/>
  <c r="C4041" i="24"/>
  <c r="C4040" i="24"/>
  <c r="C4039" i="24"/>
  <c r="C4038" i="24"/>
  <c r="C4037" i="24"/>
  <c r="C4036" i="24"/>
  <c r="C4035" i="24"/>
  <c r="C4034" i="24"/>
  <c r="C4033" i="24"/>
  <c r="C4032" i="24"/>
  <c r="C4031" i="24"/>
  <c r="C4030" i="24"/>
  <c r="C4029" i="24"/>
  <c r="C4028" i="24"/>
  <c r="C4027" i="24"/>
  <c r="C4026" i="24"/>
  <c r="C4025" i="24"/>
  <c r="C4024" i="24"/>
  <c r="C4023" i="24"/>
  <c r="C4022" i="24"/>
  <c r="C4021" i="24"/>
  <c r="C4020" i="24"/>
  <c r="C4019" i="24"/>
  <c r="C4018" i="24"/>
  <c r="C4017" i="24"/>
  <c r="C4016" i="24"/>
  <c r="C4015" i="24"/>
  <c r="C4014" i="24"/>
  <c r="C4013" i="24"/>
  <c r="C4012" i="24"/>
  <c r="C4011" i="24"/>
  <c r="C4010" i="24"/>
  <c r="C4009" i="24"/>
  <c r="C4008" i="24"/>
  <c r="C4007" i="24"/>
  <c r="C4006" i="24"/>
  <c r="C4005" i="24"/>
  <c r="C4004" i="24"/>
  <c r="C4003" i="24"/>
  <c r="C4002" i="24"/>
  <c r="C4001" i="24"/>
  <c r="C4000" i="24"/>
  <c r="C3999" i="24"/>
  <c r="C3998" i="24"/>
  <c r="C3997" i="24"/>
  <c r="C3996" i="24"/>
  <c r="C3995" i="24"/>
  <c r="C3994" i="24"/>
  <c r="C3993" i="24"/>
  <c r="C3992" i="24"/>
  <c r="C3991" i="24"/>
  <c r="C3990" i="24"/>
  <c r="C3989" i="24"/>
  <c r="C3988" i="24"/>
  <c r="C3987" i="24"/>
  <c r="C3986" i="24"/>
  <c r="C3985" i="24"/>
  <c r="C3984" i="24"/>
  <c r="C3983" i="24"/>
  <c r="C3982" i="24"/>
  <c r="C3981" i="24"/>
  <c r="C3980" i="24"/>
  <c r="C3979" i="24"/>
  <c r="C3978" i="24"/>
  <c r="C3977" i="24"/>
  <c r="C3976" i="24"/>
  <c r="C3975" i="24"/>
  <c r="C3974" i="24"/>
  <c r="C3973" i="24"/>
  <c r="C3972" i="24"/>
  <c r="C3971" i="24"/>
  <c r="C3970" i="24"/>
  <c r="C3969" i="24"/>
  <c r="C3968" i="24"/>
  <c r="C3967" i="24"/>
  <c r="C3966" i="24"/>
  <c r="C3965" i="24"/>
  <c r="C3964" i="24"/>
  <c r="C3963" i="24"/>
  <c r="C3962" i="24"/>
  <c r="C3961" i="24"/>
  <c r="C3960" i="24"/>
  <c r="C3959" i="24"/>
  <c r="C3958" i="24"/>
  <c r="C3957" i="24"/>
  <c r="C3956" i="24"/>
  <c r="C3955" i="24"/>
  <c r="C3954" i="24"/>
  <c r="C3953" i="24"/>
  <c r="C3952" i="24"/>
  <c r="C3951" i="24"/>
  <c r="C3950" i="24"/>
  <c r="C3949" i="24"/>
  <c r="C3948" i="24"/>
  <c r="C3947" i="24"/>
  <c r="C3946" i="24"/>
  <c r="C3945" i="24"/>
  <c r="C3944" i="24"/>
  <c r="C3943" i="24"/>
  <c r="C3942" i="24"/>
  <c r="C3941" i="24"/>
  <c r="C3940" i="24"/>
  <c r="C3939" i="24"/>
  <c r="C3938" i="24"/>
  <c r="C3937" i="24"/>
  <c r="C3936" i="24"/>
  <c r="C3935" i="24"/>
  <c r="C3934" i="24"/>
  <c r="C3933" i="24"/>
  <c r="C3932" i="24"/>
  <c r="C3931" i="24"/>
  <c r="C3930" i="24"/>
  <c r="C3929" i="24"/>
  <c r="C3928" i="24"/>
  <c r="C3927" i="24"/>
  <c r="C3926" i="24"/>
  <c r="C3925" i="24"/>
  <c r="C3924" i="24"/>
  <c r="C3923" i="24"/>
  <c r="C3922" i="24"/>
  <c r="C3921" i="24"/>
  <c r="C3920" i="24"/>
  <c r="C3919" i="24"/>
  <c r="C3918" i="24"/>
  <c r="C3917" i="24"/>
  <c r="C3916" i="24"/>
  <c r="C3915" i="24"/>
  <c r="C3914" i="24"/>
  <c r="C3913" i="24"/>
  <c r="C3912" i="24"/>
  <c r="C3911" i="24"/>
  <c r="C3910" i="24"/>
  <c r="C3909" i="24"/>
  <c r="C3908" i="24"/>
  <c r="C3907" i="24"/>
  <c r="C3906" i="24"/>
  <c r="C3905" i="24"/>
  <c r="C3904" i="24"/>
  <c r="C3903" i="24"/>
  <c r="C3902" i="24"/>
  <c r="C3901" i="24"/>
  <c r="C3900" i="24"/>
  <c r="C3899" i="24"/>
  <c r="C3898" i="24"/>
  <c r="C3897" i="24"/>
  <c r="C3896" i="24"/>
  <c r="C3895" i="24"/>
  <c r="C3894" i="24"/>
  <c r="C3893" i="24"/>
  <c r="C3892" i="24"/>
  <c r="C3891" i="24"/>
  <c r="C3890" i="24"/>
  <c r="C3889" i="24"/>
  <c r="C3888" i="24"/>
  <c r="C3887" i="24"/>
  <c r="C3886" i="24"/>
  <c r="C3885" i="24"/>
  <c r="C3884" i="24"/>
  <c r="C3883" i="24"/>
  <c r="C3882" i="24"/>
  <c r="C3881" i="24"/>
  <c r="C3880" i="24"/>
  <c r="C3879" i="24"/>
  <c r="C3878" i="24"/>
  <c r="C3877" i="24"/>
  <c r="C3876" i="24"/>
  <c r="C3875" i="24"/>
  <c r="C3874" i="24"/>
  <c r="C3873" i="24"/>
  <c r="C3872" i="24"/>
  <c r="C3871" i="24"/>
  <c r="C3870" i="24"/>
  <c r="C3869" i="24"/>
  <c r="C3868" i="24"/>
  <c r="C3867" i="24"/>
  <c r="C3866" i="24"/>
  <c r="C3865" i="24"/>
  <c r="C3864" i="24"/>
  <c r="C3863" i="24"/>
  <c r="C3862" i="24"/>
  <c r="C3861" i="24"/>
  <c r="C3860" i="24"/>
  <c r="C3859" i="24"/>
  <c r="C3858" i="24"/>
  <c r="C3857" i="24"/>
  <c r="C3856" i="24"/>
  <c r="C3855" i="24"/>
  <c r="C3854" i="24"/>
  <c r="C3853" i="24"/>
  <c r="C3852" i="24"/>
  <c r="C3851" i="24"/>
  <c r="C3850" i="24"/>
  <c r="C3849" i="24"/>
  <c r="C3848" i="24"/>
  <c r="C3847" i="24"/>
  <c r="C3846" i="24"/>
  <c r="C3845" i="24"/>
  <c r="C3844" i="24"/>
  <c r="C3843" i="24"/>
  <c r="C3842" i="24"/>
  <c r="C3841" i="24"/>
  <c r="C3840" i="24"/>
  <c r="C3839" i="24"/>
  <c r="C3838" i="24"/>
  <c r="C3837" i="24"/>
  <c r="C3836" i="24"/>
  <c r="C3835" i="24"/>
  <c r="C3834" i="24"/>
  <c r="C3833" i="24"/>
  <c r="C3832" i="24"/>
  <c r="C3831" i="24"/>
  <c r="C3830" i="24"/>
  <c r="C3829" i="24"/>
  <c r="C3828" i="24"/>
  <c r="C3827" i="24"/>
  <c r="C3826" i="24"/>
  <c r="C3825" i="24"/>
  <c r="C3824" i="24"/>
  <c r="C3823" i="24"/>
  <c r="C3822" i="24"/>
  <c r="C3821" i="24"/>
  <c r="C3820" i="24"/>
  <c r="C3819" i="24"/>
  <c r="C3818" i="24"/>
  <c r="C3817" i="24"/>
  <c r="C3816" i="24"/>
  <c r="C3815" i="24"/>
  <c r="C3814" i="24"/>
  <c r="C3813" i="24"/>
  <c r="C3812" i="24"/>
  <c r="C3811" i="24"/>
  <c r="C3810" i="24"/>
  <c r="C3809" i="24"/>
  <c r="C3808" i="24"/>
  <c r="C3807" i="24"/>
  <c r="C3806" i="24"/>
  <c r="C3805" i="24"/>
  <c r="C3804" i="24"/>
  <c r="C3803" i="24"/>
  <c r="C3802" i="24"/>
  <c r="C3801" i="24"/>
  <c r="C3800" i="24"/>
  <c r="C3799" i="24"/>
  <c r="C3798" i="24"/>
  <c r="C3797" i="24"/>
  <c r="C3796" i="24"/>
  <c r="C3795" i="24"/>
  <c r="C3794" i="24"/>
  <c r="C3793" i="24"/>
  <c r="C3792" i="24"/>
  <c r="C3791" i="24"/>
  <c r="C3790" i="24"/>
  <c r="C3789" i="24"/>
  <c r="C3788" i="24"/>
  <c r="C3787" i="24"/>
  <c r="C3786" i="24"/>
  <c r="C3785" i="24"/>
  <c r="C3784" i="24"/>
  <c r="C3783" i="24"/>
  <c r="C3782" i="24"/>
  <c r="C3781" i="24"/>
  <c r="C3780" i="24"/>
  <c r="C3779" i="24"/>
  <c r="C3778" i="24"/>
  <c r="C3777" i="24"/>
  <c r="C3776" i="24"/>
  <c r="C3775" i="24"/>
  <c r="C3774" i="24"/>
  <c r="C3773" i="24"/>
  <c r="C3772" i="24"/>
  <c r="C3771" i="24"/>
  <c r="C3770" i="24"/>
  <c r="C3769" i="24"/>
  <c r="C3768" i="24"/>
  <c r="C3767" i="24"/>
  <c r="C3766" i="24"/>
  <c r="C3765" i="24"/>
  <c r="C3764" i="24"/>
  <c r="C3763" i="24"/>
  <c r="C3762" i="24"/>
  <c r="C3761" i="24"/>
  <c r="C3760" i="24"/>
  <c r="C3759" i="24"/>
  <c r="C3758" i="24"/>
  <c r="C3757" i="24"/>
  <c r="C3756" i="24"/>
  <c r="C3755" i="24"/>
  <c r="C3754" i="24"/>
  <c r="C3753" i="24"/>
  <c r="C3752" i="24"/>
  <c r="C3751" i="24"/>
  <c r="C3750" i="24"/>
  <c r="C3749" i="24"/>
  <c r="C3748" i="24"/>
  <c r="C3747" i="24"/>
  <c r="C3746" i="24"/>
  <c r="C3745" i="24"/>
  <c r="C3744" i="24"/>
  <c r="C3743" i="24"/>
  <c r="C3742" i="24"/>
  <c r="C3741" i="24"/>
  <c r="C3740" i="24"/>
  <c r="C3739" i="24"/>
  <c r="C3738" i="24"/>
  <c r="C3737" i="24"/>
  <c r="C3736" i="24"/>
  <c r="C3735" i="24"/>
  <c r="C3734" i="24"/>
  <c r="C3733" i="24"/>
  <c r="C3732" i="24"/>
  <c r="C3731" i="24"/>
  <c r="C3730" i="24"/>
  <c r="C3729" i="24"/>
  <c r="C3728" i="24"/>
  <c r="C3727" i="24"/>
  <c r="C3726" i="24"/>
  <c r="C3725" i="24"/>
  <c r="C3724" i="24"/>
  <c r="C3723" i="24"/>
  <c r="C3722" i="24"/>
  <c r="C3721" i="24"/>
  <c r="C3720" i="24"/>
  <c r="C3719" i="24"/>
  <c r="C3718" i="24"/>
  <c r="C3717" i="24"/>
  <c r="C3716" i="24"/>
  <c r="C3715" i="24"/>
  <c r="C3714" i="24"/>
  <c r="C3713" i="24"/>
  <c r="C3712" i="24"/>
  <c r="C3711" i="24"/>
  <c r="C3710" i="24"/>
  <c r="C3709" i="24"/>
  <c r="C3708" i="24"/>
  <c r="C3707" i="24"/>
  <c r="C3706" i="24"/>
  <c r="C3705" i="24"/>
  <c r="C3704" i="24"/>
  <c r="C3703" i="24"/>
  <c r="C3702" i="24"/>
  <c r="C3701" i="24"/>
  <c r="C3700" i="24"/>
  <c r="C3699" i="24"/>
  <c r="C3698" i="24"/>
  <c r="C3697" i="24"/>
  <c r="C3696" i="24"/>
  <c r="C3695" i="24"/>
  <c r="C3694" i="24"/>
  <c r="C3693" i="24"/>
  <c r="C3692" i="24"/>
  <c r="C3691" i="24"/>
  <c r="C3690" i="24"/>
  <c r="C3689" i="24"/>
  <c r="C3688" i="24"/>
  <c r="C3687" i="24"/>
  <c r="C3686" i="24"/>
  <c r="C3685" i="24"/>
  <c r="C3684" i="24"/>
  <c r="C3683" i="24"/>
  <c r="C3682" i="24"/>
  <c r="C3681" i="24"/>
  <c r="C3680" i="24"/>
  <c r="C3679" i="24"/>
  <c r="C3678" i="24"/>
  <c r="C3677" i="24"/>
  <c r="C3676" i="24"/>
  <c r="C3675" i="24"/>
  <c r="C3674" i="24"/>
  <c r="C3673" i="24"/>
  <c r="C3672" i="24"/>
  <c r="C3671" i="24"/>
  <c r="C3670" i="24"/>
  <c r="C3669" i="24"/>
  <c r="C3668" i="24"/>
  <c r="C3667" i="24"/>
  <c r="C3666" i="24"/>
  <c r="C3665" i="24"/>
  <c r="C3664" i="24"/>
  <c r="C3663" i="24"/>
  <c r="C3662" i="24"/>
  <c r="C3661" i="24"/>
  <c r="C3660" i="24"/>
  <c r="C3659" i="24"/>
  <c r="C3658" i="24"/>
  <c r="C3657" i="24"/>
  <c r="C3656" i="24"/>
  <c r="C3655" i="24"/>
  <c r="C3654" i="24"/>
  <c r="C3653" i="24"/>
  <c r="C3652" i="24"/>
  <c r="C3651" i="24"/>
  <c r="C3650" i="24"/>
  <c r="C3649" i="24"/>
  <c r="C3648" i="24"/>
  <c r="C3647" i="24"/>
  <c r="C3646" i="24"/>
  <c r="C3645" i="24"/>
  <c r="C3644" i="24"/>
  <c r="C3643" i="24"/>
  <c r="C3642" i="24"/>
  <c r="C3641" i="24"/>
  <c r="C3640" i="24"/>
  <c r="C3639" i="24"/>
  <c r="C3638" i="24"/>
  <c r="C3637" i="24"/>
  <c r="C3636" i="24"/>
  <c r="C3635" i="24"/>
  <c r="C3634" i="24"/>
  <c r="C3633" i="24"/>
  <c r="C3632" i="24"/>
  <c r="C3631" i="24"/>
  <c r="C3630" i="24"/>
  <c r="C3629" i="24"/>
  <c r="C3628" i="24"/>
  <c r="C3627" i="24"/>
  <c r="C3626" i="24"/>
  <c r="C3625" i="24"/>
  <c r="C3624" i="24"/>
  <c r="C3623" i="24"/>
  <c r="C3622" i="24"/>
  <c r="C3621" i="24"/>
  <c r="C3620" i="24"/>
  <c r="C3619" i="24"/>
  <c r="C3618" i="24"/>
  <c r="C3617" i="24"/>
  <c r="C3616" i="24"/>
  <c r="C3615" i="24"/>
  <c r="C3614" i="24"/>
  <c r="C3613" i="24"/>
  <c r="C3612" i="24"/>
  <c r="C3611" i="24"/>
  <c r="C3610" i="24"/>
  <c r="C3609" i="24"/>
  <c r="C3608" i="24"/>
  <c r="C3607" i="24"/>
  <c r="C3606" i="24"/>
  <c r="C3605" i="24"/>
  <c r="C3604" i="24"/>
  <c r="C3603" i="24"/>
  <c r="C3602" i="24"/>
  <c r="C3601" i="24"/>
  <c r="C3600" i="24"/>
  <c r="C3599" i="24"/>
  <c r="C3598" i="24"/>
  <c r="C3597" i="24"/>
  <c r="C3596" i="24"/>
  <c r="C3595" i="24"/>
  <c r="C3594" i="24"/>
  <c r="C3593" i="24"/>
  <c r="C3592" i="24"/>
  <c r="C3591" i="24"/>
  <c r="C3590" i="24"/>
  <c r="C3589" i="24"/>
  <c r="C3588" i="24"/>
  <c r="C3587" i="24"/>
  <c r="C3586" i="24"/>
  <c r="C3585" i="24"/>
  <c r="C3584" i="24"/>
  <c r="C3583" i="24"/>
  <c r="C3582" i="24"/>
  <c r="C3581" i="24"/>
  <c r="C3580" i="24"/>
  <c r="C3579" i="24"/>
  <c r="C3578" i="24"/>
  <c r="C3577" i="24"/>
  <c r="C3576" i="24"/>
  <c r="C3575" i="24"/>
  <c r="C3574" i="24"/>
  <c r="C3573" i="24"/>
  <c r="C3572" i="24"/>
  <c r="C3571" i="24"/>
  <c r="C3570" i="24"/>
  <c r="C3569" i="24"/>
  <c r="C3568" i="24"/>
  <c r="C3567" i="24"/>
  <c r="C3566" i="24"/>
  <c r="C3565" i="24"/>
  <c r="C3564" i="24"/>
  <c r="C3563" i="24"/>
  <c r="C3562" i="24"/>
  <c r="C3561" i="24"/>
  <c r="C3560" i="24"/>
  <c r="C3559" i="24"/>
  <c r="C3558" i="24"/>
  <c r="C3557" i="24"/>
  <c r="C3556" i="24"/>
  <c r="C3555" i="24"/>
  <c r="C3554" i="24"/>
  <c r="C3553" i="24"/>
  <c r="C3552" i="24"/>
  <c r="C3551" i="24"/>
  <c r="C3550" i="24"/>
  <c r="C3549" i="24"/>
  <c r="C3548" i="24"/>
  <c r="C3547" i="24"/>
  <c r="C3546" i="24"/>
  <c r="C3545" i="24"/>
  <c r="C3544" i="24"/>
  <c r="C3543" i="24"/>
  <c r="C3542" i="24"/>
  <c r="C3541" i="24"/>
  <c r="C3540" i="24"/>
  <c r="C3539" i="24"/>
  <c r="C3538" i="24"/>
  <c r="C3537" i="24"/>
  <c r="C3536" i="24"/>
  <c r="C3535" i="24"/>
  <c r="C3534" i="24"/>
  <c r="C3533" i="24"/>
  <c r="C3532" i="24"/>
  <c r="C3531" i="24"/>
  <c r="C3530" i="24"/>
  <c r="C3529" i="24"/>
  <c r="C3528" i="24"/>
  <c r="C3527" i="24"/>
  <c r="C3526" i="24"/>
  <c r="C3525" i="24"/>
  <c r="C3524" i="24"/>
  <c r="C3523" i="24"/>
  <c r="C3522" i="24"/>
  <c r="C3521" i="24"/>
  <c r="C3520" i="24"/>
  <c r="C3519" i="24"/>
  <c r="C3518" i="24"/>
  <c r="C3517" i="24"/>
  <c r="C3516" i="24"/>
  <c r="C3515" i="24"/>
  <c r="C3514" i="24"/>
  <c r="C3513" i="24"/>
  <c r="C3512" i="24"/>
  <c r="C3511" i="24"/>
  <c r="C3510" i="24"/>
  <c r="C3509" i="24"/>
  <c r="C3508" i="24"/>
  <c r="C3507" i="24"/>
  <c r="C3506" i="24"/>
  <c r="C3505" i="24"/>
  <c r="C3504" i="24"/>
  <c r="C3503" i="24"/>
  <c r="C3502" i="24"/>
  <c r="C3501" i="24"/>
  <c r="C3500" i="24"/>
  <c r="C3499" i="24"/>
  <c r="C3498" i="24"/>
  <c r="C3497" i="24"/>
  <c r="C3496" i="24"/>
  <c r="C3495" i="24"/>
  <c r="C3494" i="24"/>
  <c r="C3493" i="24"/>
  <c r="C3492" i="24"/>
  <c r="C3491" i="24"/>
  <c r="C3490" i="24"/>
  <c r="C3489" i="24"/>
  <c r="C3488" i="24"/>
  <c r="C3487" i="24"/>
  <c r="C3486" i="24"/>
  <c r="C3485" i="24"/>
  <c r="C3484" i="24"/>
  <c r="C3483" i="24"/>
  <c r="C3482" i="24"/>
  <c r="C3481" i="24"/>
  <c r="C3480" i="24"/>
  <c r="C3479" i="24"/>
  <c r="C3478" i="24"/>
  <c r="C3477" i="24"/>
  <c r="C3476" i="24"/>
  <c r="C3475" i="24"/>
  <c r="C3474" i="24"/>
  <c r="C3473" i="24"/>
  <c r="C3472" i="24"/>
  <c r="C3471" i="24"/>
  <c r="C3470" i="24"/>
  <c r="C3469" i="24"/>
  <c r="C3468" i="24"/>
  <c r="C3467" i="24"/>
  <c r="C3466" i="24"/>
  <c r="C3465" i="24"/>
  <c r="C3464" i="24"/>
  <c r="C3463" i="24"/>
  <c r="C3462" i="24"/>
  <c r="C3461" i="24"/>
  <c r="C3460" i="24"/>
  <c r="C3459" i="24"/>
  <c r="C3458" i="24"/>
  <c r="C3457" i="24"/>
  <c r="C3456" i="24"/>
  <c r="C3455" i="24"/>
  <c r="C3454" i="24"/>
  <c r="C3453" i="24"/>
  <c r="C3452" i="24"/>
  <c r="C3451" i="24"/>
  <c r="C3450" i="24"/>
  <c r="C3449" i="24"/>
  <c r="C3448" i="24"/>
  <c r="C3447" i="24"/>
  <c r="C3446" i="24"/>
  <c r="C3445" i="24"/>
  <c r="C3444" i="24"/>
  <c r="C3443" i="24"/>
  <c r="C3442" i="24"/>
  <c r="C3441" i="24"/>
  <c r="C3440" i="24"/>
  <c r="C3439" i="24"/>
  <c r="C3438" i="24"/>
  <c r="C3437" i="24"/>
  <c r="C3436" i="24"/>
  <c r="C3435" i="24"/>
  <c r="C3434" i="24"/>
  <c r="C3433" i="24"/>
  <c r="C3432" i="24"/>
  <c r="C3431" i="24"/>
  <c r="C3430" i="24"/>
  <c r="C3429" i="24"/>
  <c r="C3428" i="24"/>
  <c r="C3427" i="24"/>
  <c r="C3426" i="24"/>
  <c r="C3425" i="24"/>
  <c r="C3424" i="24"/>
  <c r="C3423" i="24"/>
  <c r="C3422" i="24"/>
  <c r="C3421" i="24"/>
  <c r="C3420" i="24"/>
  <c r="C3419" i="24"/>
  <c r="C3418" i="24"/>
  <c r="C3417" i="24"/>
  <c r="C3416" i="24"/>
  <c r="C3415" i="24"/>
  <c r="C3414" i="24"/>
  <c r="C3413" i="24"/>
  <c r="C3412" i="24"/>
  <c r="C3411" i="24"/>
  <c r="C3410" i="24"/>
  <c r="C3409" i="24"/>
  <c r="C3408" i="24"/>
  <c r="C3407" i="24"/>
  <c r="C3406" i="24"/>
  <c r="C3405" i="24"/>
  <c r="C3404" i="24"/>
  <c r="C3403" i="24"/>
  <c r="C3402" i="24"/>
  <c r="C3401" i="24"/>
  <c r="C3400" i="24"/>
  <c r="C3399" i="24"/>
  <c r="C3398" i="24"/>
  <c r="C3397" i="24"/>
  <c r="C3396" i="24"/>
  <c r="C3395" i="24"/>
  <c r="C3394" i="24"/>
  <c r="C3393" i="24"/>
  <c r="C3392" i="24"/>
  <c r="C3391" i="24"/>
  <c r="C3390" i="24"/>
  <c r="C3389" i="24"/>
  <c r="C3388" i="24"/>
  <c r="C3387" i="24"/>
  <c r="C3386" i="24"/>
  <c r="C3385" i="24"/>
  <c r="C3384" i="24"/>
  <c r="C3383" i="24"/>
  <c r="C3382" i="24"/>
  <c r="C3381" i="24"/>
  <c r="C3380" i="24"/>
  <c r="C3379" i="24"/>
  <c r="C3378" i="24"/>
  <c r="C3377" i="24"/>
  <c r="C3376" i="24"/>
  <c r="C3375" i="24"/>
  <c r="C3374" i="24"/>
  <c r="C3373" i="24"/>
  <c r="C3372" i="24"/>
  <c r="C3371" i="24"/>
  <c r="C3370" i="24"/>
  <c r="C3369" i="24"/>
  <c r="C3368" i="24"/>
  <c r="C3367" i="24"/>
  <c r="C3366" i="24"/>
  <c r="C3365" i="24"/>
  <c r="C3364" i="24"/>
  <c r="C3363" i="24"/>
  <c r="C3362" i="24"/>
  <c r="C3361" i="24"/>
  <c r="C3360" i="24"/>
  <c r="C3359" i="24"/>
  <c r="C3358" i="24"/>
  <c r="C3357" i="24"/>
  <c r="C3356" i="24"/>
  <c r="C3355" i="24"/>
  <c r="C3354" i="24"/>
  <c r="C3353" i="24"/>
  <c r="C3352" i="24"/>
  <c r="C3351" i="24"/>
  <c r="C3350" i="24"/>
  <c r="C3349" i="24"/>
  <c r="C3348" i="24"/>
  <c r="C3347" i="24"/>
  <c r="C3346" i="24"/>
  <c r="C3345" i="24"/>
  <c r="C3344" i="24"/>
  <c r="C3343" i="24"/>
  <c r="C3342" i="24"/>
  <c r="C3341" i="24"/>
  <c r="C3340" i="24"/>
  <c r="C3339" i="24"/>
  <c r="C3338" i="24"/>
  <c r="C3337" i="24"/>
  <c r="C3336" i="24"/>
  <c r="C3335" i="24"/>
  <c r="C3334" i="24"/>
  <c r="C3333" i="24"/>
  <c r="C3332" i="24"/>
  <c r="C3331" i="24"/>
  <c r="C3330" i="24"/>
  <c r="C3329" i="24"/>
  <c r="C3328" i="24"/>
  <c r="C3327" i="24"/>
  <c r="C3326" i="24"/>
  <c r="C3325" i="24"/>
  <c r="C3324" i="24"/>
  <c r="C3323" i="24"/>
  <c r="C3322" i="24"/>
  <c r="C3321" i="24"/>
  <c r="C3320" i="24"/>
  <c r="C3319" i="24"/>
  <c r="C3318" i="24"/>
  <c r="C3317" i="24"/>
  <c r="C3316" i="24"/>
  <c r="C3315" i="24"/>
  <c r="C3314" i="24"/>
  <c r="C3313" i="24"/>
  <c r="C3312" i="24"/>
  <c r="C3311" i="24"/>
  <c r="C3310" i="24"/>
  <c r="C3309" i="24"/>
  <c r="C3308" i="24"/>
  <c r="C3307" i="24"/>
  <c r="C3306" i="24"/>
  <c r="C3305" i="24"/>
  <c r="C3304" i="24"/>
  <c r="C3303" i="24"/>
  <c r="C3302" i="24"/>
  <c r="C3301" i="24"/>
  <c r="C3300" i="24"/>
  <c r="C3299" i="24"/>
  <c r="C3298" i="24"/>
  <c r="C3297" i="24"/>
  <c r="C3296" i="24"/>
  <c r="C3295" i="24"/>
  <c r="C3294" i="24"/>
  <c r="C3293" i="24"/>
  <c r="C3292" i="24"/>
  <c r="C3291" i="24"/>
  <c r="C3290" i="24"/>
  <c r="C3289" i="24"/>
  <c r="C3288" i="24"/>
  <c r="C3287" i="24"/>
  <c r="C3286" i="24"/>
  <c r="C3285" i="24"/>
  <c r="C3284" i="24"/>
  <c r="C3283" i="24"/>
  <c r="C3282" i="24"/>
  <c r="C3281" i="24"/>
  <c r="C3280" i="24"/>
  <c r="C3279" i="24"/>
  <c r="C3278" i="24"/>
  <c r="C3277" i="24"/>
  <c r="C3276" i="24"/>
  <c r="C3275" i="24"/>
  <c r="C3274" i="24"/>
  <c r="C3273" i="24"/>
  <c r="C3272" i="24"/>
  <c r="C3271" i="24"/>
  <c r="C3270" i="24"/>
  <c r="C3269" i="24"/>
  <c r="C3268" i="24"/>
  <c r="C3267" i="24"/>
  <c r="C3266" i="24"/>
  <c r="C3265" i="24"/>
  <c r="C3264" i="24"/>
  <c r="C3263" i="24"/>
  <c r="C3262" i="24"/>
  <c r="C3261" i="24"/>
  <c r="C3260" i="24"/>
  <c r="C3259" i="24"/>
  <c r="C3258" i="24"/>
  <c r="C3257" i="24"/>
  <c r="C3256" i="24"/>
  <c r="C3255" i="24"/>
  <c r="C3254" i="24"/>
  <c r="C3253" i="24"/>
  <c r="C3252" i="24"/>
  <c r="C3251" i="24"/>
  <c r="C3250" i="24"/>
  <c r="C3249" i="24"/>
  <c r="C3248" i="24"/>
  <c r="C3247" i="24"/>
  <c r="C3246" i="24"/>
  <c r="C3245" i="24"/>
  <c r="C3244" i="24"/>
  <c r="C3243" i="24"/>
  <c r="C3242" i="24"/>
  <c r="C3241" i="24"/>
  <c r="C3240" i="24"/>
  <c r="C3239" i="24"/>
  <c r="C3238" i="24"/>
  <c r="C3237" i="24"/>
  <c r="C3236" i="24"/>
  <c r="C3235" i="24"/>
  <c r="C3234" i="24"/>
  <c r="C3233" i="24"/>
  <c r="C3232" i="24"/>
  <c r="C3231" i="24"/>
  <c r="C3230" i="24"/>
  <c r="C3229" i="24"/>
  <c r="C3228" i="24"/>
  <c r="C3227" i="24"/>
  <c r="C3226" i="24"/>
  <c r="C3225" i="24"/>
  <c r="C3224" i="24"/>
  <c r="C3223" i="24"/>
  <c r="C3222" i="24"/>
  <c r="C3221" i="24"/>
  <c r="C3220" i="24"/>
  <c r="C3219" i="24"/>
  <c r="C3218" i="24"/>
  <c r="C3217" i="24"/>
  <c r="C3216" i="24"/>
  <c r="C3215" i="24"/>
  <c r="C3214" i="24"/>
  <c r="C3213" i="24"/>
  <c r="C3212" i="24"/>
  <c r="C3211" i="24"/>
  <c r="C3210" i="24"/>
  <c r="C3209" i="24"/>
  <c r="C3208" i="24"/>
  <c r="C3207" i="24"/>
  <c r="C3206" i="24"/>
  <c r="C3205" i="24"/>
  <c r="C3204" i="24"/>
  <c r="C3203" i="24"/>
  <c r="C3202" i="24"/>
  <c r="C3201" i="24"/>
  <c r="C3200" i="24"/>
  <c r="C3199" i="24"/>
  <c r="C3198" i="24"/>
  <c r="C3197" i="24"/>
  <c r="C3196" i="24"/>
  <c r="C3195" i="24"/>
  <c r="C3194" i="24"/>
  <c r="C3193" i="24"/>
  <c r="C3192" i="24"/>
  <c r="C3191" i="24"/>
  <c r="C3190" i="24"/>
  <c r="C3189" i="24"/>
  <c r="C3188" i="24"/>
  <c r="C3187" i="24"/>
  <c r="C3186" i="24"/>
  <c r="C3185" i="24"/>
  <c r="C3184" i="24"/>
  <c r="C3183" i="24"/>
  <c r="C3182" i="24"/>
  <c r="C3181" i="24"/>
  <c r="C3180" i="24"/>
  <c r="C3179" i="24"/>
  <c r="C3178" i="24"/>
  <c r="C3177" i="24"/>
  <c r="C3176" i="24"/>
  <c r="C3175" i="24"/>
  <c r="C3174" i="24"/>
  <c r="C3173" i="24"/>
  <c r="C3172" i="24"/>
  <c r="C3171" i="24"/>
  <c r="C3170" i="24"/>
  <c r="C3169" i="24"/>
  <c r="C3168" i="24"/>
  <c r="C3167" i="24"/>
  <c r="C3166" i="24"/>
  <c r="C3165" i="24"/>
  <c r="C3164" i="24"/>
  <c r="C3163" i="24"/>
  <c r="C3162" i="24"/>
  <c r="C3161" i="24"/>
  <c r="C3160" i="24"/>
  <c r="C3159" i="24"/>
  <c r="C3158" i="24"/>
  <c r="C3157" i="24"/>
  <c r="C3156" i="24"/>
  <c r="C3155" i="24"/>
  <c r="C3154" i="24"/>
  <c r="C3153" i="24"/>
  <c r="C3152" i="24"/>
  <c r="C3151" i="24"/>
  <c r="C3150" i="24"/>
  <c r="C3149" i="24"/>
  <c r="C3148" i="24"/>
  <c r="C3147" i="24"/>
  <c r="C3146" i="24"/>
  <c r="C3145" i="24"/>
  <c r="C3144" i="24"/>
  <c r="C3143" i="24"/>
  <c r="C3142" i="24"/>
  <c r="C3141" i="24"/>
  <c r="C3140" i="24"/>
  <c r="C3139" i="24"/>
  <c r="C3138" i="24"/>
  <c r="C3137" i="24"/>
  <c r="C3136" i="24"/>
  <c r="C3135" i="24"/>
  <c r="C3134" i="24"/>
  <c r="C3133" i="24"/>
  <c r="C3132" i="24"/>
  <c r="C3131" i="24"/>
  <c r="C3130" i="24"/>
  <c r="C3129" i="24"/>
  <c r="C3128" i="24"/>
  <c r="C3127" i="24"/>
  <c r="C3126" i="24"/>
  <c r="C3125" i="24"/>
  <c r="C3124" i="24"/>
  <c r="C3123" i="24"/>
  <c r="C3122" i="24"/>
  <c r="C3121" i="24"/>
  <c r="C3120" i="24"/>
  <c r="C3119" i="24"/>
  <c r="C3118" i="24"/>
  <c r="C3117" i="24"/>
  <c r="C3116" i="24"/>
  <c r="C3115" i="24"/>
  <c r="C3114" i="24"/>
  <c r="C3113" i="24"/>
  <c r="C3112" i="24"/>
  <c r="C3111" i="24"/>
  <c r="C3110" i="24"/>
  <c r="C3109" i="24"/>
  <c r="C3108" i="24"/>
  <c r="C3107" i="24"/>
  <c r="C3106" i="24"/>
  <c r="C3105" i="24"/>
  <c r="C3104" i="24"/>
  <c r="C3103" i="24"/>
  <c r="C3102" i="24"/>
  <c r="C3101" i="24"/>
  <c r="C3100" i="24"/>
  <c r="C3099" i="24"/>
  <c r="C3098" i="24"/>
  <c r="C3097" i="24"/>
  <c r="C3096" i="24"/>
  <c r="C3095" i="24"/>
  <c r="C3094" i="24"/>
  <c r="C3093" i="24"/>
  <c r="C3092" i="24"/>
  <c r="C3091" i="24"/>
  <c r="C3090" i="24"/>
  <c r="C3089" i="24"/>
  <c r="C3088" i="24"/>
  <c r="C3087" i="24"/>
  <c r="C3086" i="24"/>
  <c r="C3085" i="24"/>
  <c r="C3084" i="24"/>
  <c r="C3083" i="24"/>
  <c r="C3082" i="24"/>
  <c r="C3081" i="24"/>
  <c r="C3080" i="24"/>
  <c r="C3079" i="24"/>
  <c r="C3078" i="24"/>
  <c r="C3077" i="24"/>
  <c r="C3076" i="24"/>
  <c r="C3075" i="24"/>
  <c r="C3074" i="24"/>
  <c r="C3073" i="24"/>
  <c r="C3072" i="24"/>
  <c r="C3071" i="24"/>
  <c r="C3070" i="24"/>
  <c r="C3069" i="24"/>
  <c r="C3068" i="24"/>
  <c r="C3067" i="24"/>
  <c r="C3066" i="24"/>
  <c r="C3065" i="24"/>
  <c r="C3064" i="24"/>
  <c r="C3063" i="24"/>
  <c r="C3062" i="24"/>
  <c r="C3061" i="24"/>
  <c r="C3060" i="24"/>
  <c r="C3059" i="24"/>
  <c r="C3058" i="24"/>
  <c r="C3057" i="24"/>
  <c r="C3056" i="24"/>
  <c r="C3055" i="24"/>
  <c r="C3054" i="24"/>
  <c r="C3053" i="24"/>
  <c r="C3052" i="24"/>
  <c r="C3051" i="24"/>
  <c r="C3050" i="24"/>
  <c r="C3049" i="24"/>
  <c r="C3048" i="24"/>
  <c r="C3047" i="24"/>
  <c r="C3046" i="24"/>
  <c r="C3045" i="24"/>
  <c r="C3044" i="24"/>
  <c r="C3043" i="24"/>
  <c r="C3042" i="24"/>
  <c r="C3041" i="24"/>
  <c r="C3040" i="24"/>
  <c r="C3039" i="24"/>
  <c r="C3038" i="24"/>
  <c r="C3037" i="24"/>
  <c r="C3036" i="24"/>
  <c r="C3035" i="24"/>
  <c r="C3034" i="24"/>
  <c r="C3033" i="24"/>
  <c r="C3032" i="24"/>
  <c r="C3031" i="24"/>
  <c r="C3030" i="24"/>
  <c r="C3029" i="24"/>
  <c r="C3028" i="24"/>
  <c r="C3027" i="24"/>
  <c r="C3026" i="24"/>
  <c r="C3025" i="24"/>
  <c r="C3024" i="24"/>
  <c r="C3023" i="24"/>
  <c r="C3022" i="24"/>
  <c r="C3021" i="24"/>
  <c r="C3020" i="24"/>
  <c r="C3019" i="24"/>
  <c r="C3018" i="24"/>
  <c r="C3017" i="24"/>
  <c r="C3016" i="24"/>
  <c r="C3015" i="24"/>
  <c r="C3014" i="24"/>
  <c r="C3013" i="24"/>
  <c r="C3012" i="24"/>
  <c r="C3011" i="24"/>
  <c r="C3010" i="24"/>
  <c r="C3009" i="24"/>
  <c r="C3008" i="24"/>
  <c r="C3007" i="24"/>
  <c r="C3006" i="24"/>
  <c r="C3005" i="24"/>
  <c r="C3004" i="24"/>
  <c r="C3003" i="24"/>
  <c r="C3002" i="24"/>
  <c r="C3001" i="24"/>
  <c r="C3000" i="24"/>
  <c r="C2999" i="24"/>
  <c r="C2998" i="24"/>
  <c r="C2997" i="24"/>
  <c r="C2996" i="24"/>
  <c r="C2995" i="24"/>
  <c r="C2994" i="24"/>
  <c r="C2993" i="24"/>
  <c r="C2992" i="24"/>
  <c r="C2991" i="24"/>
  <c r="C2990" i="24"/>
  <c r="C2989" i="24"/>
  <c r="C2988" i="24"/>
  <c r="C2987" i="24"/>
  <c r="C2986" i="24"/>
  <c r="C2985" i="24"/>
  <c r="C2984" i="24"/>
  <c r="C2983" i="24"/>
  <c r="C2982" i="24"/>
  <c r="C2981" i="24"/>
  <c r="C2980" i="24"/>
  <c r="C2979" i="24"/>
  <c r="C2978" i="24"/>
  <c r="C2977" i="24"/>
  <c r="C2976" i="24"/>
  <c r="C2975" i="24"/>
  <c r="C2974" i="24"/>
  <c r="C2973" i="24"/>
  <c r="C2972" i="24"/>
  <c r="C2971" i="24"/>
  <c r="C2970" i="24"/>
  <c r="C2969" i="24"/>
  <c r="C2968" i="24"/>
  <c r="C2967" i="24"/>
  <c r="C2966" i="24"/>
  <c r="C2965" i="24"/>
  <c r="C2964" i="24"/>
  <c r="C2963" i="24"/>
  <c r="C2962" i="24"/>
  <c r="C2961" i="24"/>
  <c r="C2960" i="24"/>
  <c r="C2959" i="24"/>
  <c r="C2958" i="24"/>
  <c r="C2957" i="24"/>
  <c r="C2956" i="24"/>
  <c r="C2955" i="24"/>
  <c r="C2954" i="24"/>
  <c r="C2953" i="24"/>
  <c r="C2952" i="24"/>
  <c r="C2951" i="24"/>
  <c r="C2950" i="24"/>
  <c r="C2949" i="24"/>
  <c r="C2948" i="24"/>
  <c r="C2947" i="24"/>
  <c r="C2946" i="24"/>
  <c r="C2945" i="24"/>
  <c r="C2944" i="24"/>
  <c r="C2943" i="24"/>
  <c r="C2942" i="24"/>
  <c r="C2941" i="24"/>
  <c r="C2940" i="24"/>
  <c r="C2939" i="24"/>
  <c r="C2938" i="24"/>
  <c r="C2937" i="24"/>
  <c r="C2936" i="24"/>
  <c r="C2935" i="24"/>
  <c r="C2934" i="24"/>
  <c r="C2933" i="24"/>
  <c r="C2932" i="24"/>
  <c r="C2931" i="24"/>
  <c r="C2930" i="24"/>
  <c r="C2929" i="24"/>
  <c r="C2928" i="24"/>
  <c r="C2927" i="24"/>
  <c r="C2926" i="24"/>
  <c r="C2925" i="24"/>
  <c r="C2924" i="24"/>
  <c r="C2923" i="24"/>
  <c r="C2922" i="24"/>
  <c r="C2921" i="24"/>
  <c r="C2920" i="24"/>
  <c r="C2919" i="24"/>
  <c r="C2918" i="24"/>
  <c r="C2917" i="24"/>
  <c r="C2916" i="24"/>
  <c r="C2915" i="24"/>
  <c r="C2914" i="24"/>
  <c r="C2913" i="24"/>
  <c r="C2912" i="24"/>
  <c r="C2911" i="24"/>
  <c r="C2910" i="24"/>
  <c r="C2909" i="24"/>
  <c r="C2908" i="24"/>
  <c r="C2907" i="24"/>
  <c r="C2906" i="24"/>
  <c r="C2905" i="24"/>
  <c r="C2904" i="24"/>
  <c r="C2903" i="24"/>
  <c r="C2902" i="24"/>
  <c r="C2901" i="24"/>
  <c r="C2900" i="24"/>
  <c r="C2899" i="24"/>
  <c r="C2898" i="24"/>
  <c r="C2897" i="24"/>
  <c r="C2896" i="24"/>
  <c r="C2895" i="24"/>
  <c r="C2894" i="24"/>
  <c r="C2893" i="24"/>
  <c r="C2892" i="24"/>
  <c r="C2891" i="24"/>
  <c r="C2890" i="24"/>
  <c r="C2889" i="24"/>
  <c r="C2888" i="24"/>
  <c r="C2887" i="24"/>
  <c r="C2886" i="24"/>
  <c r="C2885" i="24"/>
  <c r="C2884" i="24"/>
  <c r="C2883" i="24"/>
  <c r="C2882" i="24"/>
  <c r="C2881" i="24"/>
  <c r="C2880" i="24"/>
  <c r="C2879" i="24"/>
  <c r="C2878" i="24"/>
  <c r="C2877" i="24"/>
  <c r="C2876" i="24"/>
  <c r="C2875" i="24"/>
  <c r="C2874" i="24"/>
  <c r="C2873" i="24"/>
  <c r="C2872" i="24"/>
  <c r="C2871" i="24"/>
  <c r="C2870" i="24"/>
  <c r="C2869" i="24"/>
  <c r="C2868" i="24"/>
  <c r="C2867" i="24"/>
  <c r="C2866" i="24"/>
  <c r="C2865" i="24"/>
  <c r="C2864" i="24"/>
  <c r="C2863" i="24"/>
  <c r="C2862" i="24"/>
  <c r="C2861" i="24"/>
  <c r="C2860" i="24"/>
  <c r="C2859" i="24"/>
  <c r="C2858" i="24"/>
  <c r="C2857" i="24"/>
  <c r="C2856" i="24"/>
  <c r="C2855" i="24"/>
  <c r="C2854" i="24"/>
  <c r="C2853" i="24"/>
  <c r="C2852" i="24"/>
  <c r="C2851" i="24"/>
  <c r="C2850" i="24"/>
  <c r="C2849" i="24"/>
  <c r="C2848" i="24"/>
  <c r="C2847" i="24"/>
  <c r="C2846" i="24"/>
  <c r="C2845" i="24"/>
  <c r="C2844" i="24"/>
  <c r="C2843" i="24"/>
  <c r="C2842" i="24"/>
  <c r="C2841" i="24"/>
  <c r="C2840" i="24"/>
  <c r="C2839" i="24"/>
  <c r="C2838" i="24"/>
  <c r="C2837" i="24"/>
  <c r="C2836" i="24"/>
  <c r="C2835" i="24"/>
  <c r="C2834" i="24"/>
  <c r="C2833" i="24"/>
  <c r="C2832" i="24"/>
  <c r="C2831" i="24"/>
  <c r="C2830" i="24"/>
  <c r="C2829" i="24"/>
  <c r="C2828" i="24"/>
  <c r="C2827" i="24"/>
  <c r="C2826" i="24"/>
  <c r="C2825" i="24"/>
  <c r="C2824" i="24"/>
  <c r="C2823" i="24"/>
  <c r="C2822" i="24"/>
  <c r="C2821" i="24"/>
  <c r="C2820" i="24"/>
  <c r="C2819" i="24"/>
  <c r="C2818" i="24"/>
  <c r="C2817" i="24"/>
  <c r="C2816" i="24"/>
  <c r="C2815" i="24"/>
  <c r="C2814" i="24"/>
  <c r="C2813" i="24"/>
  <c r="C2812" i="24"/>
  <c r="C2811" i="24"/>
  <c r="C2810" i="24"/>
  <c r="C2809" i="24"/>
  <c r="C2808" i="24"/>
  <c r="C2807" i="24"/>
  <c r="C2806" i="24"/>
  <c r="C2805" i="24"/>
  <c r="C2804" i="24"/>
  <c r="C2803" i="24"/>
  <c r="C2802" i="24"/>
  <c r="C2801" i="24"/>
  <c r="C2800" i="24"/>
  <c r="C2799" i="24"/>
  <c r="C2798" i="24"/>
  <c r="C2797" i="24"/>
  <c r="C2796" i="24"/>
  <c r="C2795" i="24"/>
  <c r="C2794" i="24"/>
  <c r="C2793" i="24"/>
  <c r="C2792" i="24"/>
  <c r="C2791" i="24"/>
  <c r="C2790" i="24"/>
  <c r="C2789" i="24"/>
  <c r="C2788" i="24"/>
  <c r="C2787" i="24"/>
  <c r="C2786" i="24"/>
  <c r="C2785" i="24"/>
  <c r="C2784" i="24"/>
  <c r="C2783" i="24"/>
  <c r="C2782" i="24"/>
  <c r="C2781" i="24"/>
  <c r="C2780" i="24"/>
  <c r="C2779" i="24"/>
  <c r="C2778" i="24"/>
  <c r="C2777" i="24"/>
  <c r="C2776" i="24"/>
  <c r="C2775" i="24"/>
  <c r="C2774" i="24"/>
  <c r="C2773" i="24"/>
  <c r="C2772" i="24"/>
  <c r="C2771" i="24"/>
  <c r="C2770" i="24"/>
  <c r="C2769" i="24"/>
  <c r="C2768" i="24"/>
  <c r="C2767" i="24"/>
  <c r="C2766" i="24"/>
  <c r="C2765" i="24"/>
  <c r="C2764" i="24"/>
  <c r="C2763" i="24"/>
  <c r="C2762" i="24"/>
  <c r="C2761" i="24"/>
  <c r="C2760" i="24"/>
  <c r="C2759" i="24"/>
  <c r="C2758" i="24"/>
  <c r="C2757" i="24"/>
  <c r="C2756" i="24"/>
  <c r="C2755" i="24"/>
  <c r="C2754" i="24"/>
  <c r="C2753" i="24"/>
  <c r="C2752" i="24"/>
  <c r="C2751" i="24"/>
  <c r="C2750" i="24"/>
  <c r="C2749" i="24"/>
  <c r="C2748" i="24"/>
  <c r="C2747" i="24"/>
  <c r="C2746" i="24"/>
  <c r="C2745" i="24"/>
  <c r="C2744" i="24"/>
  <c r="C2743" i="24"/>
  <c r="C2742" i="24"/>
  <c r="C2741" i="24"/>
  <c r="C2740" i="24"/>
  <c r="C2739" i="24"/>
  <c r="C2738" i="24"/>
  <c r="C2737" i="24"/>
  <c r="C2736" i="24"/>
  <c r="C2735" i="24"/>
  <c r="C2734" i="24"/>
  <c r="C2733" i="24"/>
  <c r="C2732" i="24"/>
  <c r="C2731" i="24"/>
  <c r="C2730" i="24"/>
  <c r="C2729" i="24"/>
  <c r="C2728" i="24"/>
  <c r="C2727" i="24"/>
  <c r="C2726" i="24"/>
  <c r="C2725" i="24"/>
  <c r="C2724" i="24"/>
  <c r="C2723" i="24"/>
  <c r="C2722" i="24"/>
  <c r="C2721" i="24"/>
  <c r="C2720" i="24"/>
  <c r="C2719" i="24"/>
  <c r="C2718" i="24"/>
  <c r="C2717" i="24"/>
  <c r="C2716" i="24"/>
  <c r="C2715" i="24"/>
  <c r="C2714" i="24"/>
  <c r="C2713" i="24"/>
  <c r="C2712" i="24"/>
  <c r="C2711" i="24"/>
  <c r="C2710" i="24"/>
  <c r="C2709" i="24"/>
  <c r="C2708" i="24"/>
  <c r="C2707" i="24"/>
  <c r="C2706" i="24"/>
  <c r="C2705" i="24"/>
  <c r="C2704" i="24"/>
  <c r="C2703" i="24"/>
  <c r="C2702" i="24"/>
  <c r="C2701" i="24"/>
  <c r="C2700" i="24"/>
  <c r="C2699" i="24"/>
  <c r="C2698" i="24"/>
  <c r="C2697" i="24"/>
  <c r="C2696" i="24"/>
  <c r="C2695" i="24"/>
  <c r="C2694" i="24"/>
  <c r="C2693" i="24"/>
  <c r="C2692" i="24"/>
  <c r="C2691" i="24"/>
  <c r="C2690" i="24"/>
  <c r="C2689" i="24"/>
  <c r="C2688" i="24"/>
  <c r="C2687" i="24"/>
  <c r="C2686" i="24"/>
  <c r="C2685" i="24"/>
  <c r="C2684" i="24"/>
  <c r="C2683" i="24"/>
  <c r="C2682" i="24"/>
  <c r="C2681" i="24"/>
  <c r="C2680" i="24"/>
  <c r="C2679" i="24"/>
  <c r="C2678" i="24"/>
  <c r="C2677" i="24"/>
  <c r="C2676" i="24"/>
  <c r="C2675" i="24"/>
  <c r="C2674" i="24"/>
  <c r="C2673" i="24"/>
  <c r="C2672" i="24"/>
  <c r="C2671" i="24"/>
  <c r="C2670" i="24"/>
  <c r="C2669" i="24"/>
  <c r="C2668" i="24"/>
  <c r="C2667" i="24"/>
  <c r="C2666" i="24"/>
  <c r="C2665" i="24"/>
  <c r="C2664" i="24"/>
  <c r="C2663" i="24"/>
  <c r="C2662" i="24"/>
  <c r="C2661" i="24"/>
  <c r="C2660" i="24"/>
  <c r="C2659" i="24"/>
  <c r="C2658" i="24"/>
  <c r="C2657" i="24"/>
  <c r="C2656" i="24"/>
  <c r="C2655" i="24"/>
  <c r="C2654" i="24"/>
  <c r="C2653" i="24"/>
  <c r="C2652" i="24"/>
  <c r="C2651" i="24"/>
  <c r="C2650" i="24"/>
  <c r="C2649" i="24"/>
  <c r="C2648" i="24"/>
  <c r="C2647" i="24"/>
  <c r="C2646" i="24"/>
  <c r="C2645" i="24"/>
  <c r="C2644" i="24"/>
  <c r="C2643" i="24"/>
  <c r="C2642" i="24"/>
  <c r="C2641" i="24"/>
  <c r="C2640" i="24"/>
  <c r="C2639" i="24"/>
  <c r="C2638" i="24"/>
  <c r="C2637" i="24"/>
  <c r="C2636" i="24"/>
  <c r="C2635" i="24"/>
  <c r="C2634" i="24"/>
  <c r="C2633" i="24"/>
  <c r="C2632" i="24"/>
  <c r="C2631" i="24"/>
  <c r="C2630" i="24"/>
  <c r="C2629" i="24"/>
  <c r="C2628" i="24"/>
  <c r="C2627" i="24"/>
  <c r="C2626" i="24"/>
  <c r="C2625" i="24"/>
  <c r="C2624" i="24"/>
  <c r="C2623" i="24"/>
  <c r="C2622" i="24"/>
  <c r="C2621" i="24"/>
  <c r="C2620" i="24"/>
  <c r="C2619" i="24"/>
  <c r="C2618" i="24"/>
  <c r="C2617" i="24"/>
  <c r="C2616" i="24"/>
  <c r="C2615" i="24"/>
  <c r="C2614" i="24"/>
  <c r="C2613" i="24"/>
  <c r="C2612" i="24"/>
  <c r="C2611" i="24"/>
  <c r="C2610" i="24"/>
  <c r="C2609" i="24"/>
  <c r="C2608" i="24"/>
  <c r="C2607" i="24"/>
  <c r="C2606" i="24"/>
  <c r="C2605" i="24"/>
  <c r="C2604" i="24"/>
  <c r="C2603" i="24"/>
  <c r="C2602" i="24"/>
  <c r="C2601" i="24"/>
  <c r="C2600" i="24"/>
  <c r="C2599" i="24"/>
  <c r="C2598" i="24"/>
  <c r="C2597" i="24"/>
  <c r="C2596" i="24"/>
  <c r="C2595" i="24"/>
  <c r="C2594" i="24"/>
  <c r="C2593" i="24"/>
  <c r="C2592" i="24"/>
  <c r="C2591" i="24"/>
  <c r="C2590" i="24"/>
  <c r="C2589" i="24"/>
  <c r="C2588" i="24"/>
  <c r="C2587" i="24"/>
  <c r="C2586" i="24"/>
  <c r="C2585" i="24"/>
  <c r="C2584" i="24"/>
  <c r="C2583" i="24"/>
  <c r="C2582" i="24"/>
  <c r="C2581" i="24"/>
  <c r="C2580" i="24"/>
  <c r="C2579" i="24"/>
  <c r="C2578" i="24"/>
  <c r="C2577" i="24"/>
  <c r="C2576" i="24"/>
  <c r="C2575" i="24"/>
  <c r="C2574" i="24"/>
  <c r="C2573" i="24"/>
  <c r="C2572" i="24"/>
  <c r="C2571" i="24"/>
  <c r="C2570" i="24"/>
  <c r="C2569" i="24"/>
  <c r="C2568" i="24"/>
  <c r="C2567" i="24"/>
  <c r="C2566" i="24"/>
  <c r="C2565" i="24"/>
  <c r="C2564" i="24"/>
  <c r="C2563" i="24"/>
  <c r="C2562" i="24"/>
  <c r="C2561" i="24"/>
  <c r="C2560" i="24"/>
  <c r="C2559" i="24"/>
  <c r="C2558" i="24"/>
  <c r="C2557" i="24"/>
  <c r="C2556" i="24"/>
  <c r="C2555" i="24"/>
  <c r="C2554" i="24"/>
  <c r="C2553" i="24"/>
  <c r="C2552" i="24"/>
  <c r="C2551" i="24"/>
  <c r="C2550" i="24"/>
  <c r="C2549" i="24"/>
  <c r="C2548" i="24"/>
  <c r="C2547" i="24"/>
  <c r="C2546" i="24"/>
  <c r="C2545" i="24"/>
  <c r="C2544" i="24"/>
  <c r="C2543" i="24"/>
  <c r="C2542" i="24"/>
  <c r="C2541" i="24"/>
  <c r="C2540" i="24"/>
  <c r="C2539" i="24"/>
  <c r="C2538" i="24"/>
  <c r="C2537" i="24"/>
  <c r="C2536" i="24"/>
  <c r="C2535" i="24"/>
  <c r="C2534" i="24"/>
  <c r="C2533" i="24"/>
  <c r="C2532" i="24"/>
  <c r="C2531" i="24"/>
  <c r="C2530" i="24"/>
  <c r="C2529" i="24"/>
  <c r="C2528" i="24"/>
  <c r="C2527" i="24"/>
  <c r="C2526" i="24"/>
  <c r="C2525" i="24"/>
  <c r="C2524" i="24"/>
  <c r="C2523" i="24"/>
  <c r="C2522" i="24"/>
  <c r="C2521" i="24"/>
  <c r="C2520" i="24"/>
  <c r="C2519" i="24"/>
  <c r="C2518" i="24"/>
  <c r="C2517" i="24"/>
  <c r="C2516" i="24"/>
  <c r="C2515" i="24"/>
  <c r="C2514" i="24"/>
  <c r="C2513" i="24"/>
  <c r="C2512" i="24"/>
  <c r="C2511" i="24"/>
  <c r="C2510" i="24"/>
  <c r="C2509" i="24"/>
  <c r="C2508" i="24"/>
  <c r="C2507" i="24"/>
  <c r="C2506" i="24"/>
  <c r="C2505" i="24"/>
  <c r="C2504" i="24"/>
  <c r="C2503" i="24"/>
  <c r="C2502" i="24"/>
  <c r="C2501" i="24"/>
  <c r="C2500" i="24"/>
  <c r="C2499" i="24"/>
  <c r="C2498" i="24"/>
  <c r="C2497" i="24"/>
  <c r="C2496" i="24"/>
  <c r="C2495" i="24"/>
  <c r="C2494" i="24"/>
  <c r="C2493" i="24"/>
  <c r="C2492" i="24"/>
  <c r="C2491" i="24"/>
  <c r="C2490" i="24"/>
  <c r="C2489" i="24"/>
  <c r="C2488" i="24"/>
  <c r="C2487" i="24"/>
  <c r="C2486" i="24"/>
  <c r="C2485" i="24"/>
  <c r="C2484" i="24"/>
  <c r="C2483" i="24"/>
  <c r="C2482" i="24"/>
  <c r="C2481" i="24"/>
  <c r="C2480" i="24"/>
  <c r="C2479" i="24"/>
  <c r="C2478" i="24"/>
  <c r="C2477" i="24"/>
  <c r="C2476" i="24"/>
  <c r="C2475" i="24"/>
  <c r="C2474" i="24"/>
  <c r="C2473" i="24"/>
  <c r="C2472" i="24"/>
  <c r="C2471" i="24"/>
  <c r="C2470" i="24"/>
  <c r="C2469" i="24"/>
  <c r="C2468" i="24"/>
  <c r="C2467" i="24"/>
  <c r="C2466" i="24"/>
  <c r="C2465" i="24"/>
  <c r="C2464" i="24"/>
  <c r="C2463" i="24"/>
  <c r="C2462" i="24"/>
  <c r="C2461" i="24"/>
  <c r="C2460" i="24"/>
  <c r="C2459" i="24"/>
  <c r="C2458" i="24"/>
  <c r="C2457" i="24"/>
  <c r="C2456" i="24"/>
  <c r="C2455" i="24"/>
  <c r="C2454" i="24"/>
  <c r="C2453" i="24"/>
  <c r="C2452" i="24"/>
  <c r="C2451" i="24"/>
  <c r="C2450" i="24"/>
  <c r="C2449" i="24"/>
  <c r="C2448" i="24"/>
  <c r="C2447" i="24"/>
  <c r="C2446" i="24"/>
  <c r="C2445" i="24"/>
  <c r="C2444" i="24"/>
  <c r="C2443" i="24"/>
  <c r="C2442" i="24"/>
  <c r="C2441" i="24"/>
  <c r="C2440" i="24"/>
  <c r="C2439" i="24"/>
  <c r="C2438" i="24"/>
  <c r="C2437" i="24"/>
  <c r="C2436" i="24"/>
  <c r="C2435" i="24"/>
  <c r="C2434" i="24"/>
  <c r="C2433" i="24"/>
  <c r="C2432" i="24"/>
  <c r="C2431" i="24"/>
  <c r="C2430" i="24"/>
  <c r="C2429" i="24"/>
  <c r="C2428" i="24"/>
  <c r="C2427" i="24"/>
  <c r="C2426" i="24"/>
  <c r="C2425" i="24"/>
  <c r="C2424" i="24"/>
  <c r="C2423" i="24"/>
  <c r="C2422" i="24"/>
  <c r="C2421" i="24"/>
  <c r="C2420" i="24"/>
  <c r="C2419" i="24"/>
  <c r="C2418" i="24"/>
  <c r="C2417" i="24"/>
  <c r="C2416" i="24"/>
  <c r="C2415" i="24"/>
  <c r="C2414" i="24"/>
  <c r="C2413" i="24"/>
  <c r="C2412" i="24"/>
  <c r="C2411" i="24"/>
  <c r="C2410" i="24"/>
  <c r="C2409" i="24"/>
  <c r="C2408" i="24"/>
  <c r="C2407" i="24"/>
  <c r="C2406" i="24"/>
  <c r="C2405" i="24"/>
  <c r="C2404" i="24"/>
  <c r="C2403" i="24"/>
  <c r="C2402" i="24"/>
  <c r="C2401" i="24"/>
  <c r="C2400" i="24"/>
  <c r="C2399" i="24"/>
  <c r="C2398" i="24"/>
  <c r="C2397" i="24"/>
  <c r="C2396" i="24"/>
  <c r="C2395" i="24"/>
  <c r="C2394" i="24"/>
  <c r="C2393" i="24"/>
  <c r="C2392" i="24"/>
  <c r="C2391" i="24"/>
  <c r="C2390" i="24"/>
  <c r="C2389" i="24"/>
  <c r="C2388" i="24"/>
  <c r="C2387" i="24"/>
  <c r="C2386" i="24"/>
  <c r="C2385" i="24"/>
  <c r="C2384" i="24"/>
  <c r="C2383" i="24"/>
  <c r="C2382" i="24"/>
  <c r="C2381" i="24"/>
  <c r="C2380" i="24"/>
  <c r="C2379" i="24"/>
  <c r="C2378" i="24"/>
  <c r="C2377" i="24"/>
  <c r="C2376" i="24"/>
  <c r="C2375" i="24"/>
  <c r="C2374" i="24"/>
  <c r="C2373" i="24"/>
  <c r="C2372" i="24"/>
  <c r="C2371" i="24"/>
  <c r="C2370" i="24"/>
  <c r="C2369" i="24"/>
  <c r="C2368" i="24"/>
  <c r="C2367" i="24"/>
  <c r="C2366" i="24"/>
  <c r="C2365" i="24"/>
  <c r="C2364" i="24"/>
  <c r="C2363" i="24"/>
  <c r="C2362" i="24"/>
  <c r="C2361" i="24"/>
  <c r="C2360" i="24"/>
  <c r="C2359" i="24"/>
  <c r="C2358" i="24"/>
  <c r="C2357" i="24"/>
  <c r="C2356" i="24"/>
  <c r="C2355" i="24"/>
  <c r="C2354" i="24"/>
  <c r="C2353" i="24"/>
  <c r="C2352" i="24"/>
  <c r="C2351" i="24"/>
  <c r="C2350" i="24"/>
  <c r="C2349" i="24"/>
  <c r="C2348" i="24"/>
  <c r="C2347" i="24"/>
  <c r="C2346" i="24"/>
  <c r="C2345" i="24"/>
  <c r="C2344" i="24"/>
  <c r="C2343" i="24"/>
  <c r="C2342" i="24"/>
  <c r="C2341" i="24"/>
  <c r="C2340" i="24"/>
  <c r="C2339" i="24"/>
  <c r="C2338" i="24"/>
  <c r="C2337" i="24"/>
  <c r="C2336" i="24"/>
  <c r="C2335" i="24"/>
  <c r="C2334" i="24"/>
  <c r="C2333" i="24"/>
  <c r="C2332" i="24"/>
  <c r="C2331" i="24"/>
  <c r="C2330" i="24"/>
  <c r="C2329" i="24"/>
  <c r="C2328" i="24"/>
  <c r="C2327" i="24"/>
  <c r="C2326" i="24"/>
  <c r="C2325" i="24"/>
  <c r="C2324" i="24"/>
  <c r="C2323" i="24"/>
  <c r="C2322" i="24"/>
  <c r="C2321" i="24"/>
  <c r="C2320" i="24"/>
  <c r="C2319" i="24"/>
  <c r="C2318" i="24"/>
  <c r="C2317" i="24"/>
  <c r="C2316" i="24"/>
  <c r="C2315" i="24"/>
  <c r="C2314" i="24"/>
  <c r="C2313" i="24"/>
  <c r="C2312" i="24"/>
  <c r="C2311" i="24"/>
  <c r="C2310" i="24"/>
  <c r="C2309" i="24"/>
  <c r="C2308" i="24"/>
  <c r="C2307" i="24"/>
  <c r="C2306" i="24"/>
  <c r="C2305" i="24"/>
  <c r="C2304" i="24"/>
  <c r="C2303" i="24"/>
  <c r="C2302" i="24"/>
  <c r="C2301" i="24"/>
  <c r="C2300" i="24"/>
  <c r="C2299" i="24"/>
  <c r="C2298" i="24"/>
  <c r="C2297" i="24"/>
  <c r="C2296" i="24"/>
  <c r="C2295" i="24"/>
  <c r="C2294" i="24"/>
  <c r="C2293" i="24"/>
  <c r="C2292" i="24"/>
  <c r="C2291" i="24"/>
  <c r="C2290" i="24"/>
  <c r="C2289" i="24"/>
  <c r="C2288" i="24"/>
  <c r="C2287" i="24"/>
  <c r="C2286" i="24"/>
  <c r="C2285" i="24"/>
  <c r="C2284" i="24"/>
  <c r="C2283" i="24"/>
  <c r="C2282" i="24"/>
  <c r="C2281" i="24"/>
  <c r="C2280" i="24"/>
  <c r="C2279" i="24"/>
  <c r="C2278" i="24"/>
  <c r="C2277" i="24"/>
  <c r="C2276" i="24"/>
  <c r="C2275" i="24"/>
  <c r="C2274" i="24"/>
  <c r="C2273" i="24"/>
  <c r="C2272" i="24"/>
  <c r="C2271" i="24"/>
  <c r="C2270" i="24"/>
  <c r="C2269" i="24"/>
  <c r="C2268" i="24"/>
  <c r="C2267" i="24"/>
  <c r="C2266" i="24"/>
  <c r="C2265" i="24"/>
  <c r="C2264" i="24"/>
  <c r="C2263" i="24"/>
  <c r="C2262" i="24"/>
  <c r="C2261" i="24"/>
  <c r="C2260" i="24"/>
  <c r="C2259" i="24"/>
  <c r="C2258" i="24"/>
  <c r="C2257" i="24"/>
  <c r="C2256" i="24"/>
  <c r="C2255" i="24"/>
  <c r="C2254" i="24"/>
  <c r="C2253" i="24"/>
  <c r="C2252" i="24"/>
  <c r="C2251" i="24"/>
  <c r="C2250" i="24"/>
  <c r="C2249" i="24"/>
  <c r="C2248" i="24"/>
  <c r="C2247" i="24"/>
  <c r="C2246" i="24"/>
  <c r="C2245" i="24"/>
  <c r="C2244" i="24"/>
  <c r="C2243" i="24"/>
  <c r="C2242" i="24"/>
  <c r="C2241" i="24"/>
  <c r="C2240" i="24"/>
  <c r="C2239" i="24"/>
  <c r="C2238" i="24"/>
  <c r="C2237" i="24"/>
  <c r="C2236" i="24"/>
  <c r="C2235" i="24"/>
  <c r="C2234" i="24"/>
  <c r="C2233" i="24"/>
  <c r="C2232" i="24"/>
  <c r="C2231" i="24"/>
  <c r="C2230" i="24"/>
  <c r="C2229" i="24"/>
  <c r="C2228" i="24"/>
  <c r="C2227" i="24"/>
  <c r="C2226" i="24"/>
  <c r="C2225" i="24"/>
  <c r="C2224" i="24"/>
  <c r="C2223" i="24"/>
  <c r="C2222" i="24"/>
  <c r="C2221" i="24"/>
  <c r="C2220" i="24"/>
  <c r="C2219" i="24"/>
  <c r="C2218" i="24"/>
  <c r="C2217" i="24"/>
  <c r="C2216" i="24"/>
  <c r="C2215" i="24"/>
  <c r="C2214" i="24"/>
  <c r="C2213" i="24"/>
  <c r="C2212" i="24"/>
  <c r="C2211" i="24"/>
  <c r="C2210" i="24"/>
  <c r="C2209" i="24"/>
  <c r="C2208" i="24"/>
  <c r="C2207" i="24"/>
  <c r="C2206" i="24"/>
  <c r="C2205" i="24"/>
  <c r="C2204" i="24"/>
  <c r="C2203" i="24"/>
  <c r="C2202" i="24"/>
  <c r="C2201" i="24"/>
  <c r="C2200" i="24"/>
  <c r="C2199" i="24"/>
  <c r="C2198" i="24"/>
  <c r="C2197" i="24"/>
  <c r="C2196" i="24"/>
  <c r="C2195" i="24"/>
  <c r="C2194" i="24"/>
  <c r="C2193" i="24"/>
  <c r="C2192" i="24"/>
  <c r="C2191" i="24"/>
  <c r="C2190" i="24"/>
  <c r="C2189" i="24"/>
  <c r="C2188" i="24"/>
  <c r="C2187" i="24"/>
  <c r="C2186" i="24"/>
  <c r="C2185" i="24"/>
  <c r="C2184" i="24"/>
  <c r="C2183" i="24"/>
  <c r="C2182" i="24"/>
  <c r="C2181" i="24"/>
  <c r="C2180" i="24"/>
  <c r="C2179" i="24"/>
  <c r="C2178" i="24"/>
  <c r="C2177" i="24"/>
  <c r="C2176" i="24"/>
  <c r="C2175" i="24"/>
  <c r="C2174" i="24"/>
  <c r="C2173" i="24"/>
  <c r="C2172" i="24"/>
  <c r="C2171" i="24"/>
  <c r="C2170" i="24"/>
  <c r="C2169" i="24"/>
  <c r="C2168" i="24"/>
  <c r="C2167" i="24"/>
  <c r="C2166" i="24"/>
  <c r="C2165" i="24"/>
  <c r="C2164" i="24"/>
  <c r="C2163" i="24"/>
  <c r="C2162" i="24"/>
  <c r="C2161" i="24"/>
  <c r="C2160" i="24"/>
  <c r="C2159" i="24"/>
  <c r="C2158" i="24"/>
  <c r="C2157" i="24"/>
  <c r="C2156" i="24"/>
  <c r="C2155" i="24"/>
  <c r="C2154" i="24"/>
  <c r="C2153" i="24"/>
  <c r="C2152" i="24"/>
  <c r="C2151" i="24"/>
  <c r="C2150" i="24"/>
  <c r="C2149" i="24"/>
  <c r="C2148" i="24"/>
  <c r="C2147" i="24"/>
  <c r="C2146" i="24"/>
  <c r="C2145" i="24"/>
  <c r="C2144" i="24"/>
  <c r="C2143" i="24"/>
  <c r="C2142" i="24"/>
  <c r="C2141" i="24"/>
  <c r="C2140" i="24"/>
  <c r="C2139" i="24"/>
  <c r="C2138" i="24"/>
  <c r="C2137" i="24"/>
  <c r="C2136" i="24"/>
  <c r="C2135" i="24"/>
  <c r="C2134" i="24"/>
  <c r="C2133" i="24"/>
  <c r="C2132" i="24"/>
  <c r="C2131" i="24"/>
  <c r="C2130" i="24"/>
  <c r="C2129" i="24"/>
  <c r="C2128" i="24"/>
  <c r="C2127" i="24"/>
  <c r="C2126" i="24"/>
  <c r="C2125" i="24"/>
  <c r="C2124" i="24"/>
  <c r="C2123" i="24"/>
  <c r="C2122" i="24"/>
  <c r="C2121" i="24"/>
  <c r="C2120" i="24"/>
  <c r="C2119" i="24"/>
  <c r="C2118" i="24"/>
  <c r="C2117" i="24"/>
  <c r="C2116" i="24"/>
  <c r="C2115" i="24"/>
  <c r="C2114" i="24"/>
  <c r="C2113" i="24"/>
  <c r="C2112" i="24"/>
  <c r="C2111" i="24"/>
  <c r="C2110" i="24"/>
  <c r="C2109" i="24"/>
  <c r="C2108" i="24"/>
  <c r="C2107" i="24"/>
  <c r="C2106" i="24"/>
  <c r="C2105" i="24"/>
  <c r="C2104" i="24"/>
  <c r="C2103" i="24"/>
  <c r="C2102" i="24"/>
  <c r="C2101" i="24"/>
  <c r="C2100" i="24"/>
  <c r="C2099" i="24"/>
  <c r="C2098" i="24"/>
  <c r="C2097" i="24"/>
  <c r="C2096" i="24"/>
  <c r="C2095" i="24"/>
  <c r="C2094" i="24"/>
  <c r="C2093" i="24"/>
  <c r="C2092" i="24"/>
  <c r="C2091" i="24"/>
  <c r="C2090" i="24"/>
  <c r="C2089" i="24"/>
  <c r="C2088" i="24"/>
  <c r="C2087" i="24"/>
  <c r="C2086" i="24"/>
  <c r="C2085" i="24"/>
  <c r="C2084" i="24"/>
  <c r="C2083" i="24"/>
  <c r="C2082" i="24"/>
  <c r="C2081" i="24"/>
  <c r="C2080" i="24"/>
  <c r="C2079" i="24"/>
  <c r="C2078" i="24"/>
  <c r="C2077" i="24"/>
  <c r="C2076" i="24"/>
  <c r="C2075" i="24"/>
  <c r="C2074" i="24"/>
  <c r="C2073" i="24"/>
  <c r="C2072" i="24"/>
  <c r="C2071" i="24"/>
  <c r="C2070" i="24"/>
  <c r="C2069" i="24"/>
  <c r="C2068" i="24"/>
  <c r="C2067" i="24"/>
  <c r="C2066" i="24"/>
  <c r="C2065" i="24"/>
  <c r="C2064" i="24"/>
  <c r="C2063" i="24"/>
  <c r="C2062" i="24"/>
  <c r="C2061" i="24"/>
  <c r="C2060" i="24"/>
  <c r="C2059" i="24"/>
  <c r="C2058" i="24"/>
  <c r="C2057" i="24"/>
  <c r="C2056" i="24"/>
  <c r="C2055" i="24"/>
  <c r="C2054" i="24"/>
  <c r="C2053" i="24"/>
  <c r="C2052" i="24"/>
  <c r="C2051" i="24"/>
  <c r="C2050" i="24"/>
  <c r="C2049" i="24"/>
  <c r="C2048" i="24"/>
  <c r="C2047" i="24"/>
  <c r="C2046" i="24"/>
  <c r="C2045" i="24"/>
  <c r="C2044" i="24"/>
  <c r="C2043" i="24"/>
  <c r="C2042" i="24"/>
  <c r="C2041" i="24"/>
  <c r="C2040" i="24"/>
  <c r="C2039" i="24"/>
  <c r="C2038" i="24"/>
  <c r="C2037" i="24"/>
  <c r="C2036" i="24"/>
  <c r="C2035" i="24"/>
  <c r="C2034" i="24"/>
  <c r="C2033" i="24"/>
  <c r="C2032" i="24"/>
  <c r="C2031" i="24"/>
  <c r="C2030" i="24"/>
  <c r="C2029" i="24"/>
  <c r="C2028" i="24"/>
  <c r="C2027" i="24"/>
  <c r="C2026" i="24"/>
  <c r="C2025" i="24"/>
  <c r="C2024" i="24"/>
  <c r="C2023" i="24"/>
  <c r="C2022" i="24"/>
  <c r="C2021" i="24"/>
  <c r="C2020" i="24"/>
  <c r="C2019" i="24"/>
  <c r="C2018" i="24"/>
  <c r="C2017" i="24"/>
  <c r="C2016" i="24"/>
  <c r="C2015" i="24"/>
  <c r="C2014" i="24"/>
  <c r="C2013" i="24"/>
  <c r="C2012" i="24"/>
  <c r="C2011" i="24"/>
  <c r="C2010" i="24"/>
  <c r="C2009" i="24"/>
  <c r="C2008" i="24"/>
  <c r="C2007" i="24"/>
  <c r="C2006" i="24"/>
  <c r="C2005" i="24"/>
  <c r="C2004" i="24"/>
  <c r="C2003" i="24"/>
  <c r="C2002" i="24"/>
  <c r="C2001" i="24"/>
  <c r="C2000" i="24"/>
  <c r="C1999" i="24"/>
  <c r="C1998" i="24"/>
  <c r="C1997" i="24"/>
  <c r="C1996" i="24"/>
  <c r="C1995" i="24"/>
  <c r="C1994" i="24"/>
  <c r="C1993" i="24"/>
  <c r="C1992" i="24"/>
  <c r="C1991" i="24"/>
  <c r="C1990" i="24"/>
  <c r="C1989" i="24"/>
  <c r="C1988" i="24"/>
  <c r="C1987" i="24"/>
  <c r="C1986" i="24"/>
  <c r="C1985" i="24"/>
  <c r="C1984" i="24"/>
  <c r="C1983" i="24"/>
  <c r="C1982" i="24"/>
  <c r="C1981" i="24"/>
  <c r="C1980" i="24"/>
  <c r="C1979" i="24"/>
  <c r="C1978" i="24"/>
  <c r="C1977" i="24"/>
  <c r="C1976" i="24"/>
  <c r="C1975" i="24"/>
  <c r="C1974" i="24"/>
  <c r="C1973" i="24"/>
  <c r="C1972" i="24"/>
  <c r="C1971" i="24"/>
  <c r="C1970" i="24"/>
  <c r="C1969" i="24"/>
  <c r="C1968" i="24"/>
  <c r="C1967" i="24"/>
  <c r="C1966" i="24"/>
  <c r="C1965" i="24"/>
  <c r="C1964" i="24"/>
  <c r="C1963" i="24"/>
  <c r="C1962" i="24"/>
  <c r="C1961" i="24"/>
  <c r="C1960" i="24"/>
  <c r="C1959" i="24"/>
  <c r="C1958" i="24"/>
  <c r="C1957" i="24"/>
  <c r="C1956" i="24"/>
  <c r="C1955" i="24"/>
  <c r="C1954" i="24"/>
  <c r="C1953" i="24"/>
  <c r="C1952" i="24"/>
  <c r="C1951" i="24"/>
  <c r="C1950" i="24"/>
  <c r="C1949" i="24"/>
  <c r="C1948" i="24"/>
  <c r="C1947" i="24"/>
  <c r="C1946" i="24"/>
  <c r="C1945" i="24"/>
  <c r="C1944" i="24"/>
  <c r="C1943" i="24"/>
  <c r="C1942" i="24"/>
  <c r="C1941" i="24"/>
  <c r="C1940" i="24"/>
  <c r="C1939" i="24"/>
  <c r="C1938" i="24"/>
  <c r="C1937" i="24"/>
  <c r="C1936" i="24"/>
  <c r="C1935" i="24"/>
  <c r="C1934" i="24"/>
  <c r="C1933" i="24"/>
  <c r="C1932" i="24"/>
  <c r="C1931" i="24"/>
  <c r="C1930" i="24"/>
  <c r="C1929" i="24"/>
  <c r="C1928" i="24"/>
  <c r="C1927" i="24"/>
  <c r="C1926" i="24"/>
  <c r="C1925" i="24"/>
  <c r="C1924" i="24"/>
  <c r="C1923" i="24"/>
  <c r="C1922" i="24"/>
  <c r="C1921" i="24"/>
  <c r="C1920" i="24"/>
  <c r="C1919" i="24"/>
  <c r="C1918" i="24"/>
  <c r="C1917" i="24"/>
  <c r="C1916" i="24"/>
  <c r="C1915" i="24"/>
  <c r="C1914" i="24"/>
  <c r="C1913" i="24"/>
  <c r="C1912" i="24"/>
  <c r="C1911" i="24"/>
  <c r="C1910" i="24"/>
  <c r="C1909" i="24"/>
  <c r="C1908" i="24"/>
  <c r="C1907" i="24"/>
  <c r="C1906" i="24"/>
  <c r="C1905" i="24"/>
  <c r="C1904" i="24"/>
  <c r="C1903" i="24"/>
  <c r="C1902" i="24"/>
  <c r="C1901" i="24"/>
  <c r="C1900" i="24"/>
  <c r="C1899" i="24"/>
  <c r="C1898" i="24"/>
  <c r="C1897" i="24"/>
  <c r="C1896" i="24"/>
  <c r="C1895" i="24"/>
  <c r="C1894" i="24"/>
  <c r="C1893" i="24"/>
  <c r="C1892" i="24"/>
  <c r="C1891" i="24"/>
  <c r="C1890" i="24"/>
  <c r="C1889" i="24"/>
  <c r="C1888" i="24"/>
  <c r="C1887" i="24"/>
  <c r="C1886" i="24"/>
  <c r="C1885" i="24"/>
  <c r="C1884" i="24"/>
  <c r="C1883" i="24"/>
  <c r="C1882" i="24"/>
  <c r="C1881" i="24"/>
  <c r="C1880" i="24"/>
  <c r="C1879" i="24"/>
  <c r="C1878" i="24"/>
  <c r="C1877" i="24"/>
  <c r="C1876" i="24"/>
  <c r="C1875" i="24"/>
  <c r="C1874" i="24"/>
  <c r="C1873" i="24"/>
  <c r="C1872" i="24"/>
  <c r="C1871" i="24"/>
  <c r="C1870" i="24"/>
  <c r="C1869" i="24"/>
  <c r="C1868" i="24"/>
  <c r="C1867" i="24"/>
  <c r="C1866" i="24"/>
  <c r="C1865" i="24"/>
  <c r="C1864" i="24"/>
  <c r="C1863" i="24"/>
  <c r="C1862" i="24"/>
  <c r="C1861" i="24"/>
  <c r="C1860" i="24"/>
  <c r="C1859" i="24"/>
  <c r="C1858" i="24"/>
  <c r="C1857" i="24"/>
  <c r="C1856" i="24"/>
  <c r="C1855" i="24"/>
  <c r="C1854" i="24"/>
  <c r="C1853" i="24"/>
  <c r="C1852" i="24"/>
  <c r="C1851" i="24"/>
  <c r="C1850" i="24"/>
  <c r="C1849" i="24"/>
  <c r="C1848" i="24"/>
  <c r="C1847" i="24"/>
  <c r="C1846" i="24"/>
  <c r="C1845" i="24"/>
  <c r="C1844" i="24"/>
  <c r="C1843" i="24"/>
  <c r="C1842" i="24"/>
  <c r="C1841" i="24"/>
  <c r="C1840" i="24"/>
  <c r="C1839" i="24"/>
  <c r="C1838" i="24"/>
  <c r="C1837" i="24"/>
  <c r="C1836" i="24"/>
  <c r="C1835" i="24"/>
  <c r="C1834" i="24"/>
  <c r="C1833" i="24"/>
  <c r="C1832" i="24"/>
  <c r="C1831" i="24"/>
  <c r="C1830" i="24"/>
  <c r="C1829" i="24"/>
  <c r="C1828" i="24"/>
  <c r="C1827" i="24"/>
  <c r="C1826" i="24"/>
  <c r="C1825" i="24"/>
  <c r="C1824" i="24"/>
  <c r="C1823" i="24"/>
  <c r="C1822" i="24"/>
  <c r="C1821" i="24"/>
  <c r="C1820" i="24"/>
  <c r="C1819" i="24"/>
  <c r="C1818" i="24"/>
  <c r="C1817" i="24"/>
  <c r="C1816" i="24"/>
  <c r="C1815" i="24"/>
  <c r="C1814" i="24"/>
  <c r="C1813" i="24"/>
  <c r="C1812" i="24"/>
  <c r="C1811" i="24"/>
  <c r="C1810" i="24"/>
  <c r="C1809" i="24"/>
  <c r="C1808" i="24"/>
  <c r="C1807" i="24"/>
  <c r="C1806" i="24"/>
  <c r="C1805" i="24"/>
  <c r="C1804" i="24"/>
  <c r="C1803" i="24"/>
  <c r="C1802" i="24"/>
  <c r="C1801" i="24"/>
  <c r="C1800" i="24"/>
  <c r="C1799" i="24"/>
  <c r="C1798" i="24"/>
  <c r="C1797" i="24"/>
  <c r="C1796" i="24"/>
  <c r="C1795" i="24"/>
  <c r="C1794" i="24"/>
  <c r="C1793" i="24"/>
  <c r="C1792" i="24"/>
  <c r="C1791" i="24"/>
  <c r="C1790" i="24"/>
  <c r="C1789" i="24"/>
  <c r="C1788" i="24"/>
  <c r="C1787" i="24"/>
  <c r="C1786" i="24"/>
  <c r="C1785" i="24"/>
  <c r="C1784" i="24"/>
  <c r="C1783" i="24"/>
  <c r="C1782" i="24"/>
  <c r="C1781" i="24"/>
  <c r="C1780" i="24"/>
  <c r="C1779" i="24"/>
  <c r="C1778" i="24"/>
  <c r="C1777" i="24"/>
  <c r="C1776" i="24"/>
  <c r="C1775" i="24"/>
  <c r="C1774" i="24"/>
  <c r="C1773" i="24"/>
  <c r="C1772" i="24"/>
  <c r="C1771" i="24"/>
  <c r="C1770" i="24"/>
  <c r="C1769" i="24"/>
  <c r="C1768" i="24"/>
  <c r="C1767" i="24"/>
  <c r="C1766" i="24"/>
  <c r="C1765" i="24"/>
  <c r="C1764" i="24"/>
  <c r="C1763" i="24"/>
  <c r="C1762" i="24"/>
  <c r="C1761" i="24"/>
  <c r="C1760" i="24"/>
  <c r="C1759" i="24"/>
  <c r="C1758" i="24"/>
  <c r="C1757" i="24"/>
  <c r="C1756" i="24"/>
  <c r="C1755" i="24"/>
  <c r="C1754" i="24"/>
  <c r="C1753" i="24"/>
  <c r="C1752" i="24"/>
  <c r="C1751" i="24"/>
  <c r="C1750" i="24"/>
  <c r="C1749" i="24"/>
  <c r="C1748" i="24"/>
  <c r="C1747" i="24"/>
  <c r="C1746" i="24"/>
  <c r="C1745" i="24"/>
  <c r="C1744" i="24"/>
  <c r="C1743" i="24"/>
  <c r="C1742" i="24"/>
  <c r="C1741" i="24"/>
  <c r="C1740" i="24"/>
  <c r="C1739" i="24"/>
  <c r="C1738" i="24"/>
  <c r="C1737" i="24"/>
  <c r="C1736" i="24"/>
  <c r="C1735" i="24"/>
  <c r="C1734" i="24"/>
  <c r="C1733" i="24"/>
  <c r="C1732" i="24"/>
  <c r="C1731" i="24"/>
  <c r="C1730" i="24"/>
  <c r="C1729" i="24"/>
  <c r="C1728" i="24"/>
  <c r="C1727" i="24"/>
  <c r="C1726" i="24"/>
  <c r="C1725" i="24"/>
  <c r="C1724" i="24"/>
  <c r="C1723" i="24"/>
  <c r="C1722" i="24"/>
  <c r="C1721" i="24"/>
  <c r="C1720" i="24"/>
  <c r="C1719" i="24"/>
  <c r="C1718" i="24"/>
  <c r="C1717" i="24"/>
  <c r="C1716" i="24"/>
  <c r="C1715" i="24"/>
  <c r="C1714" i="24"/>
  <c r="C1713" i="24"/>
  <c r="C1712" i="24"/>
  <c r="C1711" i="24"/>
  <c r="C1710" i="24"/>
  <c r="C1709" i="24"/>
  <c r="C1708" i="24"/>
  <c r="C1707" i="24"/>
  <c r="C1706" i="24"/>
  <c r="C1705" i="24"/>
  <c r="C1704" i="24"/>
  <c r="C1703" i="24"/>
  <c r="C1702" i="24"/>
  <c r="C1701" i="24"/>
  <c r="C1700" i="24"/>
  <c r="C1699" i="24"/>
  <c r="C1698" i="24"/>
  <c r="C1697" i="24"/>
  <c r="C1696" i="24"/>
  <c r="C1695" i="24"/>
  <c r="C1694" i="24"/>
  <c r="C1693" i="24"/>
  <c r="C1692" i="24"/>
  <c r="C1691" i="24"/>
  <c r="C1690" i="24"/>
  <c r="C1689" i="24"/>
  <c r="C1688" i="24"/>
  <c r="C1687" i="24"/>
  <c r="C1686" i="24"/>
  <c r="C1685" i="24"/>
  <c r="C1684" i="24"/>
  <c r="C1683" i="24"/>
  <c r="C1682" i="24"/>
  <c r="C1681" i="24"/>
  <c r="C1680" i="24"/>
  <c r="C1679" i="24"/>
  <c r="C1678" i="24"/>
  <c r="C1677" i="24"/>
  <c r="C1676" i="24"/>
  <c r="C1675" i="24"/>
  <c r="C1674" i="24"/>
  <c r="C1673" i="24"/>
  <c r="C1672" i="24"/>
  <c r="C1671" i="24"/>
  <c r="C1670" i="24"/>
  <c r="C1669" i="24"/>
  <c r="C1668" i="24"/>
  <c r="C1667" i="24"/>
  <c r="C1666" i="24"/>
  <c r="C1665" i="24"/>
  <c r="C1664" i="24"/>
  <c r="C1663" i="24"/>
  <c r="C1662" i="24"/>
  <c r="C1661" i="24"/>
  <c r="C1660" i="24"/>
  <c r="C1659" i="24"/>
  <c r="C1658" i="24"/>
  <c r="C1657" i="24"/>
  <c r="C1656" i="24"/>
  <c r="C1655" i="24"/>
  <c r="C1654" i="24"/>
  <c r="C1653" i="24"/>
  <c r="C1652" i="24"/>
  <c r="C1651" i="24"/>
  <c r="C1650" i="24"/>
  <c r="C1649" i="24"/>
  <c r="C1648" i="24"/>
  <c r="C1647" i="24"/>
  <c r="C1646" i="24"/>
  <c r="C1645" i="24"/>
  <c r="C1644" i="24"/>
  <c r="C1643" i="24"/>
  <c r="C1642" i="24"/>
  <c r="C1641" i="24"/>
  <c r="C1640" i="24"/>
  <c r="C1639" i="24"/>
  <c r="C1638" i="24"/>
  <c r="C1637" i="24"/>
  <c r="C1636" i="24"/>
  <c r="C1635" i="24"/>
  <c r="C1634" i="24"/>
  <c r="C1633" i="24"/>
  <c r="C1632" i="24"/>
  <c r="C1631" i="24"/>
  <c r="C1630" i="24"/>
  <c r="C1629" i="24"/>
  <c r="C1628" i="24"/>
  <c r="C1627" i="24"/>
  <c r="C1626" i="24"/>
  <c r="C1625" i="24"/>
  <c r="C1624" i="24"/>
  <c r="C1623" i="24"/>
  <c r="C1622" i="24"/>
  <c r="C1621" i="24"/>
  <c r="C1620" i="24"/>
  <c r="C1619" i="24"/>
  <c r="C1618" i="24"/>
  <c r="C1617" i="24"/>
  <c r="C1616" i="24"/>
  <c r="C1615" i="24"/>
  <c r="C1614" i="24"/>
  <c r="C1613" i="24"/>
  <c r="C1612" i="24"/>
  <c r="C1611" i="24"/>
  <c r="C1610" i="24"/>
  <c r="C1609" i="24"/>
  <c r="C1608" i="24"/>
  <c r="C1607" i="24"/>
  <c r="C1606" i="24"/>
  <c r="C1605" i="24"/>
  <c r="C1604" i="24"/>
  <c r="C1603" i="24"/>
  <c r="C1602" i="24"/>
  <c r="C1601" i="24"/>
  <c r="C1600" i="24"/>
  <c r="C1599" i="24"/>
  <c r="C1598" i="24"/>
  <c r="C1597" i="24"/>
  <c r="C1596" i="24"/>
  <c r="C1595" i="24"/>
  <c r="C1594" i="24"/>
  <c r="C1593" i="24"/>
  <c r="C1592" i="24"/>
  <c r="C1591" i="24"/>
  <c r="C1590" i="24"/>
  <c r="C1589" i="24"/>
  <c r="C1588" i="24"/>
  <c r="C1587" i="24"/>
  <c r="C1586" i="24"/>
  <c r="C1585" i="24"/>
  <c r="C1584" i="24"/>
  <c r="C1583" i="24"/>
  <c r="C1582" i="24"/>
  <c r="C1581" i="24"/>
  <c r="C1580" i="24"/>
  <c r="C1579" i="24"/>
  <c r="C1578" i="24"/>
  <c r="C1577" i="24"/>
  <c r="C1576" i="24"/>
  <c r="C1575" i="24"/>
  <c r="C1574" i="24"/>
  <c r="C1573" i="24"/>
  <c r="C1572" i="24"/>
  <c r="C1571" i="24"/>
  <c r="C1570" i="24"/>
  <c r="C1569" i="24"/>
  <c r="C1568" i="24"/>
  <c r="C1567" i="24"/>
  <c r="C1566" i="24"/>
  <c r="C1565" i="24"/>
  <c r="C1564" i="24"/>
  <c r="C1563" i="24"/>
  <c r="C1562" i="24"/>
  <c r="C1561" i="24"/>
  <c r="C1560" i="24"/>
  <c r="C1559" i="24"/>
  <c r="C1558" i="24"/>
  <c r="C1557" i="24"/>
  <c r="C1556" i="24"/>
  <c r="C1555" i="24"/>
  <c r="C1554" i="24"/>
  <c r="C1553" i="24"/>
  <c r="C1552" i="24"/>
  <c r="C1551" i="24"/>
  <c r="C1550" i="24"/>
  <c r="C1549" i="24"/>
  <c r="C1548" i="24"/>
  <c r="C1547" i="24"/>
  <c r="C1546" i="24"/>
  <c r="C1545" i="24"/>
  <c r="C1544" i="24"/>
  <c r="C1543" i="24"/>
  <c r="C1542" i="24"/>
  <c r="C1541" i="24"/>
  <c r="C1540" i="24"/>
  <c r="C1539" i="24"/>
  <c r="C1538" i="24"/>
  <c r="C1537" i="24"/>
  <c r="C1536" i="24"/>
  <c r="C1535" i="24"/>
  <c r="C1534" i="24"/>
  <c r="C1533" i="24"/>
  <c r="C1532" i="24"/>
  <c r="C1531" i="24"/>
  <c r="C1530" i="24"/>
  <c r="C1529" i="24"/>
  <c r="C1528" i="24"/>
  <c r="C1527" i="24"/>
  <c r="C1526" i="24"/>
  <c r="C1525" i="24"/>
  <c r="C1524" i="24"/>
  <c r="C1523" i="24"/>
  <c r="C1522" i="24"/>
  <c r="C1521" i="24"/>
  <c r="C1520" i="24"/>
  <c r="C1519" i="24"/>
  <c r="C1518" i="24"/>
  <c r="C1517" i="24"/>
  <c r="C1516" i="24"/>
  <c r="C1515" i="24"/>
  <c r="C1514" i="24"/>
  <c r="C1513" i="24"/>
  <c r="C1512" i="24"/>
  <c r="C1511" i="24"/>
  <c r="C1510" i="24"/>
  <c r="C1509" i="24"/>
  <c r="C1508" i="24"/>
  <c r="C1507" i="24"/>
  <c r="C1506" i="24"/>
  <c r="C1505" i="24"/>
  <c r="C1504" i="24"/>
  <c r="C1503" i="24"/>
  <c r="C1502" i="24"/>
  <c r="C1501" i="24"/>
  <c r="C1500" i="24"/>
  <c r="C1499" i="24"/>
  <c r="C1498" i="24"/>
  <c r="C1497" i="24"/>
  <c r="C1496" i="24"/>
  <c r="C1495" i="24"/>
  <c r="C1494" i="24"/>
  <c r="C1493" i="24"/>
  <c r="C1492" i="24"/>
  <c r="C1491" i="24"/>
  <c r="C1490" i="24"/>
  <c r="C1489" i="24"/>
  <c r="C1488" i="24"/>
  <c r="C1487" i="24"/>
  <c r="C1486" i="24"/>
  <c r="C1485" i="24"/>
  <c r="C1484" i="24"/>
  <c r="C1483" i="24"/>
  <c r="C1482" i="24"/>
  <c r="C1481" i="24"/>
  <c r="C1480" i="24"/>
  <c r="C1479" i="24"/>
  <c r="C1478" i="24"/>
  <c r="C1477" i="24"/>
  <c r="C1476" i="24"/>
  <c r="C1475" i="24"/>
  <c r="C1474" i="24"/>
  <c r="C1473" i="24"/>
  <c r="C1472" i="24"/>
  <c r="C1471" i="24"/>
  <c r="C1470" i="24"/>
  <c r="C1469" i="24"/>
  <c r="C1468" i="24"/>
  <c r="C1467" i="24"/>
  <c r="C1466" i="24"/>
  <c r="C1465" i="24"/>
  <c r="C1464" i="24"/>
  <c r="C1463" i="24"/>
  <c r="C1462" i="24"/>
  <c r="C1461" i="24"/>
  <c r="C1460" i="24"/>
  <c r="C1459" i="24"/>
  <c r="C1458" i="24"/>
  <c r="C1457" i="24"/>
  <c r="C1456" i="24"/>
  <c r="C1455" i="24"/>
  <c r="C1454" i="24"/>
  <c r="C1453" i="24"/>
  <c r="C1452" i="24"/>
  <c r="C1451" i="24"/>
  <c r="C1450" i="24"/>
  <c r="C1449" i="24"/>
  <c r="C1448" i="24"/>
  <c r="C1447" i="24"/>
  <c r="C1446" i="24"/>
  <c r="C1445" i="24"/>
  <c r="C1444" i="24"/>
  <c r="C1443" i="24"/>
  <c r="C1442" i="24"/>
  <c r="C1441" i="24"/>
  <c r="C1440" i="24"/>
  <c r="C1439" i="24"/>
  <c r="C1438" i="24"/>
  <c r="C1437" i="24"/>
  <c r="C1436" i="24"/>
  <c r="C1435" i="24"/>
  <c r="C1434" i="24"/>
  <c r="C1433" i="24"/>
  <c r="C1432" i="24"/>
  <c r="C1431" i="24"/>
  <c r="C1430" i="24"/>
  <c r="C1429" i="24"/>
  <c r="C1428" i="24"/>
  <c r="C1427" i="24"/>
  <c r="C1426" i="24"/>
  <c r="C1425" i="24"/>
  <c r="C1424" i="24"/>
  <c r="C1423" i="24"/>
  <c r="C1422" i="24"/>
  <c r="C1421" i="24"/>
  <c r="C1420" i="24"/>
  <c r="C1419" i="24"/>
  <c r="C1418" i="24"/>
  <c r="C1417" i="24"/>
  <c r="C1416" i="24"/>
  <c r="C1415" i="24"/>
  <c r="C1414" i="24"/>
  <c r="C1413" i="24"/>
  <c r="C1412" i="24"/>
  <c r="C1411" i="24"/>
  <c r="C1410" i="24"/>
  <c r="C1409" i="24"/>
  <c r="C1408" i="24"/>
  <c r="C1407" i="24"/>
  <c r="C1406" i="24"/>
  <c r="C1405" i="24"/>
  <c r="C1404" i="24"/>
  <c r="C1403" i="24"/>
  <c r="C1402" i="24"/>
  <c r="C1401" i="24"/>
  <c r="C1400" i="24"/>
  <c r="C1399" i="24"/>
  <c r="C1398" i="24"/>
  <c r="C1397" i="24"/>
  <c r="C1396" i="24"/>
  <c r="C1395" i="24"/>
  <c r="C1394" i="24"/>
  <c r="C1393" i="24"/>
  <c r="C1392" i="24"/>
  <c r="C1391" i="24"/>
  <c r="C1390" i="24"/>
  <c r="C1389" i="24"/>
  <c r="C1388" i="24"/>
  <c r="C1387" i="24"/>
  <c r="C1386" i="24"/>
  <c r="C1385" i="24"/>
  <c r="C1384" i="24"/>
  <c r="C1383" i="24"/>
  <c r="C1382" i="24"/>
  <c r="C1381" i="24"/>
  <c r="C1380" i="24"/>
  <c r="C1379" i="24"/>
  <c r="C1378" i="24"/>
  <c r="C1377" i="24"/>
  <c r="C1376" i="24"/>
  <c r="C1375" i="24"/>
  <c r="C1374" i="24"/>
  <c r="C1373" i="24"/>
  <c r="C1372" i="24"/>
  <c r="C1371" i="24"/>
  <c r="C1370" i="24"/>
  <c r="C1369" i="24"/>
  <c r="C1368" i="24"/>
  <c r="C1367" i="24"/>
  <c r="C1366" i="24"/>
  <c r="C1365" i="24"/>
  <c r="C1364" i="24"/>
  <c r="C1363" i="24"/>
  <c r="C1362" i="24"/>
  <c r="C1361" i="24"/>
  <c r="C1360" i="24"/>
  <c r="C1359" i="24"/>
  <c r="C1358" i="24"/>
  <c r="C1357" i="24"/>
  <c r="C1356" i="24"/>
  <c r="C1355" i="24"/>
  <c r="C1354" i="24"/>
  <c r="C1353" i="24"/>
  <c r="C1352" i="24"/>
  <c r="C1351" i="24"/>
  <c r="C1350" i="24"/>
  <c r="C1349" i="24"/>
  <c r="C1348" i="24"/>
  <c r="C1347" i="24"/>
  <c r="C1346" i="24"/>
  <c r="C1345" i="24"/>
  <c r="C1344" i="24"/>
  <c r="C1343" i="24"/>
  <c r="C1342" i="24"/>
  <c r="C1341" i="24"/>
  <c r="C1340" i="24"/>
  <c r="C1339" i="24"/>
  <c r="C1338" i="24"/>
  <c r="C1337" i="24"/>
  <c r="C1336" i="24"/>
  <c r="C1335" i="24"/>
  <c r="C1334" i="24"/>
  <c r="C1333" i="24"/>
  <c r="C1332" i="24"/>
  <c r="C1331" i="24"/>
  <c r="C1330" i="24"/>
  <c r="C1329" i="24"/>
  <c r="C1328" i="24"/>
  <c r="C1327" i="24"/>
  <c r="C1326" i="24"/>
  <c r="C1325" i="24"/>
  <c r="C1324" i="24"/>
  <c r="C1323" i="24"/>
  <c r="C1322" i="24"/>
  <c r="C1321" i="24"/>
  <c r="C1320" i="24"/>
  <c r="C1319" i="24"/>
  <c r="C1318" i="24"/>
  <c r="C1317" i="24"/>
  <c r="C1316" i="24"/>
  <c r="C1315" i="24"/>
  <c r="C1314" i="24"/>
  <c r="C1313" i="24"/>
  <c r="C1312" i="24"/>
  <c r="C1311" i="24"/>
  <c r="C1310" i="24"/>
  <c r="C1309" i="24"/>
  <c r="C1308" i="24"/>
  <c r="C1307" i="24"/>
  <c r="C1306" i="24"/>
  <c r="C1305" i="24"/>
  <c r="C1304" i="24"/>
  <c r="C1303" i="24"/>
  <c r="C1302" i="24"/>
  <c r="C1301" i="24"/>
  <c r="C1300" i="24"/>
  <c r="C1299" i="24"/>
  <c r="C1298" i="24"/>
  <c r="C1297" i="24"/>
  <c r="C1296" i="24"/>
  <c r="C1295" i="24"/>
  <c r="C1294" i="24"/>
  <c r="C1293" i="24"/>
  <c r="C1292" i="24"/>
  <c r="C1291" i="24"/>
  <c r="C1290" i="24"/>
  <c r="C1289" i="24"/>
  <c r="C1288" i="24"/>
  <c r="C1287" i="24"/>
  <c r="C1286" i="24"/>
  <c r="C1285" i="24"/>
  <c r="C1284" i="24"/>
  <c r="C1283" i="24"/>
  <c r="C1282" i="24"/>
  <c r="C1281" i="24"/>
  <c r="C1280" i="24"/>
  <c r="C1279" i="24"/>
  <c r="C1278" i="24"/>
  <c r="C1277" i="24"/>
  <c r="C1276" i="24"/>
  <c r="C1275" i="24"/>
  <c r="C1274" i="24"/>
  <c r="C1273" i="24"/>
  <c r="C1272" i="24"/>
  <c r="C1271" i="24"/>
  <c r="C1270" i="24"/>
  <c r="C1269" i="24"/>
  <c r="C1268" i="24"/>
  <c r="C1267" i="24"/>
  <c r="C1266" i="24"/>
  <c r="C1265" i="24"/>
  <c r="C1264" i="24"/>
  <c r="C1263" i="24"/>
  <c r="C1262" i="24"/>
  <c r="C1261" i="24"/>
  <c r="C1260" i="24"/>
  <c r="C1259" i="24"/>
  <c r="C1258" i="24"/>
  <c r="C1257" i="24"/>
  <c r="C1256" i="24"/>
  <c r="C1255" i="24"/>
  <c r="C1254" i="24"/>
  <c r="C1253" i="24"/>
  <c r="C1252" i="24"/>
  <c r="C1251" i="24"/>
  <c r="C1250" i="24"/>
  <c r="C1249" i="24"/>
  <c r="C1248" i="24"/>
  <c r="C1247" i="24"/>
  <c r="C1246" i="24"/>
  <c r="C1245" i="24"/>
  <c r="C1244" i="24"/>
  <c r="C1243" i="24"/>
  <c r="C1242" i="24"/>
  <c r="C1241" i="24"/>
  <c r="C1240" i="24"/>
  <c r="C1239" i="24"/>
  <c r="C1238" i="24"/>
  <c r="C1237" i="24"/>
  <c r="C1236" i="24"/>
  <c r="C1235" i="24"/>
  <c r="C1234" i="24"/>
  <c r="C1233" i="24"/>
  <c r="C1232" i="24"/>
  <c r="C1231" i="24"/>
  <c r="C1230" i="24"/>
  <c r="C1229" i="24"/>
  <c r="C1228" i="24"/>
  <c r="C1227" i="24"/>
  <c r="C1226" i="24"/>
  <c r="C1225" i="24"/>
  <c r="C1224" i="24"/>
  <c r="C1223" i="24"/>
  <c r="C1222" i="24"/>
  <c r="C1221" i="24"/>
  <c r="C1220" i="24"/>
  <c r="C1219" i="24"/>
  <c r="C1218" i="24"/>
  <c r="C1217" i="24"/>
  <c r="C1216" i="24"/>
  <c r="C1215" i="24"/>
  <c r="C1214" i="24"/>
  <c r="C1213" i="24"/>
  <c r="C1212" i="24"/>
  <c r="C1211" i="24"/>
  <c r="C1210" i="24"/>
  <c r="C1209" i="24"/>
  <c r="C1208" i="24"/>
  <c r="C1207" i="24"/>
  <c r="C1206" i="24"/>
  <c r="C1205" i="24"/>
  <c r="C1204" i="24"/>
  <c r="C1203" i="24"/>
  <c r="C1202" i="24"/>
  <c r="C1201" i="24"/>
  <c r="C1200" i="24"/>
  <c r="C1199" i="24"/>
  <c r="C1198" i="24"/>
  <c r="C1197" i="24"/>
  <c r="C1196" i="24"/>
  <c r="C1195" i="24"/>
  <c r="C1194" i="24"/>
  <c r="C1193" i="24"/>
  <c r="C1192" i="24"/>
  <c r="C1191" i="24"/>
  <c r="C1190" i="24"/>
  <c r="C1189" i="24"/>
  <c r="C1188" i="24"/>
  <c r="C1187" i="24"/>
  <c r="C1186" i="24"/>
  <c r="C1185" i="24"/>
  <c r="C1184" i="24"/>
  <c r="C1183" i="24"/>
  <c r="C1182" i="24"/>
  <c r="C1181" i="24"/>
  <c r="C1180" i="24"/>
  <c r="C1179" i="24"/>
  <c r="C1178" i="24"/>
  <c r="C1177" i="24"/>
  <c r="C1176" i="24"/>
  <c r="C1175" i="24"/>
  <c r="C1174" i="24"/>
  <c r="C1173" i="24"/>
  <c r="C1172" i="24"/>
  <c r="C1171" i="24"/>
  <c r="C1170" i="24"/>
  <c r="C1169" i="24"/>
  <c r="C1168" i="24"/>
  <c r="C1167" i="24"/>
  <c r="C1166" i="24"/>
  <c r="C1165" i="24"/>
  <c r="C1164" i="24"/>
  <c r="C1163" i="24"/>
  <c r="C1162" i="24"/>
  <c r="C1161" i="24"/>
  <c r="C1160" i="24"/>
  <c r="C1159" i="24"/>
  <c r="C1158" i="24"/>
  <c r="C1157" i="24"/>
  <c r="C1156" i="24"/>
  <c r="C1155" i="24"/>
  <c r="C1154" i="24"/>
  <c r="C1153" i="24"/>
  <c r="C1152" i="24"/>
  <c r="C1151" i="24"/>
  <c r="C1150" i="24"/>
  <c r="C1149" i="24"/>
  <c r="C1148" i="24"/>
  <c r="C1147" i="24"/>
  <c r="C1146" i="24"/>
  <c r="C1145" i="24"/>
  <c r="C1144" i="24"/>
  <c r="C1143" i="24"/>
  <c r="C1142" i="24"/>
  <c r="C1141" i="24"/>
  <c r="C1140" i="24"/>
  <c r="C1139" i="24"/>
  <c r="C1138" i="24"/>
  <c r="C1137" i="24"/>
  <c r="C1136" i="24"/>
  <c r="C1135" i="24"/>
  <c r="C1134" i="24"/>
  <c r="C1133" i="24"/>
  <c r="C1132" i="24"/>
  <c r="C1131" i="24"/>
  <c r="C1130" i="24"/>
  <c r="C1129" i="24"/>
  <c r="C1128" i="24"/>
  <c r="C1127" i="24"/>
  <c r="C1126" i="24"/>
  <c r="C1125" i="24"/>
  <c r="C1124" i="24"/>
  <c r="C1123" i="24"/>
  <c r="C1122" i="24"/>
  <c r="C1121" i="24"/>
  <c r="C1120" i="24"/>
  <c r="C1119" i="24"/>
  <c r="C1118" i="24"/>
  <c r="C1117" i="24"/>
  <c r="C1116" i="24"/>
  <c r="C1115" i="24"/>
  <c r="C1114" i="24"/>
  <c r="C1113" i="24"/>
  <c r="C1112" i="24"/>
  <c r="C1111" i="24"/>
  <c r="C1110" i="24"/>
  <c r="C1109" i="24"/>
  <c r="C1108" i="24"/>
  <c r="C1107" i="24"/>
  <c r="C1106" i="24"/>
  <c r="C1105" i="24"/>
  <c r="C1104" i="24"/>
  <c r="C1103" i="24"/>
  <c r="C1102" i="24"/>
  <c r="C1101" i="24"/>
  <c r="C1100" i="24"/>
  <c r="C1099" i="24"/>
  <c r="C1098" i="24"/>
  <c r="C1097" i="24"/>
  <c r="C1096" i="24"/>
  <c r="C1095" i="24"/>
  <c r="C1094" i="24"/>
  <c r="C1093" i="24"/>
  <c r="C1092" i="24"/>
  <c r="C1091" i="24"/>
  <c r="C1090" i="24"/>
  <c r="C1089" i="24"/>
  <c r="C1088" i="24"/>
  <c r="C1087" i="24"/>
  <c r="C1086" i="24"/>
  <c r="C1085" i="24"/>
  <c r="C1084" i="24"/>
  <c r="C1083" i="24"/>
  <c r="C1082" i="24"/>
  <c r="C1081" i="24"/>
  <c r="C1080" i="24"/>
  <c r="C1079" i="24"/>
  <c r="C1078" i="24"/>
  <c r="C1077" i="24"/>
  <c r="C1076" i="24"/>
  <c r="C1075" i="24"/>
  <c r="C1074" i="24"/>
  <c r="C1073" i="24"/>
  <c r="C1072" i="24"/>
  <c r="C1071" i="24"/>
  <c r="C1070" i="24"/>
  <c r="C1069" i="24"/>
  <c r="C1068" i="24"/>
  <c r="C1067" i="24"/>
  <c r="C1066" i="24"/>
  <c r="C1065" i="24"/>
  <c r="C1064" i="24"/>
  <c r="C1063" i="24"/>
  <c r="C1062" i="24"/>
  <c r="C1061" i="24"/>
  <c r="C1060" i="24"/>
  <c r="C1059" i="24"/>
  <c r="C1058" i="24"/>
  <c r="C1057" i="24"/>
  <c r="C1056" i="24"/>
  <c r="C1055" i="24"/>
  <c r="C1054" i="24"/>
  <c r="C1053" i="24"/>
  <c r="C1052" i="24"/>
  <c r="C1051" i="24"/>
  <c r="C1050" i="24"/>
  <c r="C1049" i="24"/>
  <c r="C1048" i="24"/>
  <c r="C1047" i="24"/>
  <c r="C1046" i="24"/>
  <c r="C1045" i="24"/>
  <c r="C1044" i="24"/>
  <c r="C1043" i="24"/>
  <c r="C1042" i="24"/>
  <c r="C1041" i="24"/>
  <c r="C1040" i="24"/>
  <c r="C1039" i="24"/>
  <c r="C1038" i="24"/>
  <c r="C1037" i="24"/>
  <c r="C1036" i="24"/>
  <c r="C1035" i="24"/>
  <c r="C1034" i="24"/>
  <c r="C1033" i="24"/>
  <c r="C1032" i="24"/>
  <c r="C1031" i="24"/>
  <c r="C1030" i="24"/>
  <c r="C1029" i="24"/>
  <c r="C1028" i="24"/>
  <c r="C1027" i="24"/>
  <c r="C1026" i="24"/>
  <c r="C1025" i="24"/>
  <c r="C1024" i="24"/>
  <c r="C1023" i="24"/>
  <c r="C1022" i="24"/>
  <c r="C1021" i="24"/>
  <c r="C1020" i="24"/>
  <c r="C1019" i="24"/>
  <c r="C1018" i="24"/>
  <c r="C1017" i="24"/>
  <c r="C1016" i="24"/>
  <c r="C1015" i="24"/>
  <c r="C1014" i="24"/>
  <c r="C1013" i="24"/>
  <c r="C1012" i="24"/>
  <c r="C1011" i="24"/>
  <c r="C1010" i="24"/>
  <c r="C1009" i="24"/>
  <c r="C1008" i="24"/>
  <c r="C1007" i="24"/>
  <c r="C1006" i="24"/>
  <c r="C1005" i="24"/>
  <c r="C1004" i="24"/>
  <c r="C1003" i="24"/>
  <c r="C1002" i="24"/>
  <c r="C1001" i="24"/>
  <c r="C1000" i="24"/>
  <c r="C999" i="24"/>
  <c r="C998" i="24"/>
  <c r="C997" i="24"/>
  <c r="C996" i="24"/>
  <c r="C995" i="24"/>
  <c r="C994" i="24"/>
  <c r="C993" i="24"/>
  <c r="C992" i="24"/>
  <c r="C991" i="24"/>
  <c r="C990" i="24"/>
  <c r="C989" i="24"/>
  <c r="C988" i="24"/>
  <c r="C987" i="24"/>
  <c r="C986" i="24"/>
  <c r="C985" i="24"/>
  <c r="C984" i="24"/>
  <c r="C983" i="24"/>
  <c r="C982" i="24"/>
  <c r="C981" i="24"/>
  <c r="C980" i="24"/>
  <c r="C979" i="24"/>
  <c r="C978" i="24"/>
  <c r="C977" i="24"/>
  <c r="C976" i="24"/>
  <c r="C975" i="24"/>
  <c r="C974" i="24"/>
  <c r="C973" i="24"/>
  <c r="C972" i="24"/>
  <c r="C971" i="24"/>
  <c r="C970" i="24"/>
  <c r="C969" i="24"/>
  <c r="C968" i="24"/>
  <c r="C967" i="24"/>
  <c r="C966" i="24"/>
  <c r="C965" i="24"/>
  <c r="C964" i="24"/>
  <c r="C963" i="24"/>
  <c r="C962" i="24"/>
  <c r="C961" i="24"/>
  <c r="C960" i="24"/>
  <c r="C959" i="24"/>
  <c r="C958" i="24"/>
  <c r="C957" i="24"/>
  <c r="C956" i="24"/>
  <c r="C955" i="24"/>
  <c r="C954" i="24"/>
  <c r="C953" i="24"/>
  <c r="C952" i="24"/>
  <c r="C951" i="24"/>
  <c r="C950" i="24"/>
  <c r="C949" i="24"/>
  <c r="C948" i="24"/>
  <c r="C947" i="24"/>
  <c r="C946" i="24"/>
  <c r="C945" i="24"/>
  <c r="C944" i="24"/>
  <c r="C943" i="24"/>
  <c r="C942" i="24"/>
  <c r="C941" i="24"/>
  <c r="C940" i="24"/>
  <c r="C939" i="24"/>
  <c r="C938" i="24"/>
  <c r="C937" i="24"/>
  <c r="C936" i="24"/>
  <c r="C935" i="24"/>
  <c r="C934" i="24"/>
  <c r="C933" i="24"/>
  <c r="C932" i="24"/>
  <c r="C931" i="24"/>
  <c r="C930" i="24"/>
  <c r="C929" i="24"/>
  <c r="C928" i="24"/>
  <c r="C927" i="24"/>
  <c r="C926" i="24"/>
  <c r="C925" i="24"/>
  <c r="C924" i="24"/>
  <c r="C923" i="24"/>
  <c r="C922" i="24"/>
  <c r="C921" i="24"/>
  <c r="C920" i="24"/>
  <c r="C919" i="24"/>
  <c r="C918" i="24"/>
  <c r="C917" i="24"/>
  <c r="C916" i="24"/>
  <c r="C915" i="24"/>
  <c r="C914" i="24"/>
  <c r="C913" i="24"/>
  <c r="C912" i="24"/>
  <c r="C911" i="24"/>
  <c r="C910" i="24"/>
  <c r="C909" i="24"/>
  <c r="C908" i="24"/>
  <c r="C907" i="24"/>
  <c r="C906" i="24"/>
  <c r="C905" i="24"/>
  <c r="C904" i="24"/>
  <c r="C903" i="24"/>
  <c r="C902" i="24"/>
  <c r="C901" i="24"/>
  <c r="C900" i="24"/>
  <c r="C899" i="24"/>
  <c r="C898" i="24"/>
  <c r="C897" i="24"/>
  <c r="C896" i="24"/>
  <c r="C895" i="24"/>
  <c r="C894" i="24"/>
  <c r="C893" i="24"/>
  <c r="C892" i="24"/>
  <c r="C891" i="24"/>
  <c r="C890" i="24"/>
  <c r="C889" i="24"/>
  <c r="C888" i="24"/>
  <c r="C887" i="24"/>
  <c r="C886" i="24"/>
  <c r="C885" i="24"/>
  <c r="C884" i="24"/>
  <c r="C883" i="24"/>
  <c r="C882" i="24"/>
  <c r="C881" i="24"/>
  <c r="C880" i="24"/>
  <c r="C879" i="24"/>
  <c r="C878" i="24"/>
  <c r="C877" i="24"/>
  <c r="C876" i="24"/>
  <c r="C875" i="24"/>
  <c r="C874" i="24"/>
  <c r="C873" i="24"/>
  <c r="C872" i="24"/>
  <c r="C871" i="24"/>
  <c r="C870" i="24"/>
  <c r="C869" i="24"/>
  <c r="C868" i="24"/>
  <c r="C867" i="24"/>
  <c r="C866" i="24"/>
  <c r="C865" i="24"/>
  <c r="C864" i="24"/>
  <c r="C863" i="24"/>
  <c r="C862" i="24"/>
  <c r="C861" i="24"/>
  <c r="C860" i="24"/>
  <c r="C859" i="24"/>
  <c r="C858" i="24"/>
  <c r="C857" i="24"/>
  <c r="C856" i="24"/>
  <c r="C855" i="24"/>
  <c r="C854" i="24"/>
  <c r="C853" i="24"/>
  <c r="C852" i="24"/>
  <c r="C851" i="24"/>
  <c r="C850" i="24"/>
  <c r="C849" i="24"/>
  <c r="C848" i="24"/>
  <c r="C847" i="24"/>
  <c r="C846" i="24"/>
  <c r="C845" i="24"/>
  <c r="C844" i="24"/>
  <c r="C843" i="24"/>
  <c r="C842" i="24"/>
  <c r="C841" i="24"/>
  <c r="C840" i="24"/>
  <c r="C839" i="24"/>
  <c r="C838" i="24"/>
  <c r="C837" i="24"/>
  <c r="C836" i="24"/>
  <c r="C835" i="24"/>
  <c r="C834" i="24"/>
  <c r="C833" i="24"/>
  <c r="C832" i="24"/>
  <c r="C831" i="24"/>
  <c r="C830" i="24"/>
  <c r="C829" i="24"/>
  <c r="C828" i="24"/>
  <c r="C827" i="24"/>
  <c r="C826" i="24"/>
  <c r="C825" i="24"/>
  <c r="C824" i="24"/>
  <c r="C823" i="24"/>
  <c r="C822" i="24"/>
  <c r="C821" i="24"/>
  <c r="C820" i="24"/>
  <c r="C819" i="24"/>
  <c r="C818" i="24"/>
  <c r="C817" i="24"/>
  <c r="C816" i="24"/>
  <c r="C815" i="24"/>
  <c r="C814" i="24"/>
  <c r="C813" i="24"/>
  <c r="C812" i="24"/>
  <c r="C811" i="24"/>
  <c r="C810" i="24"/>
  <c r="C809" i="24"/>
  <c r="C808" i="24"/>
  <c r="C807" i="24"/>
  <c r="C806" i="24"/>
  <c r="C805" i="24"/>
  <c r="C804" i="24"/>
  <c r="C803" i="24"/>
  <c r="C802" i="24"/>
  <c r="C801" i="24"/>
  <c r="C800" i="24"/>
  <c r="C799" i="24"/>
  <c r="C798" i="24"/>
  <c r="C797" i="24"/>
  <c r="C796" i="24"/>
  <c r="C795" i="24"/>
  <c r="C794" i="24"/>
  <c r="C793" i="24"/>
  <c r="C792" i="24"/>
  <c r="C791" i="24"/>
  <c r="C790" i="24"/>
  <c r="C789" i="24"/>
  <c r="C788" i="24"/>
  <c r="C787" i="24"/>
  <c r="C786" i="24"/>
  <c r="C785" i="24"/>
  <c r="C784" i="24"/>
  <c r="C783" i="24"/>
  <c r="C782" i="24"/>
  <c r="C781" i="24"/>
  <c r="C780" i="24"/>
  <c r="C779" i="24"/>
  <c r="C778" i="24"/>
  <c r="C777" i="24"/>
  <c r="C776" i="24"/>
  <c r="C775" i="24"/>
  <c r="C774" i="24"/>
  <c r="C773" i="24"/>
  <c r="C772" i="24"/>
  <c r="C771" i="24"/>
  <c r="C770" i="24"/>
  <c r="C769" i="24"/>
  <c r="C768" i="24"/>
  <c r="C767" i="24"/>
  <c r="C766" i="24"/>
  <c r="C765" i="24"/>
  <c r="C764" i="24"/>
  <c r="C763" i="24"/>
  <c r="C762" i="24"/>
  <c r="C761" i="24"/>
  <c r="C760" i="24"/>
  <c r="C759" i="24"/>
  <c r="C758" i="24"/>
  <c r="C757" i="24"/>
  <c r="C756" i="24"/>
  <c r="C755" i="24"/>
  <c r="C754" i="24"/>
  <c r="C753" i="24"/>
  <c r="C752" i="24"/>
  <c r="C751" i="24"/>
  <c r="C750" i="24"/>
  <c r="C749" i="24"/>
  <c r="C748" i="24"/>
  <c r="C747" i="24"/>
  <c r="C746" i="24"/>
  <c r="C745" i="24"/>
  <c r="C744" i="24"/>
  <c r="C743" i="24"/>
  <c r="C742" i="24"/>
  <c r="C741" i="24"/>
  <c r="C740" i="24"/>
  <c r="C739" i="24"/>
  <c r="C738" i="24"/>
  <c r="C737" i="24"/>
  <c r="C736" i="24"/>
  <c r="C735" i="24"/>
  <c r="C734" i="24"/>
  <c r="C733" i="24"/>
  <c r="C732" i="24"/>
  <c r="C731" i="24"/>
  <c r="C730" i="24"/>
  <c r="C729" i="24"/>
  <c r="C728" i="24"/>
  <c r="C727" i="24"/>
  <c r="C726" i="24"/>
  <c r="C725" i="24"/>
  <c r="C724" i="24"/>
  <c r="C723" i="24"/>
  <c r="C722" i="24"/>
  <c r="C721" i="24"/>
  <c r="C720" i="24"/>
  <c r="C719" i="24"/>
  <c r="C718" i="24"/>
  <c r="C717" i="24"/>
  <c r="C716" i="24"/>
  <c r="C715" i="24"/>
  <c r="C714" i="24"/>
  <c r="C713" i="24"/>
  <c r="C712" i="24"/>
  <c r="C711" i="24"/>
  <c r="C710" i="24"/>
  <c r="C709" i="24"/>
  <c r="C708" i="24"/>
  <c r="C707" i="24"/>
  <c r="C706" i="24"/>
  <c r="C705" i="24"/>
  <c r="C704" i="24"/>
  <c r="C703" i="24"/>
  <c r="C702" i="24"/>
  <c r="C701" i="24"/>
  <c r="C700" i="24"/>
  <c r="C699" i="24"/>
  <c r="C698" i="24"/>
  <c r="C697" i="24"/>
  <c r="C696" i="24"/>
  <c r="C695" i="24"/>
  <c r="C694" i="24"/>
  <c r="C693" i="24"/>
  <c r="C692" i="24"/>
  <c r="C691" i="24"/>
  <c r="C690" i="24"/>
  <c r="C689" i="24"/>
  <c r="C688" i="24"/>
  <c r="C687" i="24"/>
  <c r="C686" i="24"/>
  <c r="C685" i="24"/>
  <c r="C684" i="24"/>
  <c r="C683" i="24"/>
  <c r="C682" i="24"/>
  <c r="C681" i="24"/>
  <c r="C680" i="24"/>
  <c r="C679" i="24"/>
  <c r="C678" i="24"/>
  <c r="C677" i="24"/>
  <c r="C676" i="24"/>
  <c r="C675" i="24"/>
  <c r="C674" i="24"/>
  <c r="C673" i="24"/>
  <c r="C672" i="24"/>
  <c r="C671" i="24"/>
  <c r="C670" i="24"/>
  <c r="C669" i="24"/>
  <c r="C668" i="24"/>
  <c r="C667" i="24"/>
  <c r="C666" i="24"/>
  <c r="C665" i="24"/>
  <c r="C664" i="24"/>
  <c r="C663" i="24"/>
  <c r="C662" i="24"/>
  <c r="C661" i="24"/>
  <c r="C660" i="24"/>
  <c r="C659" i="24"/>
  <c r="C658" i="24"/>
  <c r="C657" i="24"/>
  <c r="C656" i="24"/>
  <c r="C655" i="24"/>
  <c r="C654" i="24"/>
  <c r="C653" i="24"/>
  <c r="C652" i="24"/>
  <c r="C651" i="24"/>
  <c r="C650" i="24"/>
  <c r="C649" i="24"/>
  <c r="C648" i="24"/>
  <c r="C647" i="24"/>
  <c r="C646" i="24"/>
  <c r="C645" i="24"/>
  <c r="C644" i="24"/>
  <c r="C643" i="24"/>
  <c r="C642" i="24"/>
  <c r="C641" i="24"/>
  <c r="C640" i="24"/>
  <c r="C639" i="24"/>
  <c r="C638" i="24"/>
  <c r="C637" i="24"/>
  <c r="C636" i="24"/>
  <c r="C635" i="24"/>
  <c r="C634" i="24"/>
  <c r="C633" i="24"/>
  <c r="C632" i="24"/>
  <c r="C631" i="24"/>
  <c r="C630" i="24"/>
  <c r="C629" i="24"/>
  <c r="C628" i="24"/>
  <c r="C627" i="24"/>
  <c r="C626" i="24"/>
  <c r="C625" i="24"/>
  <c r="C624" i="24"/>
  <c r="C623" i="24"/>
  <c r="C622" i="24"/>
  <c r="C621" i="24"/>
  <c r="C620" i="24"/>
  <c r="C619" i="24"/>
  <c r="C618" i="24"/>
  <c r="C617" i="24"/>
  <c r="C616" i="24"/>
  <c r="C615" i="24"/>
  <c r="C614" i="24"/>
  <c r="C613" i="24"/>
  <c r="C612" i="24"/>
  <c r="C611" i="24"/>
  <c r="C610" i="24"/>
  <c r="C609" i="24"/>
  <c r="C608" i="24"/>
  <c r="C607" i="24"/>
  <c r="C606" i="24"/>
  <c r="C605" i="24"/>
  <c r="C604" i="24"/>
  <c r="C603" i="24"/>
  <c r="C602" i="24"/>
  <c r="C601" i="24"/>
  <c r="C600" i="24"/>
  <c r="C599" i="24"/>
  <c r="C598" i="24"/>
  <c r="C597" i="24"/>
  <c r="C596" i="24"/>
  <c r="C595" i="24"/>
  <c r="C594" i="24"/>
  <c r="C593" i="24"/>
  <c r="C592" i="24"/>
  <c r="C591" i="24"/>
  <c r="C590" i="24"/>
  <c r="C589" i="24"/>
  <c r="C588" i="24"/>
  <c r="C587" i="24"/>
  <c r="C586" i="24"/>
  <c r="C585" i="24"/>
  <c r="C584" i="24"/>
  <c r="C583" i="24"/>
  <c r="C582" i="24"/>
  <c r="C581" i="24"/>
  <c r="C580" i="24"/>
  <c r="C579" i="24"/>
  <c r="C578" i="24"/>
  <c r="C577" i="24"/>
  <c r="C576" i="24"/>
  <c r="C575" i="24"/>
  <c r="C574" i="24"/>
  <c r="C573" i="24"/>
  <c r="C572" i="24"/>
  <c r="C571" i="24"/>
  <c r="C570" i="24"/>
  <c r="C569" i="24"/>
  <c r="C568" i="24"/>
  <c r="C567" i="24"/>
  <c r="C566" i="24"/>
  <c r="C565" i="24"/>
  <c r="C564" i="24"/>
  <c r="C563" i="24"/>
  <c r="C562" i="24"/>
  <c r="C561" i="24"/>
  <c r="C560" i="24"/>
  <c r="C559" i="24"/>
  <c r="C558" i="24"/>
  <c r="C557" i="24"/>
  <c r="C556" i="24"/>
  <c r="C555" i="24"/>
  <c r="C554" i="24"/>
  <c r="C553" i="24"/>
  <c r="C552" i="24"/>
  <c r="C551" i="24"/>
  <c r="C550" i="24"/>
  <c r="C549" i="24"/>
  <c r="C548" i="24"/>
  <c r="C547" i="24"/>
  <c r="C546" i="24"/>
  <c r="C545" i="24"/>
  <c r="C544" i="24"/>
  <c r="C543" i="24"/>
  <c r="C542" i="24"/>
  <c r="C541" i="24"/>
  <c r="C540" i="24"/>
  <c r="C539" i="24"/>
  <c r="C538" i="24"/>
  <c r="C537" i="24"/>
  <c r="C536" i="24"/>
  <c r="C535" i="24"/>
  <c r="C534" i="24"/>
  <c r="C533" i="24"/>
  <c r="C532" i="24"/>
  <c r="C531" i="24"/>
  <c r="C530" i="24"/>
  <c r="C529" i="24"/>
  <c r="C528" i="24"/>
  <c r="C527" i="24"/>
  <c r="C526" i="24"/>
  <c r="C525" i="24"/>
  <c r="C524" i="24"/>
  <c r="C523" i="24"/>
  <c r="C522" i="24"/>
  <c r="C521" i="24"/>
  <c r="C520" i="24"/>
  <c r="C519" i="24"/>
  <c r="C518" i="24"/>
  <c r="C517" i="24"/>
  <c r="C516" i="24"/>
  <c r="C515" i="24"/>
  <c r="C514" i="24"/>
  <c r="C513" i="24"/>
  <c r="C512" i="24"/>
  <c r="C511" i="24"/>
  <c r="C510" i="24"/>
  <c r="C509" i="24"/>
  <c r="C508" i="24"/>
  <c r="C507" i="24"/>
  <c r="C506" i="24"/>
  <c r="C505" i="24"/>
  <c r="C504" i="24"/>
  <c r="C503" i="24"/>
  <c r="C502" i="24"/>
  <c r="C501" i="24"/>
  <c r="C500" i="24"/>
  <c r="C499" i="24"/>
  <c r="C498" i="24"/>
  <c r="C497" i="24"/>
  <c r="C496" i="24"/>
  <c r="C495" i="24"/>
  <c r="C494" i="24"/>
  <c r="C493" i="24"/>
  <c r="C492" i="24"/>
  <c r="C491" i="24"/>
  <c r="C490" i="24"/>
  <c r="C489" i="24"/>
  <c r="C488" i="24"/>
  <c r="C487" i="24"/>
  <c r="C486" i="24"/>
  <c r="C485" i="24"/>
  <c r="C484" i="24"/>
  <c r="C483" i="24"/>
  <c r="C482" i="24"/>
  <c r="C481" i="24"/>
  <c r="C480" i="24"/>
  <c r="C479" i="24"/>
  <c r="C478" i="24"/>
  <c r="C477" i="24"/>
  <c r="C476" i="24"/>
  <c r="C475" i="24"/>
  <c r="C474" i="24"/>
  <c r="C473" i="24"/>
  <c r="C472" i="24"/>
  <c r="C471" i="24"/>
  <c r="C470" i="24"/>
  <c r="C469" i="24"/>
  <c r="C468" i="24"/>
  <c r="C467" i="24"/>
  <c r="C466" i="24"/>
  <c r="C465" i="24"/>
  <c r="C464" i="24"/>
  <c r="C463" i="24"/>
  <c r="C462" i="24"/>
  <c r="C461" i="24"/>
  <c r="C460" i="24"/>
  <c r="C459" i="24"/>
  <c r="C458" i="24"/>
  <c r="C457" i="24"/>
  <c r="C456" i="24"/>
  <c r="C455" i="24"/>
  <c r="C454" i="24"/>
  <c r="C453" i="24"/>
  <c r="C452" i="24"/>
  <c r="C451" i="24"/>
  <c r="C450" i="24"/>
  <c r="C449" i="24"/>
  <c r="C448" i="24"/>
  <c r="C447" i="24"/>
  <c r="C446" i="24"/>
  <c r="C445" i="24"/>
  <c r="C444" i="24"/>
  <c r="C443" i="24"/>
  <c r="C442" i="24"/>
  <c r="C441" i="24"/>
  <c r="C440" i="24"/>
  <c r="C439" i="24"/>
  <c r="C438" i="24"/>
  <c r="C437" i="24"/>
  <c r="C436" i="24"/>
  <c r="C435" i="24"/>
  <c r="C434" i="24"/>
  <c r="C433" i="24"/>
  <c r="C432" i="24"/>
  <c r="C431" i="24"/>
  <c r="C430" i="24"/>
  <c r="C429" i="24"/>
  <c r="C428" i="24"/>
  <c r="C427" i="24"/>
  <c r="C426" i="24"/>
  <c r="C425" i="24"/>
  <c r="C424" i="24"/>
  <c r="C423" i="24"/>
  <c r="C422" i="24"/>
  <c r="C421" i="24"/>
  <c r="C420" i="24"/>
  <c r="C419" i="24"/>
  <c r="C418" i="24"/>
  <c r="C417" i="24"/>
  <c r="C416" i="24"/>
  <c r="C415" i="24"/>
  <c r="C414" i="24"/>
  <c r="C413" i="24"/>
  <c r="C412" i="24"/>
  <c r="C411" i="24"/>
  <c r="C410" i="24"/>
  <c r="C409" i="24"/>
  <c r="C408" i="24"/>
  <c r="C407" i="24"/>
  <c r="C406" i="24"/>
  <c r="C405" i="24"/>
  <c r="C404" i="24"/>
  <c r="C403" i="24"/>
  <c r="C402" i="24"/>
  <c r="C401" i="24"/>
  <c r="C400" i="24"/>
  <c r="C399" i="24"/>
  <c r="C398" i="24"/>
  <c r="C397" i="24"/>
  <c r="C396" i="24"/>
  <c r="C395" i="24"/>
  <c r="C394" i="24"/>
  <c r="C393" i="24"/>
  <c r="C392" i="24"/>
  <c r="C391" i="24"/>
  <c r="C390" i="24"/>
  <c r="C389" i="24"/>
  <c r="C388" i="24"/>
  <c r="C387" i="24"/>
  <c r="C386" i="24"/>
  <c r="C385" i="24"/>
  <c r="C384" i="24"/>
  <c r="C383" i="24"/>
  <c r="C382" i="24"/>
  <c r="C381" i="24"/>
  <c r="C380" i="24"/>
  <c r="C379" i="24"/>
  <c r="C378" i="24"/>
  <c r="C377" i="24"/>
  <c r="C376" i="24"/>
  <c r="C375" i="24"/>
  <c r="C374" i="24"/>
  <c r="C373" i="24"/>
  <c r="C372" i="24"/>
  <c r="C371" i="24"/>
  <c r="C370" i="24"/>
  <c r="C369" i="24"/>
  <c r="C368" i="24"/>
  <c r="C367" i="24"/>
  <c r="C366" i="24"/>
  <c r="C365" i="24"/>
  <c r="C364" i="24"/>
  <c r="C363" i="24"/>
  <c r="C362" i="24"/>
  <c r="C361" i="24"/>
  <c r="C360" i="24"/>
  <c r="C359" i="24"/>
  <c r="C358" i="24"/>
  <c r="C357" i="24"/>
  <c r="C356" i="24"/>
  <c r="C355" i="24"/>
  <c r="C354" i="24"/>
  <c r="C353" i="24"/>
  <c r="C352" i="24"/>
  <c r="C351" i="24"/>
  <c r="C350" i="24"/>
  <c r="C349" i="24"/>
  <c r="C348" i="24"/>
  <c r="C347" i="24"/>
  <c r="C346" i="24"/>
  <c r="C345" i="24"/>
  <c r="C344" i="24"/>
  <c r="C343" i="24"/>
  <c r="C342" i="24"/>
  <c r="C341" i="24"/>
  <c r="C340" i="24"/>
  <c r="C339" i="24"/>
  <c r="C338" i="24"/>
  <c r="C337" i="24"/>
  <c r="C336" i="24"/>
  <c r="C335" i="24"/>
  <c r="C334" i="24"/>
  <c r="C333" i="24"/>
  <c r="C332" i="24"/>
  <c r="C331" i="24"/>
  <c r="C330" i="24"/>
  <c r="C329" i="24"/>
  <c r="C328" i="24"/>
  <c r="C327" i="24"/>
  <c r="C326" i="24"/>
  <c r="C325" i="24"/>
  <c r="C324" i="24"/>
  <c r="C323" i="24"/>
  <c r="C322" i="24"/>
  <c r="C321" i="24"/>
  <c r="C320" i="24"/>
  <c r="C319" i="24"/>
  <c r="C318" i="24"/>
  <c r="C317" i="24"/>
  <c r="C316" i="24"/>
  <c r="C315" i="24"/>
  <c r="C314" i="24"/>
  <c r="C313" i="24"/>
  <c r="C312" i="24"/>
  <c r="C311" i="24"/>
  <c r="C310" i="24"/>
  <c r="C309" i="24"/>
  <c r="C308" i="24"/>
  <c r="C307" i="24"/>
  <c r="C306" i="24"/>
  <c r="C305" i="24"/>
  <c r="C304" i="24"/>
  <c r="C303" i="24"/>
  <c r="C302" i="24"/>
  <c r="C301" i="24"/>
  <c r="C300" i="24"/>
  <c r="C299" i="24"/>
  <c r="C298" i="24"/>
  <c r="C297" i="24"/>
  <c r="C296" i="24"/>
  <c r="C295" i="24"/>
  <c r="C294" i="24"/>
  <c r="C293" i="24"/>
  <c r="C292" i="24"/>
  <c r="C291" i="24"/>
  <c r="C290" i="24"/>
  <c r="C289" i="24"/>
  <c r="C288" i="24"/>
  <c r="C287" i="24"/>
  <c r="C286" i="24"/>
  <c r="C285" i="24"/>
  <c r="C284" i="24"/>
  <c r="C283" i="24"/>
  <c r="C282" i="24"/>
  <c r="C281" i="24"/>
  <c r="C280" i="24"/>
  <c r="C279" i="24"/>
  <c r="C278" i="24"/>
  <c r="C277" i="24"/>
  <c r="C276" i="24"/>
  <c r="C275" i="24"/>
  <c r="C274" i="24"/>
  <c r="C273" i="24"/>
  <c r="C272" i="24"/>
  <c r="C271" i="24"/>
  <c r="C270" i="24"/>
  <c r="C269" i="24"/>
  <c r="C268" i="24"/>
  <c r="C267" i="24"/>
  <c r="C266" i="24"/>
  <c r="C265" i="24"/>
  <c r="C264" i="24"/>
  <c r="C263" i="24"/>
  <c r="C262" i="24"/>
  <c r="C261" i="24"/>
  <c r="C260" i="24"/>
  <c r="C259" i="24"/>
  <c r="C258" i="24"/>
  <c r="C257" i="24"/>
  <c r="C256" i="24"/>
  <c r="C255" i="24"/>
  <c r="C254" i="24"/>
  <c r="C253" i="24"/>
  <c r="C252" i="24"/>
  <c r="C251" i="24"/>
  <c r="C250" i="24"/>
  <c r="C249" i="24"/>
  <c r="C248" i="24"/>
  <c r="C247" i="24"/>
  <c r="C246" i="24"/>
  <c r="C245" i="24"/>
  <c r="C244" i="24"/>
  <c r="C243" i="24"/>
  <c r="C242" i="24"/>
  <c r="C241" i="24"/>
  <c r="C240" i="24"/>
  <c r="C239" i="24"/>
  <c r="C238" i="24"/>
  <c r="C237" i="24"/>
  <c r="C236" i="24"/>
  <c r="C235" i="24"/>
  <c r="C234" i="24"/>
  <c r="C233" i="24"/>
  <c r="C232" i="24"/>
  <c r="C231" i="24"/>
  <c r="C230" i="24"/>
  <c r="C229" i="24"/>
  <c r="C228" i="24"/>
  <c r="C227" i="24"/>
  <c r="C226" i="24"/>
  <c r="C225" i="24"/>
  <c r="C224" i="24"/>
  <c r="C223" i="24"/>
  <c r="C222" i="24"/>
  <c r="C221" i="24"/>
  <c r="C220" i="24"/>
  <c r="C219" i="24"/>
  <c r="C218" i="24"/>
  <c r="C217" i="24"/>
  <c r="C216" i="24"/>
  <c r="C215" i="24"/>
  <c r="C214" i="24"/>
  <c r="C213" i="24"/>
  <c r="C212" i="24"/>
  <c r="C211" i="24"/>
  <c r="C210" i="24"/>
  <c r="C209" i="24"/>
  <c r="C208" i="24"/>
  <c r="C207" i="24"/>
  <c r="C206" i="24"/>
  <c r="C205" i="24"/>
  <c r="C204" i="24"/>
  <c r="C203" i="24"/>
  <c r="C202" i="24"/>
  <c r="C201" i="24"/>
  <c r="C200" i="24"/>
  <c r="C199" i="24"/>
  <c r="C198" i="24"/>
  <c r="C197" i="24"/>
  <c r="C196" i="24"/>
  <c r="C195" i="24"/>
  <c r="C194" i="24"/>
  <c r="C193" i="24"/>
  <c r="C192" i="24"/>
  <c r="C191" i="24"/>
  <c r="C190" i="24"/>
  <c r="C189" i="24"/>
  <c r="C188" i="24"/>
  <c r="C187" i="24"/>
  <c r="C186" i="24"/>
  <c r="C185" i="24"/>
  <c r="C184" i="24"/>
  <c r="C183" i="24"/>
  <c r="C182" i="24"/>
  <c r="C181" i="24"/>
  <c r="C180" i="24"/>
  <c r="C179" i="24"/>
  <c r="C178" i="24"/>
  <c r="C177" i="24"/>
  <c r="C176" i="24"/>
  <c r="C175" i="24"/>
  <c r="C174" i="24"/>
  <c r="C173" i="24"/>
  <c r="C172" i="24"/>
  <c r="C171" i="24"/>
  <c r="C170" i="24"/>
  <c r="C169" i="24"/>
  <c r="C168" i="24"/>
  <c r="C167" i="24"/>
  <c r="C166" i="24"/>
  <c r="C165" i="24"/>
  <c r="C164" i="24"/>
  <c r="C163" i="24"/>
  <c r="C162" i="24"/>
  <c r="C161" i="24"/>
  <c r="C160" i="24"/>
  <c r="C159" i="24"/>
  <c r="C158" i="24"/>
  <c r="C157" i="24"/>
  <c r="C156" i="24"/>
  <c r="C155" i="24"/>
  <c r="C154" i="24"/>
  <c r="C153" i="24"/>
  <c r="C152" i="24"/>
  <c r="C151" i="24"/>
  <c r="C150" i="24"/>
  <c r="C149" i="24"/>
  <c r="C148" i="24"/>
  <c r="C147" i="24"/>
  <c r="C146" i="24"/>
  <c r="C145" i="24"/>
  <c r="C144" i="24"/>
  <c r="C143" i="24"/>
  <c r="C142" i="24"/>
  <c r="C141" i="24"/>
  <c r="C140" i="24"/>
  <c r="C139" i="24"/>
  <c r="C138" i="24"/>
  <c r="C137" i="24"/>
  <c r="C136" i="24"/>
  <c r="C135" i="24"/>
  <c r="C134" i="24"/>
  <c r="C133" i="24"/>
  <c r="C132" i="24"/>
  <c r="C131" i="24"/>
  <c r="C130" i="24"/>
  <c r="C129" i="24"/>
  <c r="C128" i="24"/>
  <c r="C127" i="24"/>
  <c r="C126" i="24"/>
  <c r="C125" i="24"/>
  <c r="C124" i="24"/>
  <c r="C123" i="24"/>
  <c r="C122" i="24"/>
  <c r="C121" i="24"/>
  <c r="C120" i="24"/>
  <c r="C119" i="24"/>
  <c r="C118" i="24"/>
  <c r="C117" i="24"/>
  <c r="C116" i="24"/>
  <c r="C115" i="24"/>
  <c r="C114" i="24"/>
  <c r="C113" i="24"/>
  <c r="C112" i="24"/>
  <c r="C111" i="24"/>
  <c r="C110" i="24"/>
  <c r="C109" i="24"/>
  <c r="C108" i="24"/>
  <c r="C107" i="24"/>
  <c r="C106" i="24"/>
  <c r="C105" i="24"/>
  <c r="C104" i="24"/>
  <c r="C103" i="24"/>
  <c r="C102" i="24"/>
  <c r="C101" i="24"/>
  <c r="C100" i="24"/>
  <c r="C99" i="24"/>
  <c r="C98" i="24"/>
  <c r="C97" i="24"/>
  <c r="C96" i="24"/>
  <c r="C95" i="24"/>
  <c r="C94" i="24"/>
  <c r="C93" i="24"/>
  <c r="C92" i="24"/>
  <c r="C91" i="24"/>
  <c r="C90" i="24"/>
  <c r="C89" i="24"/>
  <c r="C88" i="24"/>
  <c r="C87" i="24"/>
  <c r="C86" i="24"/>
  <c r="C85" i="24"/>
  <c r="C84" i="24"/>
  <c r="C83" i="24"/>
  <c r="C82" i="24"/>
  <c r="C81" i="24"/>
  <c r="C80" i="24"/>
  <c r="C79" i="24"/>
  <c r="C78" i="24"/>
  <c r="C77" i="24"/>
  <c r="C76" i="24"/>
  <c r="C75" i="24"/>
  <c r="C74" i="24"/>
  <c r="C73" i="24"/>
  <c r="C72" i="24"/>
  <c r="C71" i="24"/>
  <c r="C70" i="24"/>
  <c r="C69" i="24"/>
  <c r="C68" i="24"/>
  <c r="C67" i="24"/>
  <c r="C66" i="24"/>
  <c r="C65" i="24"/>
  <c r="C64" i="24"/>
  <c r="C63" i="24"/>
  <c r="C62" i="24"/>
  <c r="C61" i="24"/>
  <c r="C60" i="24"/>
  <c r="C59" i="24"/>
  <c r="C58" i="24"/>
  <c r="C57" i="24"/>
  <c r="C56" i="24"/>
  <c r="C55" i="24"/>
  <c r="C54" i="24"/>
  <c r="C53" i="24"/>
  <c r="C52" i="24"/>
  <c r="C51" i="24"/>
  <c r="C50" i="24"/>
  <c r="C49" i="24"/>
  <c r="C48" i="24"/>
  <c r="C47" i="24"/>
  <c r="C46" i="24"/>
  <c r="C45" i="24"/>
  <c r="C44" i="24"/>
  <c r="C43" i="24"/>
  <c r="C42" i="24"/>
  <c r="C41" i="24"/>
  <c r="C40" i="24"/>
  <c r="C39" i="24"/>
  <c r="C38" i="24"/>
  <c r="C37" i="24"/>
  <c r="C36" i="24"/>
  <c r="C35" i="24"/>
  <c r="C34" i="24"/>
  <c r="C33" i="24"/>
  <c r="C32" i="24"/>
  <c r="C31" i="24"/>
  <c r="C30" i="24"/>
  <c r="C29" i="24"/>
  <c r="C28" i="24"/>
  <c r="C27" i="24"/>
  <c r="C26" i="24"/>
  <c r="C25" i="24"/>
  <c r="C24" i="24"/>
  <c r="C23" i="24"/>
  <c r="C22" i="24"/>
  <c r="C21" i="24"/>
  <c r="C20" i="24"/>
  <c r="C19" i="24"/>
  <c r="C18" i="24"/>
  <c r="C17" i="24"/>
  <c r="C16" i="24"/>
  <c r="C15" i="24"/>
  <c r="C14" i="24"/>
  <c r="C13" i="24"/>
  <c r="C12" i="24"/>
  <c r="C11" i="24"/>
  <c r="C10" i="24"/>
  <c r="C9" i="24"/>
  <c r="C4" i="23"/>
  <c r="C12" i="1"/>
  <c r="B30" i="10"/>
  <c r="B29" i="10"/>
  <c r="B28" i="10"/>
  <c r="B27" i="10"/>
  <c r="B26" i="10"/>
  <c r="B25" i="10"/>
  <c r="B24" i="10"/>
  <c r="B18" i="10"/>
  <c r="B17" i="10"/>
  <c r="B16" i="10"/>
  <c r="B15" i="10"/>
  <c r="B14" i="10"/>
  <c r="B11" i="10"/>
  <c r="B46" i="10"/>
  <c r="B45" i="10"/>
  <c r="B43" i="10"/>
  <c r="AD115" i="20"/>
  <c r="AD114" i="20"/>
  <c r="AE113" i="20"/>
  <c r="AD113" i="20"/>
  <c r="AD112" i="20"/>
  <c r="AD111" i="20"/>
  <c r="AD110" i="20"/>
  <c r="AD109" i="20"/>
  <c r="AE108" i="20"/>
  <c r="AD108" i="20"/>
  <c r="AE107" i="20"/>
  <c r="AD107" i="20"/>
  <c r="AE106" i="20"/>
  <c r="AD106" i="20"/>
  <c r="AD105" i="20"/>
  <c r="AD104" i="20"/>
  <c r="AE103" i="20"/>
  <c r="AD103" i="20"/>
  <c r="AD102" i="20"/>
  <c r="AE101" i="20"/>
  <c r="AD101" i="20"/>
  <c r="AE100" i="20"/>
  <c r="AD100" i="20"/>
  <c r="AE99" i="20"/>
  <c r="AD99" i="20"/>
  <c r="AD98" i="20"/>
  <c r="AD97" i="20"/>
  <c r="AD96" i="20"/>
  <c r="AD95" i="20"/>
  <c r="AD94" i="20"/>
  <c r="AD93" i="20"/>
  <c r="AD92" i="20"/>
  <c r="AD91" i="20"/>
  <c r="AD90" i="20"/>
  <c r="AE89" i="20"/>
  <c r="AD89" i="20"/>
  <c r="AE88" i="20"/>
  <c r="AD88" i="20"/>
  <c r="AE87" i="20"/>
  <c r="AD87" i="20"/>
  <c r="AE86" i="20"/>
  <c r="AD86" i="20"/>
  <c r="AD85" i="20"/>
  <c r="AD84" i="20"/>
  <c r="AE83" i="20"/>
  <c r="AD83" i="20"/>
  <c r="AD82" i="20"/>
  <c r="AE81" i="20"/>
  <c r="AD81" i="20"/>
  <c r="AE80" i="20"/>
  <c r="AD80" i="20"/>
  <c r="AE79" i="20"/>
  <c r="AD79" i="20"/>
  <c r="AE78" i="20"/>
  <c r="AD78" i="20"/>
  <c r="AE77" i="20"/>
  <c r="AD77" i="20"/>
  <c r="AE76" i="20"/>
  <c r="AD76" i="20"/>
  <c r="AE75" i="20"/>
  <c r="AD75" i="20"/>
  <c r="AD74" i="20"/>
  <c r="AD73" i="20"/>
  <c r="AD72" i="20"/>
  <c r="AD71" i="20"/>
  <c r="AD70" i="20"/>
  <c r="AE69" i="20"/>
  <c r="AD69" i="20"/>
  <c r="AE68" i="20"/>
  <c r="AD68" i="20"/>
  <c r="AE67" i="20"/>
  <c r="AD67" i="20"/>
  <c r="AE66" i="20"/>
  <c r="AD66" i="20"/>
  <c r="AE65" i="20"/>
  <c r="AD65" i="20"/>
  <c r="AE64" i="20"/>
  <c r="AD64" i="20"/>
  <c r="AE63" i="20"/>
  <c r="AD63" i="20"/>
  <c r="AD62" i="20"/>
  <c r="AE61" i="20"/>
  <c r="AD61" i="20"/>
  <c r="AE60" i="20"/>
  <c r="AD60" i="20"/>
  <c r="AE59" i="20"/>
  <c r="AD59" i="20"/>
  <c r="AD58" i="20"/>
  <c r="AD57" i="20"/>
  <c r="AD56" i="20"/>
  <c r="AE55" i="20"/>
  <c r="AD55" i="20"/>
  <c r="AE54" i="20"/>
  <c r="AD54" i="20"/>
  <c r="AE53" i="20"/>
  <c r="AD53" i="20"/>
  <c r="AD52" i="20"/>
  <c r="AD51" i="20"/>
  <c r="AD50" i="20"/>
  <c r="AD49" i="20"/>
  <c r="AE48" i="20"/>
  <c r="AD48" i="20"/>
  <c r="AE47" i="20"/>
  <c r="AD47" i="20"/>
  <c r="AE46" i="20"/>
  <c r="AD46" i="20"/>
  <c r="AE45" i="20"/>
  <c r="AD45" i="20"/>
  <c r="AE44" i="20"/>
  <c r="AD44" i="20"/>
  <c r="AE43" i="20"/>
  <c r="AD43" i="20"/>
  <c r="AD42" i="20"/>
  <c r="AE41" i="20"/>
  <c r="AD41" i="20"/>
  <c r="AE40" i="20"/>
  <c r="AD40" i="20"/>
  <c r="AE39" i="20"/>
  <c r="AD39" i="20"/>
  <c r="AD38" i="20"/>
  <c r="AD37" i="20"/>
  <c r="AD36" i="20"/>
  <c r="AD35" i="20"/>
  <c r="AD34" i="20"/>
  <c r="AD33" i="20"/>
  <c r="AD32" i="20"/>
  <c r="AD31" i="20"/>
  <c r="AD30" i="20"/>
  <c r="AD29" i="20"/>
  <c r="AD28" i="20"/>
  <c r="AD27" i="20"/>
  <c r="AD26" i="20"/>
  <c r="AD25" i="20"/>
  <c r="AD24" i="20"/>
  <c r="AE23" i="20"/>
  <c r="AD23" i="20"/>
  <c r="AD22" i="20"/>
  <c r="AE21" i="20"/>
  <c r="AD21" i="20"/>
  <c r="AE20" i="20"/>
  <c r="AD20" i="20"/>
  <c r="AE19" i="20"/>
  <c r="AD19" i="20"/>
  <c r="AD18" i="20"/>
  <c r="AD17" i="20"/>
  <c r="AD16" i="20"/>
  <c r="AD15" i="20"/>
  <c r="AD14" i="20"/>
  <c r="AD13" i="20"/>
  <c r="AD12" i="20"/>
  <c r="X115" i="20"/>
  <c r="X114" i="20"/>
  <c r="X113" i="20"/>
  <c r="X112" i="20"/>
  <c r="X111" i="20"/>
  <c r="X110" i="20"/>
  <c r="X109" i="20"/>
  <c r="Y108" i="20"/>
  <c r="X108" i="20"/>
  <c r="X107" i="20"/>
  <c r="X106" i="20"/>
  <c r="X105" i="20"/>
  <c r="X104" i="20"/>
  <c r="Y103" i="20"/>
  <c r="X103" i="20"/>
  <c r="Y102" i="20"/>
  <c r="X102" i="20"/>
  <c r="Y101" i="20"/>
  <c r="X101" i="20"/>
  <c r="X100" i="20"/>
  <c r="Y99" i="20"/>
  <c r="X99" i="20"/>
  <c r="Y98" i="20"/>
  <c r="X98" i="20"/>
  <c r="Y97" i="20"/>
  <c r="X97" i="20"/>
  <c r="Y96" i="20"/>
  <c r="X96" i="20"/>
  <c r="X95" i="20"/>
  <c r="X94" i="20"/>
  <c r="X93" i="20"/>
  <c r="X92" i="20"/>
  <c r="X91" i="20"/>
  <c r="X90" i="20"/>
  <c r="X89" i="20"/>
  <c r="X88" i="20"/>
  <c r="X87" i="20"/>
  <c r="Y86" i="20"/>
  <c r="X86" i="20"/>
  <c r="X85" i="20"/>
  <c r="X84" i="20"/>
  <c r="Y83" i="20"/>
  <c r="X83" i="20"/>
  <c r="Y82" i="20"/>
  <c r="X82" i="20"/>
  <c r="X81" i="20"/>
  <c r="Y80" i="20"/>
  <c r="X80" i="20"/>
  <c r="Y79" i="20"/>
  <c r="X79" i="20"/>
  <c r="Y78" i="20"/>
  <c r="X78" i="20"/>
  <c r="Y77" i="20"/>
  <c r="X77" i="20"/>
  <c r="Y76" i="20"/>
  <c r="X76" i="20"/>
  <c r="X75" i="20"/>
  <c r="X74" i="20"/>
  <c r="Y73" i="20"/>
  <c r="X73" i="20"/>
  <c r="Y72" i="20"/>
  <c r="X72" i="20"/>
  <c r="Y71" i="20"/>
  <c r="X71" i="20"/>
  <c r="X70" i="20"/>
  <c r="X69" i="20"/>
  <c r="X68" i="20"/>
  <c r="X67" i="20"/>
  <c r="X66" i="20"/>
  <c r="X65" i="20"/>
  <c r="X64" i="20"/>
  <c r="Y63" i="20"/>
  <c r="X63" i="20"/>
  <c r="Y62" i="20"/>
  <c r="X62" i="20"/>
  <c r="Y61" i="20"/>
  <c r="X61" i="20"/>
  <c r="Y60" i="20"/>
  <c r="X60" i="20"/>
  <c r="Y59" i="20"/>
  <c r="X59" i="20"/>
  <c r="Y58" i="20"/>
  <c r="X58" i="20"/>
  <c r="Y57" i="20"/>
  <c r="X57" i="20"/>
  <c r="Y56" i="20"/>
  <c r="X56" i="20"/>
  <c r="X55" i="20"/>
  <c r="X54" i="20"/>
  <c r="X53" i="20"/>
  <c r="X52" i="20"/>
  <c r="X51" i="20"/>
  <c r="Y50" i="20"/>
  <c r="X50" i="20"/>
  <c r="X49" i="20"/>
  <c r="X48" i="20"/>
  <c r="X47" i="20"/>
  <c r="X46" i="20"/>
  <c r="X45" i="20"/>
  <c r="X44" i="20"/>
  <c r="X43" i="20"/>
  <c r="X42" i="20"/>
  <c r="Y41" i="20"/>
  <c r="X41" i="20"/>
  <c r="Y40" i="20"/>
  <c r="X40" i="20"/>
  <c r="Y39" i="20"/>
  <c r="X39" i="20"/>
  <c r="Y38" i="20"/>
  <c r="X38" i="20"/>
  <c r="Y37" i="20"/>
  <c r="X37" i="20"/>
  <c r="Y36" i="20"/>
  <c r="X36" i="20"/>
  <c r="X35" i="20"/>
  <c r="X34" i="20"/>
  <c r="X33" i="20"/>
  <c r="X32" i="20"/>
  <c r="X31" i="20"/>
  <c r="X30" i="20"/>
  <c r="X29" i="20"/>
  <c r="X28" i="20"/>
  <c r="X27" i="20"/>
  <c r="Y26" i="20"/>
  <c r="X26" i="20"/>
  <c r="X25" i="20"/>
  <c r="X24" i="20"/>
  <c r="Y23" i="20"/>
  <c r="X23" i="20"/>
  <c r="X22" i="20"/>
  <c r="X21" i="20"/>
  <c r="Y20" i="20"/>
  <c r="X20" i="20"/>
  <c r="Y19" i="20"/>
  <c r="X19" i="20"/>
  <c r="Y18" i="20"/>
  <c r="X18" i="20"/>
  <c r="Y17" i="20"/>
  <c r="X17" i="20"/>
  <c r="Y16" i="20"/>
  <c r="X16" i="20"/>
  <c r="X15" i="20"/>
  <c r="X14" i="20"/>
  <c r="Y13" i="20"/>
  <c r="X13" i="20"/>
  <c r="X12" i="20"/>
  <c r="S113" i="20"/>
  <c r="S109" i="20"/>
  <c r="S108" i="20"/>
  <c r="S97" i="20"/>
  <c r="S96" i="20"/>
  <c r="S95" i="20"/>
  <c r="S94" i="20"/>
  <c r="S93" i="20"/>
  <c r="S84" i="20"/>
  <c r="S79" i="20"/>
  <c r="S78" i="20"/>
  <c r="S77" i="20"/>
  <c r="S76" i="20"/>
  <c r="S75" i="20"/>
  <c r="S74" i="20"/>
  <c r="S73" i="20"/>
  <c r="S57" i="20"/>
  <c r="S56" i="20"/>
  <c r="S55" i="20"/>
  <c r="S54" i="20"/>
  <c r="S53" i="20"/>
  <c r="S37" i="20"/>
  <c r="S36" i="20"/>
  <c r="S35" i="20"/>
  <c r="S34" i="20"/>
  <c r="S33" i="20"/>
  <c r="S24" i="20"/>
  <c r="S19" i="20"/>
  <c r="S18" i="20"/>
  <c r="S17" i="20"/>
  <c r="S16" i="20"/>
  <c r="S15" i="20"/>
  <c r="S14" i="20"/>
  <c r="S13" i="20"/>
  <c r="R115" i="20"/>
  <c r="R114" i="20"/>
  <c r="R113" i="20"/>
  <c r="R112" i="20"/>
  <c r="R111" i="20"/>
  <c r="R110" i="20"/>
  <c r="R109" i="20"/>
  <c r="R108" i="20"/>
  <c r="R107" i="20"/>
  <c r="R106" i="20"/>
  <c r="R105" i="20"/>
  <c r="R104" i="20"/>
  <c r="R103" i="20"/>
  <c r="R102" i="20"/>
  <c r="R101" i="20"/>
  <c r="R100" i="20"/>
  <c r="R99" i="20"/>
  <c r="R98" i="20"/>
  <c r="R97" i="20"/>
  <c r="R96" i="20"/>
  <c r="R95" i="20"/>
  <c r="R94" i="20"/>
  <c r="R93" i="20"/>
  <c r="R92" i="20"/>
  <c r="R91" i="20"/>
  <c r="R90" i="20"/>
  <c r="R89" i="20"/>
  <c r="R88" i="20"/>
  <c r="R87" i="20"/>
  <c r="R86" i="20"/>
  <c r="R85" i="20"/>
  <c r="R84" i="20"/>
  <c r="R83" i="20"/>
  <c r="R82" i="20"/>
  <c r="R81" i="20"/>
  <c r="R80" i="20"/>
  <c r="R79" i="20"/>
  <c r="R78" i="20"/>
  <c r="R77" i="20"/>
  <c r="R76" i="20"/>
  <c r="R75" i="20"/>
  <c r="R74" i="20"/>
  <c r="R73" i="20"/>
  <c r="R72" i="20"/>
  <c r="R71" i="20"/>
  <c r="R70" i="20"/>
  <c r="R69" i="20"/>
  <c r="R68" i="20"/>
  <c r="R67" i="20"/>
  <c r="R66" i="20"/>
  <c r="R65" i="20"/>
  <c r="R64" i="20"/>
  <c r="R63" i="20"/>
  <c r="R62" i="20"/>
  <c r="R61" i="20"/>
  <c r="R60" i="20"/>
  <c r="R59" i="20"/>
  <c r="R58" i="20"/>
  <c r="R57" i="20"/>
  <c r="R56" i="20"/>
  <c r="R55" i="20"/>
  <c r="R54" i="20"/>
  <c r="R53" i="20"/>
  <c r="R52" i="20"/>
  <c r="R51" i="20"/>
  <c r="R50" i="20"/>
  <c r="R49" i="20"/>
  <c r="R48" i="20"/>
  <c r="R47" i="20"/>
  <c r="R46" i="20"/>
  <c r="R45" i="20"/>
  <c r="R44" i="20"/>
  <c r="R43" i="20"/>
  <c r="R42" i="20"/>
  <c r="R41" i="20"/>
  <c r="R40" i="20"/>
  <c r="R39" i="20"/>
  <c r="R38" i="20"/>
  <c r="R37" i="20"/>
  <c r="R36" i="20"/>
  <c r="R35" i="20"/>
  <c r="R34" i="20"/>
  <c r="R33" i="20"/>
  <c r="R32" i="20"/>
  <c r="R31" i="20"/>
  <c r="R30" i="20"/>
  <c r="R29" i="20"/>
  <c r="R28" i="20"/>
  <c r="R27" i="20"/>
  <c r="R26" i="20"/>
  <c r="R25" i="20"/>
  <c r="R24" i="20"/>
  <c r="R23" i="20"/>
  <c r="R22" i="20"/>
  <c r="R21" i="20"/>
  <c r="R20" i="20"/>
  <c r="R19" i="20"/>
  <c r="R18" i="20"/>
  <c r="R17" i="20"/>
  <c r="R16" i="20"/>
  <c r="R15" i="20"/>
  <c r="R14" i="20"/>
  <c r="R13" i="20"/>
  <c r="R12" i="20"/>
  <c r="M114" i="20"/>
  <c r="M112" i="20"/>
  <c r="M111" i="20"/>
  <c r="M106" i="20"/>
  <c r="M105" i="20"/>
  <c r="M104" i="20"/>
  <c r="M103" i="20"/>
  <c r="M102" i="20"/>
  <c r="M101" i="20"/>
  <c r="M100" i="20"/>
  <c r="M99" i="20"/>
  <c r="M92" i="20"/>
  <c r="M91" i="20"/>
  <c r="M86" i="20"/>
  <c r="M85" i="20"/>
  <c r="M84" i="20"/>
  <c r="M83" i="20"/>
  <c r="M82" i="20"/>
  <c r="M66" i="20"/>
  <c r="M65" i="20"/>
  <c r="M64" i="20"/>
  <c r="M63" i="20"/>
  <c r="M62" i="20"/>
  <c r="M61" i="20"/>
  <c r="M60" i="20"/>
  <c r="M59" i="20"/>
  <c r="M58" i="20"/>
  <c r="M57" i="20"/>
  <c r="M52" i="20"/>
  <c r="M51" i="20"/>
  <c r="M45" i="20"/>
  <c r="M44" i="20"/>
  <c r="M43" i="20"/>
  <c r="M42" i="20"/>
  <c r="M38" i="20"/>
  <c r="M37" i="20"/>
  <c r="M36" i="20"/>
  <c r="M32" i="20"/>
  <c r="M31" i="20"/>
  <c r="M26" i="20"/>
  <c r="M25" i="20"/>
  <c r="M24" i="20"/>
  <c r="M23" i="20"/>
  <c r="M22" i="20"/>
  <c r="M12" i="20"/>
  <c r="L115" i="20"/>
  <c r="L114" i="20"/>
  <c r="L113" i="20"/>
  <c r="L112" i="20"/>
  <c r="L111" i="20"/>
  <c r="L110" i="20"/>
  <c r="L109" i="20"/>
  <c r="L108" i="20"/>
  <c r="L107" i="20"/>
  <c r="L106" i="20"/>
  <c r="L105" i="20"/>
  <c r="L104" i="20"/>
  <c r="L103" i="20"/>
  <c r="L102" i="20"/>
  <c r="L101" i="20"/>
  <c r="L100" i="20"/>
  <c r="L99" i="20"/>
  <c r="L98" i="20"/>
  <c r="L97" i="20"/>
  <c r="L96" i="20"/>
  <c r="L95" i="20"/>
  <c r="L94" i="20"/>
  <c r="L93" i="20"/>
  <c r="L92" i="20"/>
  <c r="L91" i="20"/>
  <c r="L90" i="20"/>
  <c r="L89" i="20"/>
  <c r="L88" i="20"/>
  <c r="L87" i="20"/>
  <c r="L86" i="20"/>
  <c r="L85" i="20"/>
  <c r="L84" i="20"/>
  <c r="L83" i="20"/>
  <c r="L82" i="20"/>
  <c r="L81" i="20"/>
  <c r="L80" i="20"/>
  <c r="L79" i="20"/>
  <c r="L78" i="20"/>
  <c r="L77" i="20"/>
  <c r="L76" i="20"/>
  <c r="L75" i="20"/>
  <c r="L74" i="20"/>
  <c r="L73" i="20"/>
  <c r="L72" i="20"/>
  <c r="L71" i="20"/>
  <c r="L70" i="20"/>
  <c r="L69" i="20"/>
  <c r="L68" i="20"/>
  <c r="L67" i="20"/>
  <c r="L66" i="20"/>
  <c r="L65" i="20"/>
  <c r="L64" i="20"/>
  <c r="L63" i="20"/>
  <c r="L62" i="20"/>
  <c r="L61" i="20"/>
  <c r="L60" i="20"/>
  <c r="L59" i="20"/>
  <c r="L58" i="20"/>
  <c r="L57" i="20"/>
  <c r="L56" i="20"/>
  <c r="L55" i="20"/>
  <c r="L54" i="20"/>
  <c r="L53" i="20"/>
  <c r="L52" i="20"/>
  <c r="L51" i="20"/>
  <c r="L50" i="20"/>
  <c r="L49" i="20"/>
  <c r="L48" i="20"/>
  <c r="L47" i="20"/>
  <c r="L46" i="20"/>
  <c r="L45" i="20"/>
  <c r="L44" i="20"/>
  <c r="L43" i="20"/>
  <c r="L42" i="20"/>
  <c r="L41" i="20"/>
  <c r="L40" i="20"/>
  <c r="L39" i="20"/>
  <c r="L38" i="20"/>
  <c r="L37" i="20"/>
  <c r="L36" i="20"/>
  <c r="L35" i="20"/>
  <c r="L34" i="20"/>
  <c r="L33" i="20"/>
  <c r="L32" i="20"/>
  <c r="L31" i="20"/>
  <c r="L30" i="20"/>
  <c r="L29" i="20"/>
  <c r="L28" i="20"/>
  <c r="L27" i="20"/>
  <c r="L26" i="20"/>
  <c r="L25" i="20"/>
  <c r="L24" i="20"/>
  <c r="L23" i="20"/>
  <c r="L22" i="20"/>
  <c r="L21" i="20"/>
  <c r="L20" i="20"/>
  <c r="L19" i="20"/>
  <c r="L18" i="20"/>
  <c r="L17" i="20"/>
  <c r="L16" i="20"/>
  <c r="L15" i="20"/>
  <c r="L14" i="20"/>
  <c r="L13" i="20"/>
  <c r="L12" i="20"/>
  <c r="G111" i="20"/>
  <c r="G109" i="20"/>
  <c r="G108" i="20"/>
  <c r="G107" i="20"/>
  <c r="G106" i="20"/>
  <c r="G105" i="20"/>
  <c r="G94" i="20"/>
  <c r="G91" i="20"/>
  <c r="G87" i="20"/>
  <c r="G86" i="20"/>
  <c r="G85" i="20"/>
  <c r="G81" i="20"/>
  <c r="G80" i="20"/>
  <c r="G77" i="20"/>
  <c r="G69" i="20"/>
  <c r="G68" i="20"/>
  <c r="G67" i="20"/>
  <c r="G66" i="20"/>
  <c r="G65" i="20"/>
  <c r="G54" i="20"/>
  <c r="G51" i="20"/>
  <c r="G49" i="20"/>
  <c r="G48" i="20"/>
  <c r="G47" i="20"/>
  <c r="G46" i="20"/>
  <c r="G45" i="20"/>
  <c r="G31" i="20"/>
  <c r="G29" i="20"/>
  <c r="G28" i="20"/>
  <c r="G27" i="20"/>
  <c r="G26" i="20"/>
  <c r="G25" i="20"/>
  <c r="G24" i="20"/>
  <c r="G23" i="20"/>
  <c r="G22" i="20"/>
  <c r="G15" i="20"/>
  <c r="G14"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D431" i="28"/>
  <c r="D430" i="28"/>
  <c r="S112" i="20" s="1"/>
  <c r="D429" i="28"/>
  <c r="S111" i="20" s="1"/>
  <c r="D428" i="28"/>
  <c r="S110" i="20" s="1"/>
  <c r="D427" i="28"/>
  <c r="D426" i="28"/>
  <c r="D425" i="28"/>
  <c r="S107" i="20" s="1"/>
  <c r="D424" i="28"/>
  <c r="S106" i="20" s="1"/>
  <c r="D423" i="28"/>
  <c r="S105" i="20" s="1"/>
  <c r="D422" i="28"/>
  <c r="S104" i="20" s="1"/>
  <c r="D421" i="28"/>
  <c r="S103" i="20" s="1"/>
  <c r="D420" i="28"/>
  <c r="S102" i="20" s="1"/>
  <c r="D419" i="28"/>
  <c r="S101" i="20" s="1"/>
  <c r="D418" i="28"/>
  <c r="S100" i="20" s="1"/>
  <c r="D417" i="28"/>
  <c r="S99" i="20" s="1"/>
  <c r="D416" i="28"/>
  <c r="S98" i="20" s="1"/>
  <c r="D415" i="28"/>
  <c r="D414" i="28"/>
  <c r="D413" i="28"/>
  <c r="D412" i="28"/>
  <c r="D411" i="28"/>
  <c r="D410" i="28"/>
  <c r="S92" i="20" s="1"/>
  <c r="D409" i="28"/>
  <c r="S91" i="20" s="1"/>
  <c r="D408" i="28"/>
  <c r="S90" i="20" s="1"/>
  <c r="D407" i="28"/>
  <c r="S89" i="20" s="1"/>
  <c r="D406" i="28"/>
  <c r="S88" i="20" s="1"/>
  <c r="D405" i="28"/>
  <c r="S87" i="20" s="1"/>
  <c r="D404" i="28"/>
  <c r="S86" i="20" s="1"/>
  <c r="D403" i="28"/>
  <c r="S85" i="20" s="1"/>
  <c r="D402" i="28"/>
  <c r="D401" i="28"/>
  <c r="S83" i="20" s="1"/>
  <c r="D400" i="28"/>
  <c r="S82" i="20" s="1"/>
  <c r="D399" i="28"/>
  <c r="S81" i="20" s="1"/>
  <c r="D398" i="28"/>
  <c r="S80" i="20" s="1"/>
  <c r="D397" i="28"/>
  <c r="D396" i="28"/>
  <c r="D395" i="28"/>
  <c r="D394" i="28"/>
  <c r="D393" i="28"/>
  <c r="D392" i="28"/>
  <c r="D391" i="28"/>
  <c r="D390" i="28"/>
  <c r="S72" i="20" s="1"/>
  <c r="D389" i="28"/>
  <c r="S71" i="20" s="1"/>
  <c r="D388" i="28"/>
  <c r="S70" i="20" s="1"/>
  <c r="D387" i="28"/>
  <c r="S69" i="20" s="1"/>
  <c r="D386" i="28"/>
  <c r="S68" i="20" s="1"/>
  <c r="D385" i="28"/>
  <c r="S67" i="20" s="1"/>
  <c r="D384" i="28"/>
  <c r="S66" i="20" s="1"/>
  <c r="D383" i="28"/>
  <c r="S65" i="20" s="1"/>
  <c r="D382" i="28"/>
  <c r="S64" i="20" s="1"/>
  <c r="D381" i="28"/>
  <c r="S63" i="20" s="1"/>
  <c r="D380" i="28"/>
  <c r="S62" i="20" s="1"/>
  <c r="D379" i="28"/>
  <c r="S61" i="20" s="1"/>
  <c r="D378" i="28"/>
  <c r="S60" i="20" s="1"/>
  <c r="D377" i="28"/>
  <c r="S59" i="20" s="1"/>
  <c r="D376" i="28"/>
  <c r="S58" i="20" s="1"/>
  <c r="D375" i="28"/>
  <c r="D374" i="28"/>
  <c r="D373" i="28"/>
  <c r="D372" i="28"/>
  <c r="D371" i="28"/>
  <c r="D370" i="28"/>
  <c r="S52" i="20" s="1"/>
  <c r="D369" i="28"/>
  <c r="S51" i="20" s="1"/>
  <c r="D368" i="28"/>
  <c r="S50" i="20" s="1"/>
  <c r="D367" i="28"/>
  <c r="S49" i="20" s="1"/>
  <c r="D366" i="28"/>
  <c r="S48" i="20" s="1"/>
  <c r="D365" i="28"/>
  <c r="S47" i="20" s="1"/>
  <c r="D364" i="28"/>
  <c r="S46" i="20" s="1"/>
  <c r="D363" i="28"/>
  <c r="S45" i="20" s="1"/>
  <c r="D362" i="28"/>
  <c r="S44" i="20" s="1"/>
  <c r="D361" i="28"/>
  <c r="S43" i="20" s="1"/>
  <c r="D360" i="28"/>
  <c r="S42" i="20" s="1"/>
  <c r="D359" i="28"/>
  <c r="S41" i="20" s="1"/>
  <c r="D358" i="28"/>
  <c r="S40" i="20" s="1"/>
  <c r="D357" i="28"/>
  <c r="S39" i="20" s="1"/>
  <c r="D356" i="28"/>
  <c r="S38" i="20" s="1"/>
  <c r="D355" i="28"/>
  <c r="D354" i="28"/>
  <c r="D353" i="28"/>
  <c r="D352" i="28"/>
  <c r="D351" i="28"/>
  <c r="D350" i="28"/>
  <c r="S32" i="20" s="1"/>
  <c r="D349" i="28"/>
  <c r="S31" i="20" s="1"/>
  <c r="D348" i="28"/>
  <c r="S30" i="20" s="1"/>
  <c r="D347" i="28"/>
  <c r="S29" i="20" s="1"/>
  <c r="D346" i="28"/>
  <c r="S28" i="20" s="1"/>
  <c r="D345" i="28"/>
  <c r="S27" i="20" s="1"/>
  <c r="D344" i="28"/>
  <c r="S26" i="20" s="1"/>
  <c r="D343" i="28"/>
  <c r="S25" i="20" s="1"/>
  <c r="D342" i="28"/>
  <c r="D341" i="28"/>
  <c r="S23" i="20" s="1"/>
  <c r="D340" i="28"/>
  <c r="S22" i="20" s="1"/>
  <c r="D339" i="28"/>
  <c r="S21" i="20" s="1"/>
  <c r="D338" i="28"/>
  <c r="S20" i="20" s="1"/>
  <c r="D337" i="28"/>
  <c r="D336" i="28"/>
  <c r="D335" i="28"/>
  <c r="D334" i="28"/>
  <c r="D333" i="28"/>
  <c r="D332" i="28"/>
  <c r="D331" i="28"/>
  <c r="D330" i="28"/>
  <c r="S12" i="20" s="1"/>
  <c r="D432" i="28"/>
  <c r="S114" i="20" s="1"/>
  <c r="D539" i="28"/>
  <c r="Y113" i="20" s="1"/>
  <c r="D538" i="28"/>
  <c r="Y112" i="20" s="1"/>
  <c r="D537" i="28"/>
  <c r="Y111" i="20" s="1"/>
  <c r="D536" i="28"/>
  <c r="Y110" i="20" s="1"/>
  <c r="D535" i="28"/>
  <c r="Y109" i="20" s="1"/>
  <c r="D534" i="28"/>
  <c r="D533" i="28"/>
  <c r="Y107" i="20" s="1"/>
  <c r="D532" i="28"/>
  <c r="Y106" i="20" s="1"/>
  <c r="D531" i="28"/>
  <c r="Y105" i="20" s="1"/>
  <c r="D530" i="28"/>
  <c r="Y104" i="20" s="1"/>
  <c r="D529" i="28"/>
  <c r="D528" i="28"/>
  <c r="D527" i="28"/>
  <c r="D526" i="28"/>
  <c r="Y100" i="20" s="1"/>
  <c r="D525" i="28"/>
  <c r="D524" i="28"/>
  <c r="D523" i="28"/>
  <c r="D522" i="28"/>
  <c r="D521" i="28"/>
  <c r="Y95" i="20" s="1"/>
  <c r="D520" i="28"/>
  <c r="Y94" i="20" s="1"/>
  <c r="D519" i="28"/>
  <c r="Y93" i="20" s="1"/>
  <c r="D518" i="28"/>
  <c r="Y92" i="20" s="1"/>
  <c r="D517" i="28"/>
  <c r="Y91" i="20" s="1"/>
  <c r="D516" i="28"/>
  <c r="Y90" i="20" s="1"/>
  <c r="D515" i="28"/>
  <c r="Y89" i="20" s="1"/>
  <c r="D514" i="28"/>
  <c r="Y88" i="20" s="1"/>
  <c r="D513" i="28"/>
  <c r="Y87" i="20" s="1"/>
  <c r="D512" i="28"/>
  <c r="D511" i="28"/>
  <c r="Y85" i="20" s="1"/>
  <c r="D510" i="28"/>
  <c r="Y84" i="20" s="1"/>
  <c r="D509" i="28"/>
  <c r="D508" i="28"/>
  <c r="D507" i="28"/>
  <c r="Y81" i="20" s="1"/>
  <c r="D506" i="28"/>
  <c r="D505" i="28"/>
  <c r="D504" i="28"/>
  <c r="D503" i="28"/>
  <c r="D502" i="28"/>
  <c r="D501" i="28"/>
  <c r="Y75" i="20" s="1"/>
  <c r="D500" i="28"/>
  <c r="Y74" i="20" s="1"/>
  <c r="D499" i="28"/>
  <c r="D498" i="28"/>
  <c r="D497" i="28"/>
  <c r="D496" i="28"/>
  <c r="Y70" i="20" s="1"/>
  <c r="D495" i="28"/>
  <c r="Y69" i="20" s="1"/>
  <c r="D494" i="28"/>
  <c r="Y68" i="20" s="1"/>
  <c r="D493" i="28"/>
  <c r="Y67" i="20" s="1"/>
  <c r="D492" i="28"/>
  <c r="Y66" i="20" s="1"/>
  <c r="D491" i="28"/>
  <c r="Y65" i="20" s="1"/>
  <c r="D490" i="28"/>
  <c r="Y64" i="20" s="1"/>
  <c r="D489" i="28"/>
  <c r="D488" i="28"/>
  <c r="D487" i="28"/>
  <c r="D486" i="28"/>
  <c r="D485" i="28"/>
  <c r="D484" i="28"/>
  <c r="D483" i="28"/>
  <c r="D482" i="28"/>
  <c r="D481" i="28"/>
  <c r="Y55" i="20" s="1"/>
  <c r="D480" i="28"/>
  <c r="Y54" i="20" s="1"/>
  <c r="D479" i="28"/>
  <c r="Y53" i="20" s="1"/>
  <c r="D478" i="28"/>
  <c r="Y52" i="20" s="1"/>
  <c r="D477" i="28"/>
  <c r="Y51" i="20" s="1"/>
  <c r="D476" i="28"/>
  <c r="D475" i="28"/>
  <c r="Y49" i="20" s="1"/>
  <c r="D474" i="28"/>
  <c r="Y48" i="20" s="1"/>
  <c r="D473" i="28"/>
  <c r="Y47" i="20" s="1"/>
  <c r="D472" i="28"/>
  <c r="Y46" i="20" s="1"/>
  <c r="D471" i="28"/>
  <c r="Y45" i="20" s="1"/>
  <c r="D470" i="28"/>
  <c r="Y44" i="20" s="1"/>
  <c r="D469" i="28"/>
  <c r="Y43" i="20" s="1"/>
  <c r="D468" i="28"/>
  <c r="Y42" i="20" s="1"/>
  <c r="D467" i="28"/>
  <c r="D466" i="28"/>
  <c r="D465" i="28"/>
  <c r="D464" i="28"/>
  <c r="D463" i="28"/>
  <c r="D462" i="28"/>
  <c r="D461" i="28"/>
  <c r="Y35" i="20" s="1"/>
  <c r="D460" i="28"/>
  <c r="Y34" i="20" s="1"/>
  <c r="D459" i="28"/>
  <c r="Y33" i="20" s="1"/>
  <c r="D458" i="28"/>
  <c r="Y32" i="20" s="1"/>
  <c r="D457" i="28"/>
  <c r="Y31" i="20" s="1"/>
  <c r="D456" i="28"/>
  <c r="Y30" i="20" s="1"/>
  <c r="D455" i="28"/>
  <c r="Y29" i="20" s="1"/>
  <c r="D454" i="28"/>
  <c r="Y28" i="20" s="1"/>
  <c r="D453" i="28"/>
  <c r="Y27" i="20" s="1"/>
  <c r="D452" i="28"/>
  <c r="D451" i="28"/>
  <c r="Y25" i="20" s="1"/>
  <c r="D450" i="28"/>
  <c r="Y24" i="20" s="1"/>
  <c r="D449" i="28"/>
  <c r="D448" i="28"/>
  <c r="Y22" i="20" s="1"/>
  <c r="D447" i="28"/>
  <c r="Y21" i="20" s="1"/>
  <c r="D446" i="28"/>
  <c r="D445" i="28"/>
  <c r="D444" i="28"/>
  <c r="D443" i="28"/>
  <c r="D442" i="28"/>
  <c r="D441" i="28"/>
  <c r="Y15" i="20" s="1"/>
  <c r="D440" i="28"/>
  <c r="Y14" i="20" s="1"/>
  <c r="D439" i="28"/>
  <c r="D438" i="28"/>
  <c r="Y12" i="20" s="1"/>
  <c r="D540" i="28"/>
  <c r="Y114" i="20" s="1"/>
  <c r="D647" i="28"/>
  <c r="D646" i="28"/>
  <c r="AE112" i="20" s="1"/>
  <c r="D645" i="28"/>
  <c r="AE111" i="20" s="1"/>
  <c r="D644" i="28"/>
  <c r="AE110" i="20" s="1"/>
  <c r="D643" i="28"/>
  <c r="AE109" i="20" s="1"/>
  <c r="D642" i="28"/>
  <c r="D641" i="28"/>
  <c r="D640" i="28"/>
  <c r="D639" i="28"/>
  <c r="AE105" i="20" s="1"/>
  <c r="D638" i="28"/>
  <c r="AE104" i="20" s="1"/>
  <c r="D637" i="28"/>
  <c r="D636" i="28"/>
  <c r="AE102" i="20" s="1"/>
  <c r="D635" i="28"/>
  <c r="D634" i="28"/>
  <c r="D633" i="28"/>
  <c r="D632" i="28"/>
  <c r="AE98" i="20" s="1"/>
  <c r="D631" i="28"/>
  <c r="AE97" i="20" s="1"/>
  <c r="D630" i="28"/>
  <c r="AE96" i="20" s="1"/>
  <c r="D629" i="28"/>
  <c r="AE95" i="20" s="1"/>
  <c r="D628" i="28"/>
  <c r="AE94" i="20" s="1"/>
  <c r="D627" i="28"/>
  <c r="AE93" i="20" s="1"/>
  <c r="D626" i="28"/>
  <c r="AE92" i="20" s="1"/>
  <c r="D625" i="28"/>
  <c r="AE91" i="20" s="1"/>
  <c r="D624" i="28"/>
  <c r="AE90" i="20" s="1"/>
  <c r="D623" i="28"/>
  <c r="D622" i="28"/>
  <c r="D621" i="28"/>
  <c r="D620" i="28"/>
  <c r="D619" i="28"/>
  <c r="AE85" i="20" s="1"/>
  <c r="D618" i="28"/>
  <c r="AE84" i="20" s="1"/>
  <c r="D617" i="28"/>
  <c r="D616" i="28"/>
  <c r="AE82" i="20" s="1"/>
  <c r="D615" i="28"/>
  <c r="D614" i="28"/>
  <c r="D613" i="28"/>
  <c r="D612" i="28"/>
  <c r="D611" i="28"/>
  <c r="D610" i="28"/>
  <c r="D609" i="28"/>
  <c r="D608" i="28"/>
  <c r="AE74" i="20" s="1"/>
  <c r="D607" i="28"/>
  <c r="AE73" i="20" s="1"/>
  <c r="D606" i="28"/>
  <c r="AE72" i="20" s="1"/>
  <c r="D605" i="28"/>
  <c r="AE71" i="20" s="1"/>
  <c r="D604" i="28"/>
  <c r="AE70" i="20" s="1"/>
  <c r="D603" i="28"/>
  <c r="D602" i="28"/>
  <c r="D601" i="28"/>
  <c r="D600" i="28"/>
  <c r="D599" i="28"/>
  <c r="D598" i="28"/>
  <c r="D597" i="28"/>
  <c r="D596" i="28"/>
  <c r="AE62" i="20" s="1"/>
  <c r="D595" i="28"/>
  <c r="D594" i="28"/>
  <c r="D593" i="28"/>
  <c r="D592" i="28"/>
  <c r="AE58" i="20" s="1"/>
  <c r="D591" i="28"/>
  <c r="AE57" i="20" s="1"/>
  <c r="D590" i="28"/>
  <c r="AE56" i="20" s="1"/>
  <c r="D589" i="28"/>
  <c r="D588" i="28"/>
  <c r="D587" i="28"/>
  <c r="D586" i="28"/>
  <c r="AE52" i="20" s="1"/>
  <c r="D585" i="28"/>
  <c r="AE51" i="20" s="1"/>
  <c r="D584" i="28"/>
  <c r="AE50" i="20" s="1"/>
  <c r="D583" i="28"/>
  <c r="AE49" i="20" s="1"/>
  <c r="D582" i="28"/>
  <c r="D581" i="28"/>
  <c r="D580" i="28"/>
  <c r="D579" i="28"/>
  <c r="D578" i="28"/>
  <c r="D577" i="28"/>
  <c r="D576" i="28"/>
  <c r="AE42" i="20" s="1"/>
  <c r="D575" i="28"/>
  <c r="D574" i="28"/>
  <c r="D573" i="28"/>
  <c r="D572" i="28"/>
  <c r="AE38" i="20" s="1"/>
  <c r="D571" i="28"/>
  <c r="AE37" i="20" s="1"/>
  <c r="D570" i="28"/>
  <c r="AE36" i="20" s="1"/>
  <c r="D569" i="28"/>
  <c r="AE35" i="20" s="1"/>
  <c r="D568" i="28"/>
  <c r="AE34" i="20" s="1"/>
  <c r="D567" i="28"/>
  <c r="AE33" i="20" s="1"/>
  <c r="D566" i="28"/>
  <c r="AE32" i="20" s="1"/>
  <c r="D565" i="28"/>
  <c r="AE31" i="20" s="1"/>
  <c r="D564" i="28"/>
  <c r="AE30" i="20" s="1"/>
  <c r="D563" i="28"/>
  <c r="AE29" i="20" s="1"/>
  <c r="D562" i="28"/>
  <c r="AE28" i="20" s="1"/>
  <c r="D561" i="28"/>
  <c r="AE27" i="20" s="1"/>
  <c r="D560" i="28"/>
  <c r="AE26" i="20" s="1"/>
  <c r="D559" i="28"/>
  <c r="AE25" i="20" s="1"/>
  <c r="D558" i="28"/>
  <c r="AE24" i="20" s="1"/>
  <c r="D557" i="28"/>
  <c r="D556" i="28"/>
  <c r="AE22" i="20" s="1"/>
  <c r="D555" i="28"/>
  <c r="D554" i="28"/>
  <c r="D553" i="28"/>
  <c r="D552" i="28"/>
  <c r="AE18" i="20" s="1"/>
  <c r="D551" i="28"/>
  <c r="AE17" i="20" s="1"/>
  <c r="D550" i="28"/>
  <c r="AE16" i="20" s="1"/>
  <c r="D549" i="28"/>
  <c r="AE15" i="20" s="1"/>
  <c r="D548" i="28"/>
  <c r="AE14" i="20" s="1"/>
  <c r="D547" i="28"/>
  <c r="AE13" i="20" s="1"/>
  <c r="D546" i="28"/>
  <c r="AE12" i="20" s="1"/>
  <c r="D648" i="28"/>
  <c r="AE114" i="20" s="1"/>
  <c r="D323" i="28"/>
  <c r="M113" i="20" s="1"/>
  <c r="D322" i="28"/>
  <c r="D321" i="28"/>
  <c r="D320" i="28"/>
  <c r="M110" i="20" s="1"/>
  <c r="D319" i="28"/>
  <c r="M109" i="20" s="1"/>
  <c r="D318" i="28"/>
  <c r="M108" i="20" s="1"/>
  <c r="D317" i="28"/>
  <c r="M107" i="20" s="1"/>
  <c r="D316" i="28"/>
  <c r="D315" i="28"/>
  <c r="D314" i="28"/>
  <c r="D313" i="28"/>
  <c r="D312" i="28"/>
  <c r="D311" i="28"/>
  <c r="D310" i="28"/>
  <c r="D309" i="28"/>
  <c r="D308" i="28"/>
  <c r="M98" i="20" s="1"/>
  <c r="D307" i="28"/>
  <c r="M97" i="20" s="1"/>
  <c r="D306" i="28"/>
  <c r="M96" i="20" s="1"/>
  <c r="D305" i="28"/>
  <c r="M95" i="20" s="1"/>
  <c r="D304" i="28"/>
  <c r="M94" i="20" s="1"/>
  <c r="D303" i="28"/>
  <c r="M93" i="20" s="1"/>
  <c r="D302" i="28"/>
  <c r="D301" i="28"/>
  <c r="D300" i="28"/>
  <c r="M90" i="20" s="1"/>
  <c r="D299" i="28"/>
  <c r="M89" i="20" s="1"/>
  <c r="D298" i="28"/>
  <c r="M88" i="20" s="1"/>
  <c r="D297" i="28"/>
  <c r="M87" i="20" s="1"/>
  <c r="D296" i="28"/>
  <c r="D295" i="28"/>
  <c r="D294" i="28"/>
  <c r="D293" i="28"/>
  <c r="D292" i="28"/>
  <c r="D291" i="28"/>
  <c r="M81" i="20" s="1"/>
  <c r="D290" i="28"/>
  <c r="M80" i="20" s="1"/>
  <c r="D289" i="28"/>
  <c r="M79" i="20" s="1"/>
  <c r="D288" i="28"/>
  <c r="M78" i="20" s="1"/>
  <c r="D287" i="28"/>
  <c r="M77" i="20" s="1"/>
  <c r="D286" i="28"/>
  <c r="M76" i="20" s="1"/>
  <c r="D285" i="28"/>
  <c r="M75" i="20" s="1"/>
  <c r="D284" i="28"/>
  <c r="M74" i="20" s="1"/>
  <c r="D283" i="28"/>
  <c r="M73" i="20" s="1"/>
  <c r="D282" i="28"/>
  <c r="M72" i="20" s="1"/>
  <c r="D281" i="28"/>
  <c r="M71" i="20" s="1"/>
  <c r="D280" i="28"/>
  <c r="M70" i="20" s="1"/>
  <c r="D279" i="28"/>
  <c r="M69" i="20" s="1"/>
  <c r="D278" i="28"/>
  <c r="M68" i="20" s="1"/>
  <c r="D277" i="28"/>
  <c r="M67" i="20" s="1"/>
  <c r="D276" i="28"/>
  <c r="D275" i="28"/>
  <c r="D274" i="28"/>
  <c r="D273" i="28"/>
  <c r="D272" i="28"/>
  <c r="D271" i="28"/>
  <c r="D270" i="28"/>
  <c r="D269" i="28"/>
  <c r="D268" i="28"/>
  <c r="D267" i="28"/>
  <c r="D266" i="28"/>
  <c r="M56" i="20" s="1"/>
  <c r="D265" i="28"/>
  <c r="M55" i="20" s="1"/>
  <c r="D264" i="28"/>
  <c r="M54" i="20" s="1"/>
  <c r="D263" i="28"/>
  <c r="M53" i="20" s="1"/>
  <c r="D262" i="28"/>
  <c r="D261" i="28"/>
  <c r="D260" i="28"/>
  <c r="M50" i="20" s="1"/>
  <c r="D259" i="28"/>
  <c r="M49" i="20" s="1"/>
  <c r="D258" i="28"/>
  <c r="M48" i="20" s="1"/>
  <c r="D257" i="28"/>
  <c r="M47" i="20" s="1"/>
  <c r="D256" i="28"/>
  <c r="M46" i="20" s="1"/>
  <c r="D255" i="28"/>
  <c r="D254" i="28"/>
  <c r="D253" i="28"/>
  <c r="D252" i="28"/>
  <c r="D251" i="28"/>
  <c r="M41" i="20" s="1"/>
  <c r="D250" i="28"/>
  <c r="M40" i="20" s="1"/>
  <c r="D249" i="28"/>
  <c r="M39" i="20" s="1"/>
  <c r="D248" i="28"/>
  <c r="D247" i="28"/>
  <c r="D246" i="28"/>
  <c r="D245" i="28"/>
  <c r="M35" i="20" s="1"/>
  <c r="D244" i="28"/>
  <c r="M34" i="20" s="1"/>
  <c r="D243" i="28"/>
  <c r="M33" i="20" s="1"/>
  <c r="D242" i="28"/>
  <c r="D241" i="28"/>
  <c r="D240" i="28"/>
  <c r="M30" i="20" s="1"/>
  <c r="D239" i="28"/>
  <c r="M29" i="20" s="1"/>
  <c r="D238" i="28"/>
  <c r="M28" i="20" s="1"/>
  <c r="D237" i="28"/>
  <c r="M27" i="20" s="1"/>
  <c r="D236" i="28"/>
  <c r="D235" i="28"/>
  <c r="D234" i="28"/>
  <c r="D233" i="28"/>
  <c r="D232" i="28"/>
  <c r="D231" i="28"/>
  <c r="M21" i="20" s="1"/>
  <c r="D230" i="28"/>
  <c r="M20" i="20" s="1"/>
  <c r="D229" i="28"/>
  <c r="M19" i="20" s="1"/>
  <c r="D228" i="28"/>
  <c r="M18" i="20" s="1"/>
  <c r="D227" i="28"/>
  <c r="M17" i="20" s="1"/>
  <c r="D226" i="28"/>
  <c r="M16" i="20" s="1"/>
  <c r="D225" i="28"/>
  <c r="M15" i="20" s="1"/>
  <c r="D224" i="28"/>
  <c r="M14" i="20" s="1"/>
  <c r="D223" i="28"/>
  <c r="M13" i="20" s="1"/>
  <c r="D222" i="28"/>
  <c r="D324" i="28"/>
  <c r="D215" i="28"/>
  <c r="G113" i="20" s="1"/>
  <c r="D214" i="28"/>
  <c r="G112" i="20" s="1"/>
  <c r="D213" i="28"/>
  <c r="D212" i="28"/>
  <c r="G110" i="20" s="1"/>
  <c r="D211" i="28"/>
  <c r="D210" i="28"/>
  <c r="D209" i="28"/>
  <c r="D208" i="28"/>
  <c r="D207" i="28"/>
  <c r="D206" i="28"/>
  <c r="G104" i="20" s="1"/>
  <c r="D205" i="28"/>
  <c r="G103" i="20" s="1"/>
  <c r="D204" i="28"/>
  <c r="G102" i="20" s="1"/>
  <c r="D203" i="28"/>
  <c r="G101" i="20" s="1"/>
  <c r="D202" i="28"/>
  <c r="G100" i="20" s="1"/>
  <c r="D201" i="28"/>
  <c r="G99" i="20" s="1"/>
  <c r="D200" i="28"/>
  <c r="G98" i="20" s="1"/>
  <c r="D199" i="28"/>
  <c r="G97" i="20" s="1"/>
  <c r="D198" i="28"/>
  <c r="G96" i="20" s="1"/>
  <c r="D197" i="28"/>
  <c r="G95" i="20" s="1"/>
  <c r="D196" i="28"/>
  <c r="D195" i="28"/>
  <c r="G93" i="20" s="1"/>
  <c r="D194" i="28"/>
  <c r="G92" i="20" s="1"/>
  <c r="D193" i="28"/>
  <c r="D192" i="28"/>
  <c r="G90" i="20" s="1"/>
  <c r="D191" i="28"/>
  <c r="G89" i="20" s="1"/>
  <c r="D190" i="28"/>
  <c r="G88" i="20" s="1"/>
  <c r="D189" i="28"/>
  <c r="D188" i="28"/>
  <c r="D187" i="28"/>
  <c r="D186" i="28"/>
  <c r="G84" i="20" s="1"/>
  <c r="D185" i="28"/>
  <c r="G83" i="20" s="1"/>
  <c r="D184" i="28"/>
  <c r="G82" i="20" s="1"/>
  <c r="D183" i="28"/>
  <c r="D182" i="28"/>
  <c r="D181" i="28"/>
  <c r="G79" i="20" s="1"/>
  <c r="D180" i="28"/>
  <c r="G78" i="20" s="1"/>
  <c r="D179" i="28"/>
  <c r="D178" i="28"/>
  <c r="G76" i="20" s="1"/>
  <c r="D177" i="28"/>
  <c r="G75" i="20" s="1"/>
  <c r="D176" i="28"/>
  <c r="G74" i="20" s="1"/>
  <c r="D175" i="28"/>
  <c r="G73" i="20" s="1"/>
  <c r="D174" i="28"/>
  <c r="G72" i="20" s="1"/>
  <c r="D173" i="28"/>
  <c r="G71" i="20" s="1"/>
  <c r="D172" i="28"/>
  <c r="G70" i="20" s="1"/>
  <c r="D171" i="28"/>
  <c r="D170" i="28"/>
  <c r="D169" i="28"/>
  <c r="D168" i="28"/>
  <c r="D167" i="28"/>
  <c r="D166" i="28"/>
  <c r="G64" i="20" s="1"/>
  <c r="D165" i="28"/>
  <c r="G63" i="20" s="1"/>
  <c r="D164" i="28"/>
  <c r="G62" i="20" s="1"/>
  <c r="D163" i="28"/>
  <c r="G61" i="20" s="1"/>
  <c r="D162" i="28"/>
  <c r="G60" i="20" s="1"/>
  <c r="D161" i="28"/>
  <c r="G59" i="20" s="1"/>
  <c r="D160" i="28"/>
  <c r="G58" i="20" s="1"/>
  <c r="D159" i="28"/>
  <c r="G57" i="20" s="1"/>
  <c r="D158" i="28"/>
  <c r="G56" i="20" s="1"/>
  <c r="D157" i="28"/>
  <c r="G55" i="20" s="1"/>
  <c r="D156" i="28"/>
  <c r="D155" i="28"/>
  <c r="G53" i="20" s="1"/>
  <c r="D154" i="28"/>
  <c r="G52" i="20" s="1"/>
  <c r="D153" i="28"/>
  <c r="D152" i="28"/>
  <c r="G50" i="20" s="1"/>
  <c r="D151" i="28"/>
  <c r="D150" i="28"/>
  <c r="D149" i="28"/>
  <c r="D148" i="28"/>
  <c r="D147" i="28"/>
  <c r="D146" i="28"/>
  <c r="G44" i="20" s="1"/>
  <c r="D145" i="28"/>
  <c r="G43" i="20" s="1"/>
  <c r="D144" i="28"/>
  <c r="G42" i="20" s="1"/>
  <c r="D143" i="28"/>
  <c r="G41" i="20" s="1"/>
  <c r="D142" i="28"/>
  <c r="G40" i="20" s="1"/>
  <c r="D141" i="28"/>
  <c r="G39" i="20" s="1"/>
  <c r="D140" i="28"/>
  <c r="G38" i="20" s="1"/>
  <c r="D139" i="28"/>
  <c r="G37" i="20" s="1"/>
  <c r="D138" i="28"/>
  <c r="G36" i="20" s="1"/>
  <c r="D137" i="28"/>
  <c r="G35" i="20" s="1"/>
  <c r="D136" i="28"/>
  <c r="G34" i="20" s="1"/>
  <c r="D135" i="28"/>
  <c r="G33" i="20" s="1"/>
  <c r="D134" i="28"/>
  <c r="G32" i="20" s="1"/>
  <c r="D133" i="28"/>
  <c r="D132" i="28"/>
  <c r="G30" i="20" s="1"/>
  <c r="D131" i="28"/>
  <c r="D130" i="28"/>
  <c r="D129" i="28"/>
  <c r="D128" i="28"/>
  <c r="D127" i="28"/>
  <c r="D126" i="28"/>
  <c r="D125" i="28"/>
  <c r="D124" i="28"/>
  <c r="D123" i="28"/>
  <c r="G21" i="20" s="1"/>
  <c r="D122" i="28"/>
  <c r="G20" i="20" s="1"/>
  <c r="D121" i="28"/>
  <c r="G19" i="20" s="1"/>
  <c r="D120" i="28"/>
  <c r="G18" i="20" s="1"/>
  <c r="D119" i="28"/>
  <c r="G17" i="20" s="1"/>
  <c r="D118" i="28"/>
  <c r="G16" i="20" s="1"/>
  <c r="D117" i="28"/>
  <c r="D116" i="28"/>
  <c r="D115" i="28"/>
  <c r="G13" i="20" s="1"/>
  <c r="D114" i="28"/>
  <c r="G12" i="20" s="1"/>
  <c r="D216" i="28"/>
  <c r="G114" i="20" s="1"/>
  <c r="D102" i="20"/>
  <c r="D101" i="20"/>
  <c r="D93" i="20"/>
  <c r="D92" i="20"/>
  <c r="D91" i="20"/>
  <c r="D90" i="20"/>
  <c r="D83" i="20"/>
  <c r="D82" i="20"/>
  <c r="D81" i="20"/>
  <c r="D73" i="20"/>
  <c r="D63" i="20"/>
  <c r="D62" i="20"/>
  <c r="D61" i="20"/>
  <c r="D42" i="20"/>
  <c r="D41" i="20"/>
  <c r="D29" i="20"/>
  <c r="D23" i="20"/>
  <c r="D22" i="20"/>
  <c r="D21" i="20"/>
  <c r="D14" i="20"/>
  <c r="C113" i="20"/>
  <c r="C112" i="20"/>
  <c r="C98" i="20"/>
  <c r="C93" i="20"/>
  <c r="C92" i="20"/>
  <c r="C74" i="20"/>
  <c r="C73" i="20"/>
  <c r="C72" i="20"/>
  <c r="C71" i="20"/>
  <c r="C70" i="20"/>
  <c r="C69" i="20"/>
  <c r="C65" i="20"/>
  <c r="C57" i="20"/>
  <c r="C50" i="20"/>
  <c r="C49" i="20"/>
  <c r="C48" i="20"/>
  <c r="C38" i="20"/>
  <c r="C37" i="20"/>
  <c r="C36" i="20"/>
  <c r="C33" i="20"/>
  <c r="C32" i="20"/>
  <c r="C31" i="20"/>
  <c r="C14" i="20"/>
  <c r="C13" i="20"/>
  <c r="C12" i="20"/>
  <c r="B83" i="20"/>
  <c r="B80" i="20"/>
  <c r="B79" i="20"/>
  <c r="B63" i="20"/>
  <c r="B62" i="20"/>
  <c r="B61" i="20"/>
  <c r="B60" i="20"/>
  <c r="B59" i="20"/>
  <c r="B58" i="20"/>
  <c r="B57" i="20"/>
  <c r="B56" i="20"/>
  <c r="B39" i="20"/>
  <c r="B38" i="20"/>
  <c r="B32" i="20"/>
  <c r="B31" i="20"/>
  <c r="B30" i="20"/>
  <c r="B29" i="20"/>
  <c r="G115" i="18"/>
  <c r="F115" i="18"/>
  <c r="C115" i="20" s="1"/>
  <c r="G114" i="18"/>
  <c r="D114" i="20" s="1"/>
  <c r="F114" i="18"/>
  <c r="C114" i="20" s="1"/>
  <c r="G113" i="18"/>
  <c r="D113" i="20" s="1"/>
  <c r="F113" i="18"/>
  <c r="F112" i="18"/>
  <c r="F111" i="18"/>
  <c r="C111" i="20" s="1"/>
  <c r="G110" i="18"/>
  <c r="D110" i="20" s="1"/>
  <c r="F110" i="18"/>
  <c r="C110" i="20" s="1"/>
  <c r="G109" i="18"/>
  <c r="D109" i="20" s="1"/>
  <c r="F109" i="18"/>
  <c r="C109" i="20" s="1"/>
  <c r="G108" i="18"/>
  <c r="D108" i="20" s="1"/>
  <c r="F108" i="18"/>
  <c r="C108" i="20" s="1"/>
  <c r="G107" i="18"/>
  <c r="D107" i="20" s="1"/>
  <c r="F107" i="18"/>
  <c r="C107" i="20" s="1"/>
  <c r="G106" i="18"/>
  <c r="D106" i="20" s="1"/>
  <c r="F106" i="18"/>
  <c r="C106" i="20" s="1"/>
  <c r="G105" i="18"/>
  <c r="D105" i="20" s="1"/>
  <c r="F105" i="18"/>
  <c r="C105" i="20" s="1"/>
  <c r="F104" i="18"/>
  <c r="C104" i="20" s="1"/>
  <c r="F103" i="18"/>
  <c r="C103" i="20" s="1"/>
  <c r="F102" i="18"/>
  <c r="C102" i="20" s="1"/>
  <c r="F101" i="18"/>
  <c r="C101" i="20" s="1"/>
  <c r="G100" i="18"/>
  <c r="D100" i="20" s="1"/>
  <c r="F100" i="18"/>
  <c r="C100" i="20" s="1"/>
  <c r="G99" i="18"/>
  <c r="D99" i="20" s="1"/>
  <c r="F99" i="18"/>
  <c r="C99" i="20" s="1"/>
  <c r="G98" i="18"/>
  <c r="D98" i="20" s="1"/>
  <c r="F98" i="18"/>
  <c r="F97" i="18"/>
  <c r="C97" i="20" s="1"/>
  <c r="F96" i="18"/>
  <c r="C96" i="20" s="1"/>
  <c r="G95" i="18"/>
  <c r="D95" i="20" s="1"/>
  <c r="F95" i="18"/>
  <c r="C95" i="20" s="1"/>
  <c r="G94" i="18"/>
  <c r="D94" i="20" s="1"/>
  <c r="F94" i="18"/>
  <c r="C94" i="20" s="1"/>
  <c r="G93" i="18"/>
  <c r="F93" i="18"/>
  <c r="F92" i="18"/>
  <c r="F91" i="18"/>
  <c r="C91" i="20" s="1"/>
  <c r="G90" i="18"/>
  <c r="F90" i="18"/>
  <c r="C90" i="20" s="1"/>
  <c r="G89" i="18"/>
  <c r="D89" i="20" s="1"/>
  <c r="F89" i="18"/>
  <c r="C89" i="20" s="1"/>
  <c r="G88" i="18"/>
  <c r="D88" i="20" s="1"/>
  <c r="F88" i="18"/>
  <c r="C88" i="20" s="1"/>
  <c r="G87" i="18"/>
  <c r="D87" i="20" s="1"/>
  <c r="F87" i="18"/>
  <c r="C87" i="20" s="1"/>
  <c r="G86" i="18"/>
  <c r="D86" i="20" s="1"/>
  <c r="F86" i="18"/>
  <c r="C86" i="20" s="1"/>
  <c r="G85" i="18"/>
  <c r="D85" i="20" s="1"/>
  <c r="F85" i="18"/>
  <c r="C85" i="20" s="1"/>
  <c r="F84" i="18"/>
  <c r="C84" i="20" s="1"/>
  <c r="F83" i="18"/>
  <c r="C83" i="20" s="1"/>
  <c r="F82" i="18"/>
  <c r="C82" i="20" s="1"/>
  <c r="F81" i="18"/>
  <c r="C81" i="20" s="1"/>
  <c r="G80" i="18"/>
  <c r="D80" i="20" s="1"/>
  <c r="F80" i="18"/>
  <c r="C80" i="20" s="1"/>
  <c r="G79" i="18"/>
  <c r="D79" i="20" s="1"/>
  <c r="F79" i="18"/>
  <c r="C79" i="20" s="1"/>
  <c r="G78" i="18"/>
  <c r="D78" i="20" s="1"/>
  <c r="F78" i="18"/>
  <c r="C78" i="20" s="1"/>
  <c r="F77" i="18"/>
  <c r="C77" i="20" s="1"/>
  <c r="G76" i="18"/>
  <c r="D76" i="20" s="1"/>
  <c r="F76" i="18"/>
  <c r="C76" i="20" s="1"/>
  <c r="F75" i="18"/>
  <c r="C75" i="20" s="1"/>
  <c r="F74" i="18"/>
  <c r="G73" i="18"/>
  <c r="F73" i="18"/>
  <c r="F72" i="18"/>
  <c r="F71" i="18"/>
  <c r="F70" i="18"/>
  <c r="F69" i="18"/>
  <c r="G68" i="18"/>
  <c r="D68" i="20" s="1"/>
  <c r="F68" i="18"/>
  <c r="C68" i="20" s="1"/>
  <c r="G67" i="18"/>
  <c r="D67" i="20" s="1"/>
  <c r="F67" i="18"/>
  <c r="C67" i="20" s="1"/>
  <c r="G66" i="18"/>
  <c r="D66" i="20" s="1"/>
  <c r="F66" i="18"/>
  <c r="C66" i="20" s="1"/>
  <c r="G65" i="18"/>
  <c r="D65" i="20" s="1"/>
  <c r="F65" i="18"/>
  <c r="F64" i="18"/>
  <c r="C64" i="20" s="1"/>
  <c r="F63" i="18"/>
  <c r="C63" i="20" s="1"/>
  <c r="F62" i="18"/>
  <c r="C62" i="20" s="1"/>
  <c r="F61" i="18"/>
  <c r="C61" i="20" s="1"/>
  <c r="G60" i="18"/>
  <c r="D60" i="20" s="1"/>
  <c r="F60" i="18"/>
  <c r="C60" i="20" s="1"/>
  <c r="G59" i="18"/>
  <c r="D59" i="20" s="1"/>
  <c r="F59" i="18"/>
  <c r="C59" i="20" s="1"/>
  <c r="G58" i="18"/>
  <c r="D58" i="20" s="1"/>
  <c r="F58" i="18"/>
  <c r="C58" i="20" s="1"/>
  <c r="F57" i="18"/>
  <c r="G56" i="18"/>
  <c r="D56" i="20" s="1"/>
  <c r="F56" i="18"/>
  <c r="C56" i="20" s="1"/>
  <c r="G55" i="18"/>
  <c r="D55" i="20" s="1"/>
  <c r="F55" i="18"/>
  <c r="C55" i="20" s="1"/>
  <c r="G54" i="18"/>
  <c r="D54" i="20" s="1"/>
  <c r="F54" i="18"/>
  <c r="C54" i="20" s="1"/>
  <c r="F53" i="18"/>
  <c r="C53" i="20" s="1"/>
  <c r="F52" i="18"/>
  <c r="C52" i="20" s="1"/>
  <c r="F51" i="18"/>
  <c r="C51" i="20" s="1"/>
  <c r="G50" i="18"/>
  <c r="D50" i="20" s="1"/>
  <c r="F50" i="18"/>
  <c r="G49" i="18"/>
  <c r="D49" i="20" s="1"/>
  <c r="F49" i="18"/>
  <c r="G48" i="18"/>
  <c r="D48" i="20" s="1"/>
  <c r="F48" i="18"/>
  <c r="G47" i="18"/>
  <c r="D47" i="20" s="1"/>
  <c r="F47" i="18"/>
  <c r="C47" i="20" s="1"/>
  <c r="G46" i="18"/>
  <c r="D46" i="20" s="1"/>
  <c r="F46" i="18"/>
  <c r="C46" i="20" s="1"/>
  <c r="G45" i="18"/>
  <c r="D45" i="20" s="1"/>
  <c r="F45" i="18"/>
  <c r="C45" i="20" s="1"/>
  <c r="F44" i="18"/>
  <c r="C44" i="20" s="1"/>
  <c r="G43" i="18"/>
  <c r="D43" i="20" s="1"/>
  <c r="F43" i="18"/>
  <c r="C43" i="20" s="1"/>
  <c r="F42" i="18"/>
  <c r="C42" i="20" s="1"/>
  <c r="F41" i="18"/>
  <c r="C41" i="20" s="1"/>
  <c r="G40" i="18"/>
  <c r="D40" i="20" s="1"/>
  <c r="F40" i="18"/>
  <c r="C40" i="20" s="1"/>
  <c r="G39" i="18"/>
  <c r="D39" i="20" s="1"/>
  <c r="F39" i="18"/>
  <c r="C39" i="20" s="1"/>
  <c r="G38" i="18"/>
  <c r="D38" i="20" s="1"/>
  <c r="F38" i="18"/>
  <c r="F37" i="18"/>
  <c r="F36" i="18"/>
  <c r="G35" i="18"/>
  <c r="D35" i="20" s="1"/>
  <c r="F35" i="18"/>
  <c r="C35" i="20" s="1"/>
  <c r="G34" i="18"/>
  <c r="D34" i="20" s="1"/>
  <c r="F34" i="18"/>
  <c r="C34" i="20" s="1"/>
  <c r="G33" i="18"/>
  <c r="D33" i="20" s="1"/>
  <c r="F33" i="18"/>
  <c r="F32" i="18"/>
  <c r="F31" i="18"/>
  <c r="F30" i="18"/>
  <c r="C30" i="20" s="1"/>
  <c r="F29" i="18"/>
  <c r="C29" i="20" s="1"/>
  <c r="G28" i="18"/>
  <c r="D28" i="20" s="1"/>
  <c r="F28" i="18"/>
  <c r="C28" i="20" s="1"/>
  <c r="G27" i="18"/>
  <c r="D27" i="20" s="1"/>
  <c r="F27" i="18"/>
  <c r="C27" i="20" s="1"/>
  <c r="G26" i="18"/>
  <c r="D26" i="20" s="1"/>
  <c r="F26" i="18"/>
  <c r="C26" i="20" s="1"/>
  <c r="G25" i="18"/>
  <c r="D25" i="20" s="1"/>
  <c r="F25" i="18"/>
  <c r="C25" i="20" s="1"/>
  <c r="F24" i="18"/>
  <c r="C24" i="20" s="1"/>
  <c r="F23" i="18"/>
  <c r="C23" i="20" s="1"/>
  <c r="F22" i="18"/>
  <c r="C22" i="20" s="1"/>
  <c r="F21" i="18"/>
  <c r="C21" i="20" s="1"/>
  <c r="G20" i="18"/>
  <c r="D20" i="20" s="1"/>
  <c r="F20" i="18"/>
  <c r="C20" i="20" s="1"/>
  <c r="F19" i="18"/>
  <c r="C19" i="20" s="1"/>
  <c r="F18" i="18"/>
  <c r="C18" i="20" s="1"/>
  <c r="G17" i="18"/>
  <c r="D17" i="20" s="1"/>
  <c r="F17" i="18"/>
  <c r="C17" i="20" s="1"/>
  <c r="G16" i="18"/>
  <c r="D16" i="20" s="1"/>
  <c r="F16" i="18"/>
  <c r="C16" i="20" s="1"/>
  <c r="G15" i="18"/>
  <c r="D15" i="20" s="1"/>
  <c r="F15" i="18"/>
  <c r="C15" i="20" s="1"/>
  <c r="G14" i="18"/>
  <c r="F14" i="18"/>
  <c r="F13" i="18"/>
  <c r="F12" i="18"/>
  <c r="D115" i="18"/>
  <c r="D114" i="18"/>
  <c r="D111" i="18"/>
  <c r="D110" i="18"/>
  <c r="D109" i="18"/>
  <c r="D108" i="18"/>
  <c r="D106" i="18"/>
  <c r="D105" i="18"/>
  <c r="D104" i="18"/>
  <c r="D103" i="18"/>
  <c r="D102" i="18"/>
  <c r="D101" i="18"/>
  <c r="D100" i="18"/>
  <c r="D99" i="18"/>
  <c r="D91" i="18"/>
  <c r="D90" i="18"/>
  <c r="D89" i="18"/>
  <c r="D88" i="18"/>
  <c r="D85" i="18"/>
  <c r="D84" i="18"/>
  <c r="D83" i="18"/>
  <c r="D82" i="18"/>
  <c r="D81" i="18"/>
  <c r="D79" i="18"/>
  <c r="D74" i="18"/>
  <c r="D73" i="18"/>
  <c r="D72" i="18"/>
  <c r="D71" i="18"/>
  <c r="D70" i="18"/>
  <c r="D69" i="18"/>
  <c r="D68" i="18"/>
  <c r="D65" i="18"/>
  <c r="D64" i="18"/>
  <c r="D51" i="18"/>
  <c r="D50" i="18"/>
  <c r="D49" i="18"/>
  <c r="D48" i="18"/>
  <c r="D47" i="18"/>
  <c r="D46" i="18"/>
  <c r="D45" i="18"/>
  <c r="D44" i="18"/>
  <c r="D43" i="18"/>
  <c r="D42" i="18"/>
  <c r="D41" i="18"/>
  <c r="D40" i="18"/>
  <c r="D31" i="18"/>
  <c r="D30" i="18"/>
  <c r="D29" i="18"/>
  <c r="D28" i="18"/>
  <c r="D25" i="18"/>
  <c r="D24" i="18"/>
  <c r="D23" i="18"/>
  <c r="D22" i="18"/>
  <c r="D21" i="18"/>
  <c r="D19" i="18"/>
  <c r="D14" i="18"/>
  <c r="D13"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C16" i="18"/>
  <c r="C15" i="18"/>
  <c r="C14" i="18"/>
  <c r="C13" i="18"/>
  <c r="C12" i="18"/>
  <c r="B115" i="18"/>
  <c r="B115" i="20" s="1"/>
  <c r="B114" i="18"/>
  <c r="B114" i="20" s="1"/>
  <c r="B113" i="18"/>
  <c r="B113" i="20" s="1"/>
  <c r="B112" i="18"/>
  <c r="B112" i="20" s="1"/>
  <c r="B111" i="18"/>
  <c r="B111" i="20" s="1"/>
  <c r="B110" i="18"/>
  <c r="B110" i="20" s="1"/>
  <c r="B109" i="18"/>
  <c r="B109" i="20" s="1"/>
  <c r="B108" i="18"/>
  <c r="B108" i="20" s="1"/>
  <c r="B107" i="18"/>
  <c r="B107" i="20" s="1"/>
  <c r="B106" i="18"/>
  <c r="B106" i="20" s="1"/>
  <c r="B105" i="18"/>
  <c r="B105" i="20" s="1"/>
  <c r="B104" i="18"/>
  <c r="B104" i="20" s="1"/>
  <c r="B103" i="18"/>
  <c r="B103" i="20" s="1"/>
  <c r="B102" i="18"/>
  <c r="B102" i="20" s="1"/>
  <c r="B101" i="18"/>
  <c r="B101" i="20" s="1"/>
  <c r="B100" i="18"/>
  <c r="B100" i="20" s="1"/>
  <c r="B99" i="18"/>
  <c r="B99" i="20" s="1"/>
  <c r="B98" i="18"/>
  <c r="B98" i="20" s="1"/>
  <c r="B97" i="18"/>
  <c r="B97" i="20" s="1"/>
  <c r="B96" i="18"/>
  <c r="B96" i="20" s="1"/>
  <c r="B95" i="18"/>
  <c r="B95" i="20" s="1"/>
  <c r="B94" i="18"/>
  <c r="B94" i="20" s="1"/>
  <c r="B93" i="18"/>
  <c r="B93" i="20" s="1"/>
  <c r="B92" i="18"/>
  <c r="B92" i="20" s="1"/>
  <c r="B91" i="18"/>
  <c r="B91" i="20" s="1"/>
  <c r="B90" i="18"/>
  <c r="B90" i="20" s="1"/>
  <c r="B89" i="18"/>
  <c r="B89" i="20" s="1"/>
  <c r="B88" i="18"/>
  <c r="B88" i="20" s="1"/>
  <c r="B87" i="18"/>
  <c r="B87" i="20" s="1"/>
  <c r="B86" i="18"/>
  <c r="B86" i="20" s="1"/>
  <c r="B85" i="18"/>
  <c r="B85" i="20" s="1"/>
  <c r="B84" i="18"/>
  <c r="B84" i="20" s="1"/>
  <c r="B83" i="18"/>
  <c r="B82" i="18"/>
  <c r="B82" i="20" s="1"/>
  <c r="B81" i="18"/>
  <c r="B81" i="20" s="1"/>
  <c r="B80" i="18"/>
  <c r="B79" i="18"/>
  <c r="B78" i="18"/>
  <c r="B78" i="20" s="1"/>
  <c r="B77" i="18"/>
  <c r="B77" i="20" s="1"/>
  <c r="B76" i="18"/>
  <c r="B76" i="20" s="1"/>
  <c r="B75" i="18"/>
  <c r="B75" i="20" s="1"/>
  <c r="B74" i="18"/>
  <c r="B74" i="20" s="1"/>
  <c r="B73" i="18"/>
  <c r="B73" i="20" s="1"/>
  <c r="B72" i="18"/>
  <c r="B72" i="20" s="1"/>
  <c r="B71" i="18"/>
  <c r="B71" i="20" s="1"/>
  <c r="B70" i="18"/>
  <c r="B70" i="20" s="1"/>
  <c r="B69" i="18"/>
  <c r="B69" i="20" s="1"/>
  <c r="B68" i="18"/>
  <c r="B68" i="20" s="1"/>
  <c r="B67" i="18"/>
  <c r="B67" i="20" s="1"/>
  <c r="B66" i="18"/>
  <c r="B66" i="20" s="1"/>
  <c r="B65" i="18"/>
  <c r="B65" i="20" s="1"/>
  <c r="B64" i="18"/>
  <c r="B64" i="20" s="1"/>
  <c r="B63" i="18"/>
  <c r="B62" i="18"/>
  <c r="B61" i="18"/>
  <c r="B60" i="18"/>
  <c r="B59" i="18"/>
  <c r="B58" i="18"/>
  <c r="B57" i="18"/>
  <c r="B56" i="18"/>
  <c r="B55" i="18"/>
  <c r="B55" i="20" s="1"/>
  <c r="B54" i="18"/>
  <c r="B54" i="20" s="1"/>
  <c r="B53" i="18"/>
  <c r="B53" i="20" s="1"/>
  <c r="B52" i="18"/>
  <c r="B52" i="20" s="1"/>
  <c r="B51" i="18"/>
  <c r="B51" i="20" s="1"/>
  <c r="B50" i="18"/>
  <c r="B50" i="20" s="1"/>
  <c r="B49" i="18"/>
  <c r="B49" i="20" s="1"/>
  <c r="B48" i="18"/>
  <c r="B48" i="20" s="1"/>
  <c r="B47" i="18"/>
  <c r="B47" i="20" s="1"/>
  <c r="B46" i="18"/>
  <c r="B46" i="20" s="1"/>
  <c r="B45" i="18"/>
  <c r="B45" i="20" s="1"/>
  <c r="B44" i="18"/>
  <c r="B44" i="20" s="1"/>
  <c r="B43" i="18"/>
  <c r="B43" i="20" s="1"/>
  <c r="B42" i="18"/>
  <c r="B42" i="20" s="1"/>
  <c r="B41" i="18"/>
  <c r="B41" i="20" s="1"/>
  <c r="B40" i="18"/>
  <c r="B40" i="20" s="1"/>
  <c r="B39" i="18"/>
  <c r="B38" i="18"/>
  <c r="B37" i="18"/>
  <c r="B37" i="20" s="1"/>
  <c r="B36" i="18"/>
  <c r="B36" i="20" s="1"/>
  <c r="B35" i="18"/>
  <c r="B35" i="20" s="1"/>
  <c r="B34" i="18"/>
  <c r="B34" i="20" s="1"/>
  <c r="B33" i="18"/>
  <c r="B33" i="20" s="1"/>
  <c r="B32" i="18"/>
  <c r="B31" i="18"/>
  <c r="B30" i="18"/>
  <c r="B29" i="18"/>
  <c r="B28" i="18"/>
  <c r="B28" i="20" s="1"/>
  <c r="B27" i="18"/>
  <c r="B27" i="20" s="1"/>
  <c r="B26" i="18"/>
  <c r="B26" i="20" s="1"/>
  <c r="B25" i="18"/>
  <c r="B25" i="20" s="1"/>
  <c r="B24" i="18"/>
  <c r="B24" i="20" s="1"/>
  <c r="B23" i="18"/>
  <c r="B23" i="20" s="1"/>
  <c r="B22" i="18"/>
  <c r="B22" i="20" s="1"/>
  <c r="B21" i="18"/>
  <c r="B21" i="20" s="1"/>
  <c r="B20" i="18"/>
  <c r="B20" i="20" s="1"/>
  <c r="B19" i="18"/>
  <c r="B19" i="20" s="1"/>
  <c r="B18" i="18"/>
  <c r="B18" i="20" s="1"/>
  <c r="B17" i="18"/>
  <c r="B17" i="20" s="1"/>
  <c r="B16" i="18"/>
  <c r="B16" i="20" s="1"/>
  <c r="B15" i="18"/>
  <c r="B15" i="20" s="1"/>
  <c r="B14" i="18"/>
  <c r="B14" i="20" s="1"/>
  <c r="B13" i="18"/>
  <c r="B13" i="20" s="1"/>
  <c r="B12" i="18"/>
  <c r="B12" i="20" s="1"/>
  <c r="H107" i="28"/>
  <c r="H106" i="28"/>
  <c r="G112" i="18" s="1"/>
  <c r="D112" i="20" s="1"/>
  <c r="H105" i="28"/>
  <c r="G111" i="18" s="1"/>
  <c r="D111" i="20" s="1"/>
  <c r="H104" i="28"/>
  <c r="H103" i="28"/>
  <c r="H102" i="28"/>
  <c r="H101" i="28"/>
  <c r="H100" i="28"/>
  <c r="H99" i="28"/>
  <c r="H98" i="28"/>
  <c r="G104" i="18" s="1"/>
  <c r="D104" i="20" s="1"/>
  <c r="H97" i="28"/>
  <c r="G103" i="18" s="1"/>
  <c r="D103" i="20" s="1"/>
  <c r="H96" i="28"/>
  <c r="G102" i="18" s="1"/>
  <c r="H95" i="28"/>
  <c r="G101" i="18" s="1"/>
  <c r="H94" i="28"/>
  <c r="H93" i="28"/>
  <c r="H92" i="28"/>
  <c r="H91" i="28"/>
  <c r="G97" i="18" s="1"/>
  <c r="D97" i="20" s="1"/>
  <c r="H90" i="28"/>
  <c r="G96" i="18" s="1"/>
  <c r="D96" i="20" s="1"/>
  <c r="H89" i="28"/>
  <c r="H88" i="28"/>
  <c r="H87" i="28"/>
  <c r="H86" i="28"/>
  <c r="G92" i="18" s="1"/>
  <c r="H85" i="28"/>
  <c r="G91" i="18" s="1"/>
  <c r="H84" i="28"/>
  <c r="H83" i="28"/>
  <c r="H82" i="28"/>
  <c r="H81" i="28"/>
  <c r="H80" i="28"/>
  <c r="H79" i="28"/>
  <c r="H78" i="28"/>
  <c r="G84" i="18" s="1"/>
  <c r="D84" i="20" s="1"/>
  <c r="H77" i="28"/>
  <c r="G83" i="18" s="1"/>
  <c r="H76" i="28"/>
  <c r="G82" i="18" s="1"/>
  <c r="H75" i="28"/>
  <c r="G81" i="18" s="1"/>
  <c r="H74" i="28"/>
  <c r="H73" i="28"/>
  <c r="H72" i="28"/>
  <c r="H71" i="28"/>
  <c r="G77" i="18" s="1"/>
  <c r="D77" i="20" s="1"/>
  <c r="H70" i="28"/>
  <c r="H69" i="28"/>
  <c r="G75" i="18" s="1"/>
  <c r="D75" i="20" s="1"/>
  <c r="H68" i="28"/>
  <c r="G74" i="18" s="1"/>
  <c r="D74" i="20" s="1"/>
  <c r="H67" i="28"/>
  <c r="H66" i="28"/>
  <c r="G72" i="18" s="1"/>
  <c r="D72" i="20" s="1"/>
  <c r="H65" i="28"/>
  <c r="G71" i="18" s="1"/>
  <c r="D71" i="20" s="1"/>
  <c r="H64" i="28"/>
  <c r="G70" i="18" s="1"/>
  <c r="D70" i="20" s="1"/>
  <c r="H63" i="28"/>
  <c r="G69" i="18" s="1"/>
  <c r="D69" i="20" s="1"/>
  <c r="H62" i="28"/>
  <c r="H61" i="28"/>
  <c r="H60" i="28"/>
  <c r="H59" i="28"/>
  <c r="H58" i="28"/>
  <c r="G64" i="18" s="1"/>
  <c r="D64" i="20" s="1"/>
  <c r="H57" i="28"/>
  <c r="G63" i="18" s="1"/>
  <c r="H56" i="28"/>
  <c r="G62" i="18" s="1"/>
  <c r="H55" i="28"/>
  <c r="G61" i="18" s="1"/>
  <c r="H54" i="28"/>
  <c r="H53" i="28"/>
  <c r="H52" i="28"/>
  <c r="H51" i="28"/>
  <c r="G57" i="18" s="1"/>
  <c r="D57" i="20" s="1"/>
  <c r="H50" i="28"/>
  <c r="H49" i="28"/>
  <c r="H48" i="28"/>
  <c r="H47" i="28"/>
  <c r="G53" i="18" s="1"/>
  <c r="D53" i="20" s="1"/>
  <c r="H46" i="28"/>
  <c r="G52" i="18" s="1"/>
  <c r="D52" i="20" s="1"/>
  <c r="H45" i="28"/>
  <c r="G51" i="18" s="1"/>
  <c r="D51" i="20" s="1"/>
  <c r="H44" i="28"/>
  <c r="H43" i="28"/>
  <c r="H42" i="28"/>
  <c r="H41" i="28"/>
  <c r="H40" i="28"/>
  <c r="H39" i="28"/>
  <c r="H38" i="28"/>
  <c r="G44" i="18" s="1"/>
  <c r="D44" i="20" s="1"/>
  <c r="H37" i="28"/>
  <c r="H36" i="28"/>
  <c r="G42" i="18" s="1"/>
  <c r="H35" i="28"/>
  <c r="G41" i="18" s="1"/>
  <c r="H34" i="28"/>
  <c r="H33" i="28"/>
  <c r="H32" i="28"/>
  <c r="H31" i="28"/>
  <c r="G37" i="18" s="1"/>
  <c r="D37" i="20" s="1"/>
  <c r="H30" i="28"/>
  <c r="G36" i="18" s="1"/>
  <c r="D36" i="20" s="1"/>
  <c r="H29" i="28"/>
  <c r="H28" i="28"/>
  <c r="H27" i="28"/>
  <c r="H26" i="28"/>
  <c r="G32" i="18" s="1"/>
  <c r="D32" i="20" s="1"/>
  <c r="H25" i="28"/>
  <c r="G31" i="18" s="1"/>
  <c r="D31" i="20" s="1"/>
  <c r="H24" i="28"/>
  <c r="G30" i="18" s="1"/>
  <c r="D30" i="20" s="1"/>
  <c r="H23" i="28"/>
  <c r="G29" i="18" s="1"/>
  <c r="H22" i="28"/>
  <c r="H21" i="28"/>
  <c r="H20" i="28"/>
  <c r="H19" i="28"/>
  <c r="H18" i="28"/>
  <c r="G24" i="18" s="1"/>
  <c r="D24" i="20" s="1"/>
  <c r="H17" i="28"/>
  <c r="G23" i="18" s="1"/>
  <c r="H16" i="28"/>
  <c r="G22" i="18" s="1"/>
  <c r="H15" i="28"/>
  <c r="G21" i="18" s="1"/>
  <c r="H14" i="28"/>
  <c r="H13" i="28"/>
  <c r="G19" i="18" s="1"/>
  <c r="D19" i="20" s="1"/>
  <c r="H12" i="28"/>
  <c r="G18" i="18" s="1"/>
  <c r="D18" i="20" s="1"/>
  <c r="H11" i="28"/>
  <c r="H10" i="28"/>
  <c r="H9" i="28"/>
  <c r="H8" i="28"/>
  <c r="H7" i="28"/>
  <c r="G13" i="18" s="1"/>
  <c r="D13" i="20" s="1"/>
  <c r="H6" i="28"/>
  <c r="G12" i="18" s="1"/>
  <c r="D12" i="20" s="1"/>
  <c r="H108" i="28"/>
  <c r="D107" i="28"/>
  <c r="D113" i="18" s="1"/>
  <c r="D106" i="28"/>
  <c r="D112" i="18" s="1"/>
  <c r="D105" i="28"/>
  <c r="D104" i="28"/>
  <c r="D103" i="28"/>
  <c r="D102" i="28"/>
  <c r="D101" i="28"/>
  <c r="D107" i="18" s="1"/>
  <c r="D100" i="28"/>
  <c r="D99" i="28"/>
  <c r="D98" i="28"/>
  <c r="D97" i="28"/>
  <c r="D96" i="28"/>
  <c r="D95" i="28"/>
  <c r="D94" i="28"/>
  <c r="D93" i="28"/>
  <c r="D92" i="28"/>
  <c r="D98" i="18" s="1"/>
  <c r="D91" i="28"/>
  <c r="D97" i="18" s="1"/>
  <c r="D90" i="28"/>
  <c r="D96" i="18" s="1"/>
  <c r="D89" i="28"/>
  <c r="D95" i="18" s="1"/>
  <c r="D88" i="28"/>
  <c r="D94" i="18" s="1"/>
  <c r="D87" i="28"/>
  <c r="D93" i="18" s="1"/>
  <c r="D86" i="28"/>
  <c r="D92" i="18" s="1"/>
  <c r="D85" i="28"/>
  <c r="D84" i="28"/>
  <c r="D83" i="28"/>
  <c r="D82" i="28"/>
  <c r="D81" i="28"/>
  <c r="D87" i="18" s="1"/>
  <c r="D80" i="28"/>
  <c r="D86" i="18" s="1"/>
  <c r="D79" i="28"/>
  <c r="D78" i="28"/>
  <c r="D77" i="28"/>
  <c r="D76" i="28"/>
  <c r="D75" i="28"/>
  <c r="D74" i="28"/>
  <c r="D80" i="18" s="1"/>
  <c r="D73" i="28"/>
  <c r="D72" i="28"/>
  <c r="D78" i="18" s="1"/>
  <c r="D71" i="28"/>
  <c r="D77" i="18" s="1"/>
  <c r="D70" i="28"/>
  <c r="D76" i="18" s="1"/>
  <c r="D69" i="28"/>
  <c r="D75" i="18" s="1"/>
  <c r="D68" i="28"/>
  <c r="D67" i="28"/>
  <c r="D66" i="28"/>
  <c r="D65" i="28"/>
  <c r="D64" i="28"/>
  <c r="D63" i="28"/>
  <c r="D62" i="28"/>
  <c r="D61" i="28"/>
  <c r="D67" i="18" s="1"/>
  <c r="D60" i="28"/>
  <c r="D66" i="18" s="1"/>
  <c r="D59" i="28"/>
  <c r="D58" i="28"/>
  <c r="D57" i="28"/>
  <c r="D63" i="18" s="1"/>
  <c r="D56" i="28"/>
  <c r="D62" i="18" s="1"/>
  <c r="D55" i="28"/>
  <c r="D61" i="18" s="1"/>
  <c r="D54" i="28"/>
  <c r="D60" i="18" s="1"/>
  <c r="D53" i="28"/>
  <c r="D59" i="18" s="1"/>
  <c r="D52" i="28"/>
  <c r="D58" i="18" s="1"/>
  <c r="D51" i="28"/>
  <c r="D57" i="18" s="1"/>
  <c r="D50" i="28"/>
  <c r="D56" i="18" s="1"/>
  <c r="D49" i="28"/>
  <c r="D55" i="18" s="1"/>
  <c r="D48" i="28"/>
  <c r="D54" i="18" s="1"/>
  <c r="D47" i="28"/>
  <c r="D53" i="18" s="1"/>
  <c r="D46" i="28"/>
  <c r="D52" i="18" s="1"/>
  <c r="D45" i="28"/>
  <c r="D44" i="28"/>
  <c r="D43" i="28"/>
  <c r="D42" i="28"/>
  <c r="D41" i="28"/>
  <c r="D40" i="28"/>
  <c r="D39" i="28"/>
  <c r="D38" i="28"/>
  <c r="D37" i="28"/>
  <c r="D36" i="28"/>
  <c r="D35" i="28"/>
  <c r="D34" i="28"/>
  <c r="D33" i="28"/>
  <c r="D39" i="18" s="1"/>
  <c r="D32" i="28"/>
  <c r="D38" i="18" s="1"/>
  <c r="D31" i="28"/>
  <c r="D37" i="18" s="1"/>
  <c r="D30" i="28"/>
  <c r="D36" i="18" s="1"/>
  <c r="D29" i="28"/>
  <c r="D35" i="18" s="1"/>
  <c r="D28" i="28"/>
  <c r="D34" i="18" s="1"/>
  <c r="D27" i="28"/>
  <c r="D33" i="18" s="1"/>
  <c r="D26" i="28"/>
  <c r="D32" i="18" s="1"/>
  <c r="D25" i="28"/>
  <c r="D24" i="28"/>
  <c r="D23" i="28"/>
  <c r="D22" i="28"/>
  <c r="D21" i="28"/>
  <c r="D27" i="18" s="1"/>
  <c r="D20" i="28"/>
  <c r="D26" i="18" s="1"/>
  <c r="D19" i="28"/>
  <c r="D18" i="28"/>
  <c r="D17" i="28"/>
  <c r="D16" i="28"/>
  <c r="D15" i="28"/>
  <c r="D14" i="28"/>
  <c r="D20" i="18" s="1"/>
  <c r="D13" i="28"/>
  <c r="D12" i="28"/>
  <c r="D18" i="18" s="1"/>
  <c r="D11" i="28"/>
  <c r="D17" i="18" s="1"/>
  <c r="D10" i="28"/>
  <c r="D16" i="18" s="1"/>
  <c r="D9" i="28"/>
  <c r="D15" i="18" s="1"/>
  <c r="D8" i="28"/>
  <c r="D7" i="28"/>
  <c r="D6" i="28"/>
  <c r="D12" i="18" s="1"/>
  <c r="D108" i="28"/>
  <c r="F45" i="2"/>
  <c r="L49" i="74" s="1"/>
  <c r="E45" i="2"/>
  <c r="K49" i="74" s="1"/>
  <c r="D45" i="2"/>
  <c r="C45" i="2"/>
  <c r="C17" i="1" s="1"/>
  <c r="F40" i="2"/>
  <c r="F37" i="64" s="1"/>
  <c r="E40" i="2"/>
  <c r="E37" i="64" s="1"/>
  <c r="D40" i="2"/>
  <c r="D37" i="64" s="1"/>
  <c r="C40" i="2"/>
  <c r="C37" i="64" s="1"/>
  <c r="F36" i="2"/>
  <c r="F21" i="63" s="1"/>
  <c r="F35" i="63" s="1"/>
  <c r="E36" i="2"/>
  <c r="E21" i="63" s="1"/>
  <c r="E35" i="63" s="1"/>
  <c r="D36" i="2"/>
  <c r="D21" i="63" s="1"/>
  <c r="C36" i="2"/>
  <c r="C21" i="63" s="1"/>
  <c r="C35" i="63" s="1"/>
  <c r="C49" i="63" s="1"/>
  <c r="F32" i="2"/>
  <c r="E32" i="2"/>
  <c r="D32" i="2"/>
  <c r="C32" i="2"/>
  <c r="F26" i="2"/>
  <c r="E26" i="2"/>
  <c r="D26" i="2"/>
  <c r="C26" i="2"/>
  <c r="F18" i="2"/>
  <c r="F20" i="2" s="1"/>
  <c r="E18" i="2"/>
  <c r="E20" i="2" s="1"/>
  <c r="D18" i="2"/>
  <c r="C18" i="2"/>
  <c r="C20" i="2" s="1"/>
  <c r="F12" i="2"/>
  <c r="F11" i="60" s="1"/>
  <c r="E12" i="2"/>
  <c r="E11" i="60" s="1"/>
  <c r="D12" i="2"/>
  <c r="C12" i="2"/>
  <c r="C11" i="60" s="1"/>
  <c r="C29" i="60" s="1"/>
  <c r="F11" i="2"/>
  <c r="F39" i="59" s="1"/>
  <c r="E11" i="2"/>
  <c r="E43" i="59" s="1"/>
  <c r="D11" i="2"/>
  <c r="D43" i="59" s="1"/>
  <c r="C11" i="2"/>
  <c r="C43" i="59" s="1"/>
  <c r="B4" i="23"/>
  <c r="E13" i="22"/>
  <c r="E14" i="22"/>
  <c r="E15" i="22"/>
  <c r="E16" i="22"/>
  <c r="E17" i="22"/>
  <c r="E18" i="22"/>
  <c r="H83" i="83" l="1"/>
  <c r="H87" i="83"/>
  <c r="L87" i="83" s="1"/>
  <c r="F83" i="83"/>
  <c r="L83" i="83" s="1"/>
  <c r="L82" i="83"/>
  <c r="F88" i="83"/>
  <c r="F92" i="83"/>
  <c r="D87" i="83"/>
  <c r="D83" i="83"/>
  <c r="J83" i="83" s="1"/>
  <c r="J82" i="83"/>
  <c r="H30" i="83"/>
  <c r="H34" i="83" s="1"/>
  <c r="H35" i="83" s="1"/>
  <c r="H26" i="83"/>
  <c r="L20" i="83"/>
  <c r="F25" i="83"/>
  <c r="F21" i="83"/>
  <c r="L21" i="83" s="1"/>
  <c r="D25" i="83"/>
  <c r="D21" i="83"/>
  <c r="J20" i="83"/>
  <c r="L61" i="83"/>
  <c r="L65" i="83" s="1"/>
  <c r="L66" i="83" s="1"/>
  <c r="L57" i="83"/>
  <c r="J56" i="83"/>
  <c r="J52" i="83"/>
  <c r="H57" i="83"/>
  <c r="H61" i="83"/>
  <c r="H65" i="83" s="1"/>
  <c r="H66" i="83" s="1"/>
  <c r="F57" i="83"/>
  <c r="F61" i="83"/>
  <c r="F65" i="83" s="1"/>
  <c r="F66" i="83" s="1"/>
  <c r="H18" i="13"/>
  <c r="G18" i="13"/>
  <c r="AN12" i="20"/>
  <c r="D31" i="63"/>
  <c r="AB41" i="61"/>
  <c r="M37" i="61"/>
  <c r="L37" i="61"/>
  <c r="K37" i="61"/>
  <c r="Q35" i="60"/>
  <c r="Q43" i="60"/>
  <c r="Q39" i="60"/>
  <c r="L51" i="60"/>
  <c r="M51" i="60"/>
  <c r="Q17" i="59"/>
  <c r="R17" i="59" s="1"/>
  <c r="S17" i="59" s="1"/>
  <c r="T17" i="59" s="1"/>
  <c r="U17" i="59" s="1"/>
  <c r="X17" i="59"/>
  <c r="Y17" i="59" s="1"/>
  <c r="Z17" i="59" s="1"/>
  <c r="AA17" i="59" s="1"/>
  <c r="AB17" i="59" s="1"/>
  <c r="D39" i="63"/>
  <c r="C51" i="59"/>
  <c r="C23" i="59"/>
  <c r="C31" i="59"/>
  <c r="M12" i="65"/>
  <c r="C50" i="67" a="1"/>
  <c r="C50" i="67" s="1"/>
  <c r="C48" i="67" a="1"/>
  <c r="C48" i="67" s="1"/>
  <c r="C45" i="67" a="1"/>
  <c r="C45" i="67" s="1"/>
  <c r="C42" i="67" a="1"/>
  <c r="C42" i="67" s="1"/>
  <c r="F26" i="63"/>
  <c r="N12" i="65"/>
  <c r="C11" i="66" a="1"/>
  <c r="C11" i="66" s="1"/>
  <c r="C30" i="67" a="1"/>
  <c r="C30" i="67" s="1"/>
  <c r="C19" i="67" a="1"/>
  <c r="C19" i="67" s="1"/>
  <c r="D47" i="59"/>
  <c r="D51" i="59"/>
  <c r="E47" i="59"/>
  <c r="E51" i="59"/>
  <c r="C24" i="66" a="1"/>
  <c r="C24" i="66" s="1"/>
  <c r="C21" i="66" a="1"/>
  <c r="C21" i="66" s="1"/>
  <c r="C16" i="67" a="1"/>
  <c r="C16" i="67" s="1"/>
  <c r="F12" i="62"/>
  <c r="C11" i="67" a="1"/>
  <c r="C11" i="67" s="1"/>
  <c r="C39" i="66" a="1"/>
  <c r="F40" i="66" s="1"/>
  <c r="C44" i="66" a="1"/>
  <c r="C44" i="66" s="1"/>
  <c r="G68" i="73"/>
  <c r="C42" i="66" a="1"/>
  <c r="C42" i="66" s="1"/>
  <c r="G24" i="10"/>
  <c r="F29" i="64"/>
  <c r="C47" i="66" a="1"/>
  <c r="C47" i="66" s="1"/>
  <c r="G34" i="5"/>
  <c r="G31" i="59"/>
  <c r="G33" i="5"/>
  <c r="G51" i="59"/>
  <c r="F31" i="63"/>
  <c r="D19" i="60"/>
  <c r="G30" i="64"/>
  <c r="Q29" i="64"/>
  <c r="R29" i="64" s="1"/>
  <c r="S29" i="64" s="1"/>
  <c r="T29" i="64" s="1"/>
  <c r="U29" i="64" s="1"/>
  <c r="X29" i="64"/>
  <c r="Y29" i="64" s="1"/>
  <c r="Z29" i="64" s="1"/>
  <c r="AA29" i="64" s="1"/>
  <c r="AB29" i="64" s="1"/>
  <c r="E47" i="60"/>
  <c r="E15" i="60"/>
  <c r="E43" i="60"/>
  <c r="E39" i="60"/>
  <c r="E35" i="60"/>
  <c r="E29" i="60"/>
  <c r="E19" i="60"/>
  <c r="C25" i="60"/>
  <c r="C43" i="63"/>
  <c r="C45" i="63" s="1"/>
  <c r="G23" i="59"/>
  <c r="E25" i="60"/>
  <c r="C19" i="66" a="1"/>
  <c r="C19" i="66" s="1"/>
  <c r="G19" i="6"/>
  <c r="G23" i="6" s="1"/>
  <c r="F15" i="63"/>
  <c r="F17" i="63" s="1"/>
  <c r="F18" i="63" s="1"/>
  <c r="C34" i="66" a="1"/>
  <c r="C34" i="66" s="1"/>
  <c r="G47" i="59"/>
  <c r="C39" i="67" a="1"/>
  <c r="C39" i="67" s="1"/>
  <c r="C19" i="60"/>
  <c r="C47" i="60"/>
  <c r="C15" i="60"/>
  <c r="C43" i="60"/>
  <c r="C39" i="60"/>
  <c r="C35" i="60"/>
  <c r="D47" i="60"/>
  <c r="D15" i="60"/>
  <c r="D43" i="60"/>
  <c r="D39" i="60"/>
  <c r="D35" i="60"/>
  <c r="D29" i="60"/>
  <c r="C36" i="66" a="1"/>
  <c r="C30" i="10"/>
  <c r="C49" i="66" a="1"/>
  <c r="C49" i="66" s="1"/>
  <c r="G4" i="23"/>
  <c r="C44" i="11"/>
  <c r="G29" i="63"/>
  <c r="X25" i="63" s="1"/>
  <c r="X29" i="63" s="1"/>
  <c r="X31" i="63" s="1"/>
  <c r="X35" i="63" s="1"/>
  <c r="C35" i="13"/>
  <c r="C45" i="11" s="1"/>
  <c r="G35" i="59"/>
  <c r="G15" i="10"/>
  <c r="G20" i="10" s="1"/>
  <c r="G34" i="10" s="1"/>
  <c r="G16" i="10"/>
  <c r="G15" i="17"/>
  <c r="G43" i="59"/>
  <c r="G17" i="10"/>
  <c r="C39" i="10"/>
  <c r="C12" i="62"/>
  <c r="C44" i="10"/>
  <c r="C25" i="67" a="1"/>
  <c r="C25" i="67" s="1"/>
  <c r="C37" i="67" a="1"/>
  <c r="C37" i="67" s="1"/>
  <c r="C39" i="36"/>
  <c r="D39" i="10"/>
  <c r="D12" i="62"/>
  <c r="C27" i="66" a="1"/>
  <c r="C27" i="66" s="1"/>
  <c r="E29" i="63"/>
  <c r="E26" i="63" s="1"/>
  <c r="G32" i="10"/>
  <c r="G36" i="3"/>
  <c r="G63" i="3"/>
  <c r="C55" i="59"/>
  <c r="C26" i="13"/>
  <c r="C35" i="59"/>
  <c r="D55" i="59"/>
  <c r="D35" i="59"/>
  <c r="E55" i="59"/>
  <c r="M11" i="65"/>
  <c r="C13" i="67" a="1"/>
  <c r="C13" i="67" s="1"/>
  <c r="C47" i="4"/>
  <c r="E35" i="59"/>
  <c r="E12" i="62"/>
  <c r="N11" i="65"/>
  <c r="E47" i="4"/>
  <c r="C39" i="59"/>
  <c r="L13" i="65"/>
  <c r="F47" i="4"/>
  <c r="M13" i="65"/>
  <c r="C30" i="7"/>
  <c r="G62" i="10"/>
  <c r="G47" i="4"/>
  <c r="N13" i="65"/>
  <c r="C27" i="67" a="1"/>
  <c r="C27" i="67" s="1"/>
  <c r="G52" i="3"/>
  <c r="F4" i="23"/>
  <c r="D38" i="4"/>
  <c r="G39" i="36"/>
  <c r="G11" i="22" s="1"/>
  <c r="E38" i="4"/>
  <c r="F38" i="4"/>
  <c r="G75" i="27"/>
  <c r="G50" i="73"/>
  <c r="G40" i="36"/>
  <c r="C16" i="66" a="1"/>
  <c r="C16" i="66" s="1"/>
  <c r="G32" i="5"/>
  <c r="G22" i="3"/>
  <c r="C13" i="66" a="1"/>
  <c r="C13" i="66" s="1"/>
  <c r="D14" i="66" s="1"/>
  <c r="G38" i="3"/>
  <c r="G57" i="16" s="1"/>
  <c r="G50" i="27"/>
  <c r="G39" i="10"/>
  <c r="G23" i="67"/>
  <c r="G38" i="10"/>
  <c r="G48" i="10" s="1"/>
  <c r="G52" i="10" s="1"/>
  <c r="G11" i="17"/>
  <c r="G21" i="17"/>
  <c r="G18" i="1" s="1"/>
  <c r="G17" i="1"/>
  <c r="M49" i="74"/>
  <c r="G35" i="36"/>
  <c r="G37" i="61"/>
  <c r="G41" i="61"/>
  <c r="G41" i="5"/>
  <c r="H26" i="9"/>
  <c r="G9" i="61"/>
  <c r="G40" i="5"/>
  <c r="H25" i="9"/>
  <c r="G15" i="60"/>
  <c r="G39" i="60"/>
  <c r="G19" i="60"/>
  <c r="G43" i="60"/>
  <c r="G35" i="60"/>
  <c r="G25" i="60"/>
  <c r="G47" i="60"/>
  <c r="F35" i="60"/>
  <c r="F15" i="60"/>
  <c r="F47" i="60"/>
  <c r="F29" i="60"/>
  <c r="F43" i="60"/>
  <c r="F25" i="60"/>
  <c r="F39" i="60"/>
  <c r="F19" i="60"/>
  <c r="F43" i="59"/>
  <c r="F23" i="59"/>
  <c r="F31" i="59"/>
  <c r="F51" i="59"/>
  <c r="F35" i="59"/>
  <c r="F55" i="59"/>
  <c r="F47" i="59"/>
  <c r="G14" i="2"/>
  <c r="G22" i="2" s="1"/>
  <c r="I4" i="23"/>
  <c r="G39" i="59"/>
  <c r="G55" i="59"/>
  <c r="G36" i="5"/>
  <c r="G30" i="7"/>
  <c r="J11" i="22"/>
  <c r="H12" i="9"/>
  <c r="M40" i="2"/>
  <c r="N40" i="2"/>
  <c r="L40" i="2"/>
  <c r="K30" i="64"/>
  <c r="L30" i="64"/>
  <c r="M30" i="64"/>
  <c r="T30" i="64"/>
  <c r="U30" i="64"/>
  <c r="R30" i="64"/>
  <c r="Q23" i="64"/>
  <c r="Q25" i="64" s="1"/>
  <c r="Q48" i="67" s="1"/>
  <c r="R23" i="64"/>
  <c r="R25" i="64" s="1"/>
  <c r="R48" i="67" s="1"/>
  <c r="S23" i="64"/>
  <c r="T23" i="64"/>
  <c r="L7" i="74"/>
  <c r="E14" i="36"/>
  <c r="D14" i="36"/>
  <c r="C14" i="36"/>
  <c r="G12" i="36"/>
  <c r="M50" i="74" s="1"/>
  <c r="J41" i="63"/>
  <c r="J22" i="67"/>
  <c r="K22" i="67" s="1"/>
  <c r="L22" i="67" s="1"/>
  <c r="M22" i="67" s="1"/>
  <c r="N22" i="67" s="1"/>
  <c r="X22" i="67"/>
  <c r="Y22" i="67" s="1"/>
  <c r="Z22" i="67" s="1"/>
  <c r="AA22" i="67" s="1"/>
  <c r="AB22" i="67" s="1"/>
  <c r="D23" i="67"/>
  <c r="E23" i="67"/>
  <c r="F23" i="67"/>
  <c r="Y30" i="64"/>
  <c r="Z30" i="64"/>
  <c r="AA30" i="64"/>
  <c r="J11" i="63"/>
  <c r="J15" i="63" s="1"/>
  <c r="Q11" i="63"/>
  <c r="Q15" i="63" s="1"/>
  <c r="R11" i="63" s="1"/>
  <c r="D26" i="63"/>
  <c r="G39" i="63"/>
  <c r="E49" i="63"/>
  <c r="G49" i="63"/>
  <c r="G17" i="63"/>
  <c r="G18" i="63" s="1"/>
  <c r="J23" i="64"/>
  <c r="J25" i="64" s="1"/>
  <c r="J48" i="67" s="1"/>
  <c r="J15" i="64"/>
  <c r="R13" i="64"/>
  <c r="R15" i="64" s="1"/>
  <c r="K14" i="64"/>
  <c r="J29" i="64"/>
  <c r="K29" i="64" s="1"/>
  <c r="K40" i="2"/>
  <c r="J40" i="2"/>
  <c r="C21" i="62"/>
  <c r="C31" i="62" s="1"/>
  <c r="C41" i="62"/>
  <c r="M13" i="64"/>
  <c r="L14" i="64"/>
  <c r="M14" i="64" s="1"/>
  <c r="N14" i="64" s="1"/>
  <c r="K15" i="64"/>
  <c r="Y15" i="64"/>
  <c r="S13" i="64"/>
  <c r="X15" i="64"/>
  <c r="X25" i="64" s="1"/>
  <c r="X48" i="67" s="1"/>
  <c r="Q40" i="63"/>
  <c r="G12" i="63"/>
  <c r="J40" i="63"/>
  <c r="N43" i="4"/>
  <c r="N42" i="4"/>
  <c r="AA37" i="61"/>
  <c r="Z37" i="61"/>
  <c r="AA41" i="61"/>
  <c r="N41" i="61"/>
  <c r="M41" i="61"/>
  <c r="L41" i="61"/>
  <c r="C37" i="61"/>
  <c r="C41" i="61"/>
  <c r="D41" i="61"/>
  <c r="E41" i="61"/>
  <c r="D37" i="61"/>
  <c r="E37" i="61"/>
  <c r="F37" i="61"/>
  <c r="F41" i="61"/>
  <c r="G38" i="4"/>
  <c r="F95" i="27"/>
  <c r="F102" i="27" s="1"/>
  <c r="F104" i="27" s="1"/>
  <c r="E95" i="27"/>
  <c r="E102" i="27" s="1"/>
  <c r="E104" i="27" s="1"/>
  <c r="F11" i="62"/>
  <c r="F9" i="61"/>
  <c r="F17" i="68"/>
  <c r="D40" i="5"/>
  <c r="F18" i="68"/>
  <c r="C95" i="27"/>
  <c r="C102" i="27" s="1"/>
  <c r="C104" i="27" s="1"/>
  <c r="D17" i="68"/>
  <c r="C18" i="68"/>
  <c r="D18" i="68"/>
  <c r="E18" i="68"/>
  <c r="C68" i="73"/>
  <c r="C25" i="65"/>
  <c r="C33" i="65"/>
  <c r="D29" i="65" s="1"/>
  <c r="D33" i="65" s="1"/>
  <c r="E29" i="65" s="1"/>
  <c r="E33" i="65" s="1"/>
  <c r="F29" i="65" s="1"/>
  <c r="F33" i="65" s="1"/>
  <c r="G29" i="65" s="1"/>
  <c r="G33" i="65" s="1"/>
  <c r="C41" i="65"/>
  <c r="D37" i="65" s="1"/>
  <c r="D41" i="65" s="1"/>
  <c r="E37" i="65" s="1"/>
  <c r="E41" i="65" s="1"/>
  <c r="F37" i="65" s="1"/>
  <c r="F41" i="65" s="1"/>
  <c r="G37" i="65" s="1"/>
  <c r="G41" i="65" s="1"/>
  <c r="F26" i="68"/>
  <c r="E26" i="68"/>
  <c r="D26" i="68"/>
  <c r="C26" i="68"/>
  <c r="Q26" i="68" s="1"/>
  <c r="J32" i="4" s="1"/>
  <c r="F27" i="68"/>
  <c r="E27" i="68"/>
  <c r="D27" i="68"/>
  <c r="F11" i="10"/>
  <c r="F16" i="10"/>
  <c r="F40" i="10"/>
  <c r="C27" i="68"/>
  <c r="C12" i="10"/>
  <c r="C17" i="10"/>
  <c r="C41" i="10"/>
  <c r="C46" i="10"/>
  <c r="C28" i="10"/>
  <c r="K15" i="65"/>
  <c r="L11" i="65" s="1"/>
  <c r="K41" i="65"/>
  <c r="K33" i="65"/>
  <c r="K25" i="65"/>
  <c r="D24" i="10"/>
  <c r="D29" i="10"/>
  <c r="D29" i="64"/>
  <c r="D30" i="64" s="1"/>
  <c r="F29" i="68"/>
  <c r="E24" i="10"/>
  <c r="E29" i="10"/>
  <c r="E29" i="64"/>
  <c r="F42" i="10"/>
  <c r="C43" i="10"/>
  <c r="C25" i="10"/>
  <c r="D68" i="73"/>
  <c r="D43" i="10"/>
  <c r="D12" i="10"/>
  <c r="D20" i="10" s="1"/>
  <c r="E12" i="10"/>
  <c r="E20" i="10" s="1"/>
  <c r="E68" i="73"/>
  <c r="D95" i="27"/>
  <c r="D102" i="27" s="1"/>
  <c r="D104" i="27" s="1"/>
  <c r="F12" i="10"/>
  <c r="F68" i="73"/>
  <c r="C17" i="68"/>
  <c r="C9" i="61"/>
  <c r="D9" i="61"/>
  <c r="E9" i="61"/>
  <c r="D11" i="62"/>
  <c r="D46" i="10"/>
  <c r="D10" i="36"/>
  <c r="D12" i="36" s="1"/>
  <c r="E41" i="10"/>
  <c r="E46" i="10"/>
  <c r="E28" i="10"/>
  <c r="F41" i="10"/>
  <c r="F28" i="10"/>
  <c r="C29" i="68"/>
  <c r="C42" i="10"/>
  <c r="C24" i="10"/>
  <c r="C29" i="10"/>
  <c r="D29" i="68"/>
  <c r="D41" i="10"/>
  <c r="E48" i="10"/>
  <c r="E52" i="10" s="1"/>
  <c r="K11" i="60"/>
  <c r="K43" i="60" s="1"/>
  <c r="L11" i="60"/>
  <c r="L19" i="60" s="1"/>
  <c r="M11" i="60"/>
  <c r="M29" i="60" s="1"/>
  <c r="N11" i="60"/>
  <c r="N29" i="60" s="1"/>
  <c r="K51" i="60"/>
  <c r="N12" i="2"/>
  <c r="U15" i="60"/>
  <c r="U39" i="60"/>
  <c r="U43" i="60"/>
  <c r="U25" i="60"/>
  <c r="U35" i="60"/>
  <c r="Y11" i="60"/>
  <c r="Y47" i="60" s="1"/>
  <c r="Y43" i="60"/>
  <c r="U47" i="60"/>
  <c r="AA51" i="60"/>
  <c r="N25" i="60"/>
  <c r="AB11" i="60"/>
  <c r="AB47" i="60" s="1"/>
  <c r="Q19" i="60"/>
  <c r="S11" i="60"/>
  <c r="S19" i="60" s="1"/>
  <c r="Q25" i="60"/>
  <c r="T11" i="60"/>
  <c r="T39" i="60" s="1"/>
  <c r="R51" i="60"/>
  <c r="Z11" i="60"/>
  <c r="Z47" i="60" s="1"/>
  <c r="S51" i="60"/>
  <c r="L36" i="4" s="1"/>
  <c r="T51" i="60"/>
  <c r="M13" i="4" s="1"/>
  <c r="Q15" i="60"/>
  <c r="R11" i="60"/>
  <c r="R25" i="60" s="1"/>
  <c r="X19" i="60"/>
  <c r="U51" i="60"/>
  <c r="N13" i="4" s="1"/>
  <c r="X47" i="60"/>
  <c r="Q29" i="60"/>
  <c r="N51" i="60"/>
  <c r="L15" i="60"/>
  <c r="J19" i="60"/>
  <c r="Y51" i="60"/>
  <c r="J25" i="60"/>
  <c r="U29" i="60"/>
  <c r="Z51" i="60"/>
  <c r="AB51" i="60"/>
  <c r="U19" i="60"/>
  <c r="J13" i="4"/>
  <c r="J39" i="60"/>
  <c r="J43" i="60"/>
  <c r="AA11" i="60"/>
  <c r="J15" i="60"/>
  <c r="J29" i="60"/>
  <c r="J35" i="60"/>
  <c r="F41" i="5"/>
  <c r="D41" i="5"/>
  <c r="E41" i="5"/>
  <c r="E40" i="5"/>
  <c r="F40" i="5"/>
  <c r="C15" i="68"/>
  <c r="D15" i="68"/>
  <c r="E15" i="68"/>
  <c r="C16" i="68"/>
  <c r="D16" i="68"/>
  <c r="E16" i="68"/>
  <c r="F16" i="68"/>
  <c r="E29" i="68"/>
  <c r="X40" i="63"/>
  <c r="F49" i="63"/>
  <c r="X15" i="63"/>
  <c r="X17" i="63" s="1"/>
  <c r="X21" i="63" s="1"/>
  <c r="D12" i="63"/>
  <c r="M23" i="65"/>
  <c r="O23" i="65"/>
  <c r="L23" i="65"/>
  <c r="L39" i="65"/>
  <c r="M39" i="65"/>
  <c r="N39" i="65"/>
  <c r="O39" i="65"/>
  <c r="L31" i="65"/>
  <c r="M31" i="65"/>
  <c r="N31" i="65"/>
  <c r="O31" i="65"/>
  <c r="L35" i="60"/>
  <c r="L39" i="60"/>
  <c r="K25" i="60"/>
  <c r="L25" i="60"/>
  <c r="M25" i="60"/>
  <c r="L43" i="60"/>
  <c r="X19" i="59"/>
  <c r="Q19" i="59"/>
  <c r="R19" i="59" s="1"/>
  <c r="J19" i="59"/>
  <c r="D50" i="27"/>
  <c r="E50" i="27"/>
  <c r="F50" i="27"/>
  <c r="D75" i="27"/>
  <c r="F75" i="27"/>
  <c r="E75" i="27"/>
  <c r="C75" i="27"/>
  <c r="C50" i="27"/>
  <c r="C10" i="36"/>
  <c r="C12" i="36" s="1"/>
  <c r="F29" i="10"/>
  <c r="E21" i="17"/>
  <c r="E35" i="36" s="1"/>
  <c r="F21" i="17"/>
  <c r="F25" i="10"/>
  <c r="E17" i="1"/>
  <c r="D21" i="17"/>
  <c r="D35" i="36" s="1"/>
  <c r="D17" i="1"/>
  <c r="E34" i="5"/>
  <c r="F18" i="10"/>
  <c r="F34" i="5"/>
  <c r="F30" i="10"/>
  <c r="F39" i="36"/>
  <c r="F46" i="10"/>
  <c r="F45" i="10"/>
  <c r="F52" i="3"/>
  <c r="F63" i="16" s="1"/>
  <c r="F15" i="10"/>
  <c r="C36" i="3"/>
  <c r="C35" i="5" s="1"/>
  <c r="C38" i="10"/>
  <c r="D36" i="3"/>
  <c r="D35" i="5" s="1"/>
  <c r="D38" i="10"/>
  <c r="F38" i="10"/>
  <c r="F33" i="5"/>
  <c r="F24" i="10"/>
  <c r="F27" i="10"/>
  <c r="D34" i="5"/>
  <c r="C30" i="36"/>
  <c r="D30" i="36"/>
  <c r="E30" i="36"/>
  <c r="E15" i="17"/>
  <c r="F15" i="17"/>
  <c r="D17" i="17"/>
  <c r="E17" i="17"/>
  <c r="F17" i="17"/>
  <c r="D15" i="17"/>
  <c r="D32" i="5"/>
  <c r="D19" i="6"/>
  <c r="E32" i="5"/>
  <c r="E33" i="5"/>
  <c r="E19" i="6"/>
  <c r="F32" i="5"/>
  <c r="F19" i="6"/>
  <c r="F30" i="7"/>
  <c r="D14" i="2"/>
  <c r="F11" i="17"/>
  <c r="D19" i="17"/>
  <c r="D20" i="2"/>
  <c r="E10" i="36"/>
  <c r="E12" i="36" s="1"/>
  <c r="K50" i="74" s="1"/>
  <c r="E19" i="17"/>
  <c r="E14" i="2"/>
  <c r="D28" i="2"/>
  <c r="E28" i="2"/>
  <c r="F28" i="2"/>
  <c r="G13" i="17" s="1"/>
  <c r="C33" i="5"/>
  <c r="C19" i="6"/>
  <c r="C14" i="2"/>
  <c r="C9" i="73" s="1"/>
  <c r="C32" i="5"/>
  <c r="F19" i="17"/>
  <c r="C34" i="5"/>
  <c r="F10" i="36"/>
  <c r="F12" i="36" s="1"/>
  <c r="L50" i="74" s="1"/>
  <c r="F17" i="1"/>
  <c r="C28" i="2"/>
  <c r="D33" i="5"/>
  <c r="F14" i="2"/>
  <c r="E36" i="3"/>
  <c r="E35" i="5" s="1"/>
  <c r="F36" i="3"/>
  <c r="F35" i="5" s="1"/>
  <c r="C52" i="3"/>
  <c r="D52" i="3"/>
  <c r="D63" i="16" s="1"/>
  <c r="E52" i="3"/>
  <c r="E63" i="16" s="1"/>
  <c r="N21" i="24"/>
  <c r="N10" i="24"/>
  <c r="N14" i="24"/>
  <c r="N13" i="24"/>
  <c r="N12" i="24"/>
  <c r="N11" i="24"/>
  <c r="D4377" i="24"/>
  <c r="D4376" i="24"/>
  <c r="D4375" i="24"/>
  <c r="D4374" i="24"/>
  <c r="D4373" i="24"/>
  <c r="D4372" i="24"/>
  <c r="D4371" i="24"/>
  <c r="D4370" i="24"/>
  <c r="D4369" i="24"/>
  <c r="D4368" i="24"/>
  <c r="D4367" i="24"/>
  <c r="D4366" i="24"/>
  <c r="D4365" i="24"/>
  <c r="D4364" i="24"/>
  <c r="D4363" i="24"/>
  <c r="D4362" i="24"/>
  <c r="D4361" i="24"/>
  <c r="D4360" i="24"/>
  <c r="D4359" i="24"/>
  <c r="D4358" i="24"/>
  <c r="D4357" i="24"/>
  <c r="D4356" i="24"/>
  <c r="D4355" i="24"/>
  <c r="D4354" i="24"/>
  <c r="D4353" i="24"/>
  <c r="D4352" i="24"/>
  <c r="D4351" i="24"/>
  <c r="D4350" i="24"/>
  <c r="D4349" i="24"/>
  <c r="D4348" i="24"/>
  <c r="D4347" i="24"/>
  <c r="D4346" i="24"/>
  <c r="D4345" i="24"/>
  <c r="D4344" i="24"/>
  <c r="D4343" i="24"/>
  <c r="D4342" i="24"/>
  <c r="D4341" i="24"/>
  <c r="D4340" i="24"/>
  <c r="D4339" i="24"/>
  <c r="D4338" i="24"/>
  <c r="D4337" i="24"/>
  <c r="D4336" i="24"/>
  <c r="D4335" i="24"/>
  <c r="D4334" i="24"/>
  <c r="D4333" i="24"/>
  <c r="D4332" i="24"/>
  <c r="D4331" i="24"/>
  <c r="D4330" i="24"/>
  <c r="D4329" i="24"/>
  <c r="D4328" i="24"/>
  <c r="D4327" i="24"/>
  <c r="D4326" i="24"/>
  <c r="D4325" i="24"/>
  <c r="D4324" i="24"/>
  <c r="D4323" i="24"/>
  <c r="D4322" i="24"/>
  <c r="D4321" i="24"/>
  <c r="D4320" i="24"/>
  <c r="D4319" i="24"/>
  <c r="D4318" i="24"/>
  <c r="D4317" i="24"/>
  <c r="D4316" i="24"/>
  <c r="D4315" i="24"/>
  <c r="D4314" i="24"/>
  <c r="D4313" i="24"/>
  <c r="D4312" i="24"/>
  <c r="D4311" i="24"/>
  <c r="D4310" i="24"/>
  <c r="D4309" i="24"/>
  <c r="D4308" i="24"/>
  <c r="D4307" i="24"/>
  <c r="D4306" i="24"/>
  <c r="D4305" i="24"/>
  <c r="D4304" i="24"/>
  <c r="D4303" i="24"/>
  <c r="D4302" i="24"/>
  <c r="D4301" i="24"/>
  <c r="D4300" i="24"/>
  <c r="D4299" i="24"/>
  <c r="D4298" i="24"/>
  <c r="D4297" i="24"/>
  <c r="D4296" i="24"/>
  <c r="D4295" i="24"/>
  <c r="D4294" i="24"/>
  <c r="D4293" i="24"/>
  <c r="D4292" i="24"/>
  <c r="D4291" i="24"/>
  <c r="D4290" i="24"/>
  <c r="D4289" i="24"/>
  <c r="D4288" i="24"/>
  <c r="D4287" i="24"/>
  <c r="D4286" i="24"/>
  <c r="D4285" i="24"/>
  <c r="D4284" i="24"/>
  <c r="D4283" i="24"/>
  <c r="D4282" i="24"/>
  <c r="D4281" i="24"/>
  <c r="D4280" i="24"/>
  <c r="D4279" i="24"/>
  <c r="D4278" i="24"/>
  <c r="D4277" i="24"/>
  <c r="D4276" i="24"/>
  <c r="D4275" i="24"/>
  <c r="D4274" i="24"/>
  <c r="D4273" i="24"/>
  <c r="D4272" i="24"/>
  <c r="D4271" i="24"/>
  <c r="D4270" i="24"/>
  <c r="D4269" i="24"/>
  <c r="D4268" i="24"/>
  <c r="D4267" i="24"/>
  <c r="D4266" i="24"/>
  <c r="D4265" i="24"/>
  <c r="D4264" i="24"/>
  <c r="D4263" i="24"/>
  <c r="D4262" i="24"/>
  <c r="D4261" i="24"/>
  <c r="D4260" i="24"/>
  <c r="D4259" i="24"/>
  <c r="D4258" i="24"/>
  <c r="D4257" i="24"/>
  <c r="D4256" i="24"/>
  <c r="D4255" i="24"/>
  <c r="D4254" i="24"/>
  <c r="D4253" i="24"/>
  <c r="D4252" i="24"/>
  <c r="D4251" i="24"/>
  <c r="D4250" i="24"/>
  <c r="D4249" i="24"/>
  <c r="D4248" i="24"/>
  <c r="D4247" i="24"/>
  <c r="D4246" i="24"/>
  <c r="D4245" i="24"/>
  <c r="D4244" i="24"/>
  <c r="D4243" i="24"/>
  <c r="D4242" i="24"/>
  <c r="D4241" i="24"/>
  <c r="D4240" i="24"/>
  <c r="D4239" i="24"/>
  <c r="D4238" i="24"/>
  <c r="D4237" i="24"/>
  <c r="D4236" i="24"/>
  <c r="D4235" i="24"/>
  <c r="D4234" i="24"/>
  <c r="D4233" i="24"/>
  <c r="D4232" i="24"/>
  <c r="D4231" i="24"/>
  <c r="D4230" i="24"/>
  <c r="D4229" i="24"/>
  <c r="D4228" i="24"/>
  <c r="D4227" i="24"/>
  <c r="D4226" i="24"/>
  <c r="D4225" i="24"/>
  <c r="D4224" i="24"/>
  <c r="D4223" i="24"/>
  <c r="D4222" i="24"/>
  <c r="D4221" i="24"/>
  <c r="D4220" i="24"/>
  <c r="D4219" i="24"/>
  <c r="D4218" i="24"/>
  <c r="D4217" i="24"/>
  <c r="D4216" i="24"/>
  <c r="D4215" i="24"/>
  <c r="D4214" i="24"/>
  <c r="D4213" i="24"/>
  <c r="D4212" i="24"/>
  <c r="D4211" i="24"/>
  <c r="D4210" i="24"/>
  <c r="D4209" i="24"/>
  <c r="D4208" i="24"/>
  <c r="D4207" i="24"/>
  <c r="D4206" i="24"/>
  <c r="D4205" i="24"/>
  <c r="D4204" i="24"/>
  <c r="D4203" i="24"/>
  <c r="D4202" i="24"/>
  <c r="D4201" i="24"/>
  <c r="D4200" i="24"/>
  <c r="D4199" i="24"/>
  <c r="D4198" i="24"/>
  <c r="D4197" i="24"/>
  <c r="D4196" i="24"/>
  <c r="D4195" i="24"/>
  <c r="D4194" i="24"/>
  <c r="D4193" i="24"/>
  <c r="D4192" i="24"/>
  <c r="D4191" i="24"/>
  <c r="D4190" i="24"/>
  <c r="D4189" i="24"/>
  <c r="D4188" i="24"/>
  <c r="D4187" i="24"/>
  <c r="D4186" i="24"/>
  <c r="D4185" i="24"/>
  <c r="D4184" i="24"/>
  <c r="D4183" i="24"/>
  <c r="D4182" i="24"/>
  <c r="D4181" i="24"/>
  <c r="D4180" i="24"/>
  <c r="D4179" i="24"/>
  <c r="D4178" i="24"/>
  <c r="D4177" i="24"/>
  <c r="D4176" i="24"/>
  <c r="D4175" i="24"/>
  <c r="D4174" i="24"/>
  <c r="D4173" i="24"/>
  <c r="D4172" i="24"/>
  <c r="D4171" i="24"/>
  <c r="D4170" i="24"/>
  <c r="D4169" i="24"/>
  <c r="D4168" i="24"/>
  <c r="D4167" i="24"/>
  <c r="D4166" i="24"/>
  <c r="D4165" i="24"/>
  <c r="D4164" i="24"/>
  <c r="D4163" i="24"/>
  <c r="D4162" i="24"/>
  <c r="D4161" i="24"/>
  <c r="D4160" i="24"/>
  <c r="D4159" i="24"/>
  <c r="D4158" i="24"/>
  <c r="D4157" i="24"/>
  <c r="D4156" i="24"/>
  <c r="D4155" i="24"/>
  <c r="D4154" i="24"/>
  <c r="D4153" i="24"/>
  <c r="D4152" i="24"/>
  <c r="D4151" i="24"/>
  <c r="D4150" i="24"/>
  <c r="D4149" i="24"/>
  <c r="D4148" i="24"/>
  <c r="D4147" i="24"/>
  <c r="D4146" i="24"/>
  <c r="D4145" i="24"/>
  <c r="D4144" i="24"/>
  <c r="D4143" i="24"/>
  <c r="D4142" i="24"/>
  <c r="D4141" i="24"/>
  <c r="D4140" i="24"/>
  <c r="D4139" i="24"/>
  <c r="D4138" i="24"/>
  <c r="D4137" i="24"/>
  <c r="D4136" i="24"/>
  <c r="D4135" i="24"/>
  <c r="D4134" i="24"/>
  <c r="D4133" i="24"/>
  <c r="D4132" i="24"/>
  <c r="D4131" i="24"/>
  <c r="D4130" i="24"/>
  <c r="D4129" i="24"/>
  <c r="D4128" i="24"/>
  <c r="D4127" i="24"/>
  <c r="D4126" i="24"/>
  <c r="D4125" i="24"/>
  <c r="D4124" i="24"/>
  <c r="D4123" i="24"/>
  <c r="D4122" i="24"/>
  <c r="D4121" i="24"/>
  <c r="D4120" i="24"/>
  <c r="D4119" i="24"/>
  <c r="D4118" i="24"/>
  <c r="D4117" i="24"/>
  <c r="D4116" i="24"/>
  <c r="D4115" i="24"/>
  <c r="D4114" i="24"/>
  <c r="D4113" i="24"/>
  <c r="D4112" i="24"/>
  <c r="D4111" i="24"/>
  <c r="D4110" i="24"/>
  <c r="D4109" i="24"/>
  <c r="D4108" i="24"/>
  <c r="D4107" i="24"/>
  <c r="D4106" i="24"/>
  <c r="D4105" i="24"/>
  <c r="D4104" i="24"/>
  <c r="D4103" i="24"/>
  <c r="D4102" i="24"/>
  <c r="D4101" i="24"/>
  <c r="D4100" i="24"/>
  <c r="D4099" i="24"/>
  <c r="D4098" i="24"/>
  <c r="D4097" i="24"/>
  <c r="D4096" i="24"/>
  <c r="D4095" i="24"/>
  <c r="D4094" i="24"/>
  <c r="D4093" i="24"/>
  <c r="D4092" i="24"/>
  <c r="D4091" i="24"/>
  <c r="D4090" i="24"/>
  <c r="D4089" i="24"/>
  <c r="D4088" i="24"/>
  <c r="D4087" i="24"/>
  <c r="D4086" i="24"/>
  <c r="D4085" i="24"/>
  <c r="D4084" i="24"/>
  <c r="D4083" i="24"/>
  <c r="D4082" i="24"/>
  <c r="D4081" i="24"/>
  <c r="D4080" i="24"/>
  <c r="D4079" i="24"/>
  <c r="D4078" i="24"/>
  <c r="D4077" i="24"/>
  <c r="D4076" i="24"/>
  <c r="D4075" i="24"/>
  <c r="D4074" i="24"/>
  <c r="D4073" i="24"/>
  <c r="D4072" i="24"/>
  <c r="D4071" i="24"/>
  <c r="D4070" i="24"/>
  <c r="D4069" i="24"/>
  <c r="D4068" i="24"/>
  <c r="D4067" i="24"/>
  <c r="D4066" i="24"/>
  <c r="D4065" i="24"/>
  <c r="D4064" i="24"/>
  <c r="D4063" i="24"/>
  <c r="D4062" i="24"/>
  <c r="D4061" i="24"/>
  <c r="D4060" i="24"/>
  <c r="D4059" i="24"/>
  <c r="D4058" i="24"/>
  <c r="D4057" i="24"/>
  <c r="D4056" i="24"/>
  <c r="D4055" i="24"/>
  <c r="D4054" i="24"/>
  <c r="D4053" i="24"/>
  <c r="D4052" i="24"/>
  <c r="D4051" i="24"/>
  <c r="D4050" i="24"/>
  <c r="D4049" i="24"/>
  <c r="D4048" i="24"/>
  <c r="D4047" i="24"/>
  <c r="D4046" i="24"/>
  <c r="D4045" i="24"/>
  <c r="D4044" i="24"/>
  <c r="D4043" i="24"/>
  <c r="D4042" i="24"/>
  <c r="D4041" i="24"/>
  <c r="D4040" i="24"/>
  <c r="D4039" i="24"/>
  <c r="D4038" i="24"/>
  <c r="D4037" i="24"/>
  <c r="D4036" i="24"/>
  <c r="D4035" i="24"/>
  <c r="D4034" i="24"/>
  <c r="D4033" i="24"/>
  <c r="D4032" i="24"/>
  <c r="D4031" i="24"/>
  <c r="D4030" i="24"/>
  <c r="D4029" i="24"/>
  <c r="D4028" i="24"/>
  <c r="D4027" i="24"/>
  <c r="D4026" i="24"/>
  <c r="D4025" i="24"/>
  <c r="D4024" i="24"/>
  <c r="D4023" i="24"/>
  <c r="D4022" i="24"/>
  <c r="D4021" i="24"/>
  <c r="D4020" i="24"/>
  <c r="D4019" i="24"/>
  <c r="D4018" i="24"/>
  <c r="D4017" i="24"/>
  <c r="D4016" i="24"/>
  <c r="D4015" i="24"/>
  <c r="D4014" i="24"/>
  <c r="D4013" i="24"/>
  <c r="D4012" i="24"/>
  <c r="D4011" i="24"/>
  <c r="D4010" i="24"/>
  <c r="D4009" i="24"/>
  <c r="D4008" i="24"/>
  <c r="D4007" i="24"/>
  <c r="D4006" i="24"/>
  <c r="D4005" i="24"/>
  <c r="D4004" i="24"/>
  <c r="D4003" i="24"/>
  <c r="D4002" i="24"/>
  <c r="D4001" i="24"/>
  <c r="D4000" i="24"/>
  <c r="D3999" i="24"/>
  <c r="D3998" i="24"/>
  <c r="D3997" i="24"/>
  <c r="D3996" i="24"/>
  <c r="D3995" i="24"/>
  <c r="D3994" i="24"/>
  <c r="D3993" i="24"/>
  <c r="D3992" i="24"/>
  <c r="D3991" i="24"/>
  <c r="D3990" i="24"/>
  <c r="D3989" i="24"/>
  <c r="D3988" i="24"/>
  <c r="D3987" i="24"/>
  <c r="D3986" i="24"/>
  <c r="D3985" i="24"/>
  <c r="D3984" i="24"/>
  <c r="D3983" i="24"/>
  <c r="D3982" i="24"/>
  <c r="D3981" i="24"/>
  <c r="D3980" i="24"/>
  <c r="D3979" i="24"/>
  <c r="D3978" i="24"/>
  <c r="D3977" i="24"/>
  <c r="D3976" i="24"/>
  <c r="D3975" i="24"/>
  <c r="D3974" i="24"/>
  <c r="D3973" i="24"/>
  <c r="D3972" i="24"/>
  <c r="D3971" i="24"/>
  <c r="D3970" i="24"/>
  <c r="D3969" i="24"/>
  <c r="D3968" i="24"/>
  <c r="D3967" i="24"/>
  <c r="D3966" i="24"/>
  <c r="D3965" i="24"/>
  <c r="D3964" i="24"/>
  <c r="D3963" i="24"/>
  <c r="D3962" i="24"/>
  <c r="D3961" i="24"/>
  <c r="D3960" i="24"/>
  <c r="D3959" i="24"/>
  <c r="D3958" i="24"/>
  <c r="D3957" i="24"/>
  <c r="D3956" i="24"/>
  <c r="D3955" i="24"/>
  <c r="D3954" i="24"/>
  <c r="D3953" i="24"/>
  <c r="D3952" i="24"/>
  <c r="D3951" i="24"/>
  <c r="D3950" i="24"/>
  <c r="D3949" i="24"/>
  <c r="D3948" i="24"/>
  <c r="D3947" i="24"/>
  <c r="D3946" i="24"/>
  <c r="D3945" i="24"/>
  <c r="D3944" i="24"/>
  <c r="D3943" i="24"/>
  <c r="D3942" i="24"/>
  <c r="D3941" i="24"/>
  <c r="D3940" i="24"/>
  <c r="D3939" i="24"/>
  <c r="D3938" i="24"/>
  <c r="D3937" i="24"/>
  <c r="D3936" i="24"/>
  <c r="D3935" i="24"/>
  <c r="D3934" i="24"/>
  <c r="D3933" i="24"/>
  <c r="D3932" i="24"/>
  <c r="D3931" i="24"/>
  <c r="D3930" i="24"/>
  <c r="D3929" i="24"/>
  <c r="D3928" i="24"/>
  <c r="D3927" i="24"/>
  <c r="D3926" i="24"/>
  <c r="D3925" i="24"/>
  <c r="D3924" i="24"/>
  <c r="D3923" i="24"/>
  <c r="D3922" i="24"/>
  <c r="D3921" i="24"/>
  <c r="D3920" i="24"/>
  <c r="D3919" i="24"/>
  <c r="D3918" i="24"/>
  <c r="D3917" i="24"/>
  <c r="D3916" i="24"/>
  <c r="D3915" i="24"/>
  <c r="D3914" i="24"/>
  <c r="D3913" i="24"/>
  <c r="D3912" i="24"/>
  <c r="D3911" i="24"/>
  <c r="D3910" i="24"/>
  <c r="D3909" i="24"/>
  <c r="D3908" i="24"/>
  <c r="D3907" i="24"/>
  <c r="D3906" i="24"/>
  <c r="D3905" i="24"/>
  <c r="D3904" i="24"/>
  <c r="D3903" i="24"/>
  <c r="D3902" i="24"/>
  <c r="D3901" i="24"/>
  <c r="D3900" i="24"/>
  <c r="D3899" i="24"/>
  <c r="D3898" i="24"/>
  <c r="D3897" i="24"/>
  <c r="D3896" i="24"/>
  <c r="D3895" i="24"/>
  <c r="D3894" i="24"/>
  <c r="D3893" i="24"/>
  <c r="D3892" i="24"/>
  <c r="D3891" i="24"/>
  <c r="D3890" i="24"/>
  <c r="D3889" i="24"/>
  <c r="D3888" i="24"/>
  <c r="D3887" i="24"/>
  <c r="D3886" i="24"/>
  <c r="D3885" i="24"/>
  <c r="D3884" i="24"/>
  <c r="D3883" i="24"/>
  <c r="D3882" i="24"/>
  <c r="D3881" i="24"/>
  <c r="D3880" i="24"/>
  <c r="D3879" i="24"/>
  <c r="D3878" i="24"/>
  <c r="D3877" i="24"/>
  <c r="D3876" i="24"/>
  <c r="D3875" i="24"/>
  <c r="D3874" i="24"/>
  <c r="D3873" i="24"/>
  <c r="D3872" i="24"/>
  <c r="D3871" i="24"/>
  <c r="D3870" i="24"/>
  <c r="D3869" i="24"/>
  <c r="D3868" i="24"/>
  <c r="D3867" i="24"/>
  <c r="D3866" i="24"/>
  <c r="D3865" i="24"/>
  <c r="D3864" i="24"/>
  <c r="D3863" i="24"/>
  <c r="D3862" i="24"/>
  <c r="D3861" i="24"/>
  <c r="D3860" i="24"/>
  <c r="D3859" i="24"/>
  <c r="D3858" i="24"/>
  <c r="D3857" i="24"/>
  <c r="D3856" i="24"/>
  <c r="D3855" i="24"/>
  <c r="D3854" i="24"/>
  <c r="D3853" i="24"/>
  <c r="D3852" i="24"/>
  <c r="D3851" i="24"/>
  <c r="D3850" i="24"/>
  <c r="D3849" i="24"/>
  <c r="D3848" i="24"/>
  <c r="D3847" i="24"/>
  <c r="D3846" i="24"/>
  <c r="D3845" i="24"/>
  <c r="D3844" i="24"/>
  <c r="D3843" i="24"/>
  <c r="D3842" i="24"/>
  <c r="D3841" i="24"/>
  <c r="D3840" i="24"/>
  <c r="D3839" i="24"/>
  <c r="D3838" i="24"/>
  <c r="D3837" i="24"/>
  <c r="D3836" i="24"/>
  <c r="D3835" i="24"/>
  <c r="D3834" i="24"/>
  <c r="D3833" i="24"/>
  <c r="D3832" i="24"/>
  <c r="D3831" i="24"/>
  <c r="D3830" i="24"/>
  <c r="D3829" i="24"/>
  <c r="D3828" i="24"/>
  <c r="D3827" i="24"/>
  <c r="D3826" i="24"/>
  <c r="D3825" i="24"/>
  <c r="D3824" i="24"/>
  <c r="D3823" i="24"/>
  <c r="D3822" i="24"/>
  <c r="D3821" i="24"/>
  <c r="D3820" i="24"/>
  <c r="D3819" i="24"/>
  <c r="D3818" i="24"/>
  <c r="D3817" i="24"/>
  <c r="D3816" i="24"/>
  <c r="D3815" i="24"/>
  <c r="D3814" i="24"/>
  <c r="D3813" i="24"/>
  <c r="D3812" i="24"/>
  <c r="D3811" i="24"/>
  <c r="D3810" i="24"/>
  <c r="D3809" i="24"/>
  <c r="D3808" i="24"/>
  <c r="D3807" i="24"/>
  <c r="D3806" i="24"/>
  <c r="D3805" i="24"/>
  <c r="D3804" i="24"/>
  <c r="D3803" i="24"/>
  <c r="D3802" i="24"/>
  <c r="D3801" i="24"/>
  <c r="D3800" i="24"/>
  <c r="D3799" i="24"/>
  <c r="D3798" i="24"/>
  <c r="D3797" i="24"/>
  <c r="D3796" i="24"/>
  <c r="D3795" i="24"/>
  <c r="D3794" i="24"/>
  <c r="D3793" i="24"/>
  <c r="D3792" i="24"/>
  <c r="D3791" i="24"/>
  <c r="D3790" i="24"/>
  <c r="D3789" i="24"/>
  <c r="D3788" i="24"/>
  <c r="D3787" i="24"/>
  <c r="D3786" i="24"/>
  <c r="D3785" i="24"/>
  <c r="D3784" i="24"/>
  <c r="D3783" i="24"/>
  <c r="D3782" i="24"/>
  <c r="D3781" i="24"/>
  <c r="D3780" i="24"/>
  <c r="D3779" i="24"/>
  <c r="D3778" i="24"/>
  <c r="D3777" i="24"/>
  <c r="D3776" i="24"/>
  <c r="D3775" i="24"/>
  <c r="D3774" i="24"/>
  <c r="D3773" i="24"/>
  <c r="D3772" i="24"/>
  <c r="D3771" i="24"/>
  <c r="D3770" i="24"/>
  <c r="D3769" i="24"/>
  <c r="D3768" i="24"/>
  <c r="D3767" i="24"/>
  <c r="D3766" i="24"/>
  <c r="D3765" i="24"/>
  <c r="D3764" i="24"/>
  <c r="D3763" i="24"/>
  <c r="D3762" i="24"/>
  <c r="D3761" i="24"/>
  <c r="D3760" i="24"/>
  <c r="D3759" i="24"/>
  <c r="D3758" i="24"/>
  <c r="D3757" i="24"/>
  <c r="D3756" i="24"/>
  <c r="D3755" i="24"/>
  <c r="D3754" i="24"/>
  <c r="D3753" i="24"/>
  <c r="D3752" i="24"/>
  <c r="D3751" i="24"/>
  <c r="D3750" i="24"/>
  <c r="D3749" i="24"/>
  <c r="D3748" i="24"/>
  <c r="D3747" i="24"/>
  <c r="D3746" i="24"/>
  <c r="D3745" i="24"/>
  <c r="D3744" i="24"/>
  <c r="D3743" i="24"/>
  <c r="D3742" i="24"/>
  <c r="D3741" i="24"/>
  <c r="D3740" i="24"/>
  <c r="D3739" i="24"/>
  <c r="D3738" i="24"/>
  <c r="D3737" i="24"/>
  <c r="D3736" i="24"/>
  <c r="D3735" i="24"/>
  <c r="D3734" i="24"/>
  <c r="D3733" i="24"/>
  <c r="D3732" i="24"/>
  <c r="D3731" i="24"/>
  <c r="D3730" i="24"/>
  <c r="D3729" i="24"/>
  <c r="D3728" i="24"/>
  <c r="D3727" i="24"/>
  <c r="D3726" i="24"/>
  <c r="D3725" i="24"/>
  <c r="D3724" i="24"/>
  <c r="D3723" i="24"/>
  <c r="D3722" i="24"/>
  <c r="D3721" i="24"/>
  <c r="D3720" i="24"/>
  <c r="D3719" i="24"/>
  <c r="D3718" i="24"/>
  <c r="D3717" i="24"/>
  <c r="D3716" i="24"/>
  <c r="D3715" i="24"/>
  <c r="D3714" i="24"/>
  <c r="D3713" i="24"/>
  <c r="D3712" i="24"/>
  <c r="D3711" i="24"/>
  <c r="D3710" i="24"/>
  <c r="D3709" i="24"/>
  <c r="D3708" i="24"/>
  <c r="D3707" i="24"/>
  <c r="D3706" i="24"/>
  <c r="D3705" i="24"/>
  <c r="D3704" i="24"/>
  <c r="D3703" i="24"/>
  <c r="D3702" i="24"/>
  <c r="D3701" i="24"/>
  <c r="D3700" i="24"/>
  <c r="D3699" i="24"/>
  <c r="D3698" i="24"/>
  <c r="D3697" i="24"/>
  <c r="D3696" i="24"/>
  <c r="D3695" i="24"/>
  <c r="D3694" i="24"/>
  <c r="D3693" i="24"/>
  <c r="D3692" i="24"/>
  <c r="D3691" i="24"/>
  <c r="D3690" i="24"/>
  <c r="D3689" i="24"/>
  <c r="D3688" i="24"/>
  <c r="D3687" i="24"/>
  <c r="D3686" i="24"/>
  <c r="D3685" i="24"/>
  <c r="D3684" i="24"/>
  <c r="D3683" i="24"/>
  <c r="D3682" i="24"/>
  <c r="D3681" i="24"/>
  <c r="D3680" i="24"/>
  <c r="D3679" i="24"/>
  <c r="D3678" i="24"/>
  <c r="D3677" i="24"/>
  <c r="D3676" i="24"/>
  <c r="D3675" i="24"/>
  <c r="D3674" i="24"/>
  <c r="D3673" i="24"/>
  <c r="D3672" i="24"/>
  <c r="D3671" i="24"/>
  <c r="D3670" i="24"/>
  <c r="D3669" i="24"/>
  <c r="D3668" i="24"/>
  <c r="D3667" i="24"/>
  <c r="D3666" i="24"/>
  <c r="D3665" i="24"/>
  <c r="D3664" i="24"/>
  <c r="D3663" i="24"/>
  <c r="D3662" i="24"/>
  <c r="D3661" i="24"/>
  <c r="D3660" i="24"/>
  <c r="D3659" i="24"/>
  <c r="D3658" i="24"/>
  <c r="D3657" i="24"/>
  <c r="D3656" i="24"/>
  <c r="D3655" i="24"/>
  <c r="D3654" i="24"/>
  <c r="D3653" i="24"/>
  <c r="D3652" i="24"/>
  <c r="D3651" i="24"/>
  <c r="D3650" i="24"/>
  <c r="D3649" i="24"/>
  <c r="D3648" i="24"/>
  <c r="D3647" i="24"/>
  <c r="D3646" i="24"/>
  <c r="D3645" i="24"/>
  <c r="D3644" i="24"/>
  <c r="D3643" i="24"/>
  <c r="D3642" i="24"/>
  <c r="D3641" i="24"/>
  <c r="D3640" i="24"/>
  <c r="D3639" i="24"/>
  <c r="D3638" i="24"/>
  <c r="D3637" i="24"/>
  <c r="D3636" i="24"/>
  <c r="D3635" i="24"/>
  <c r="D3634" i="24"/>
  <c r="D3633" i="24"/>
  <c r="D3632" i="24"/>
  <c r="D3631" i="24"/>
  <c r="D3630" i="24"/>
  <c r="D3629" i="24"/>
  <c r="D3628" i="24"/>
  <c r="D3627" i="24"/>
  <c r="D3626" i="24"/>
  <c r="D3625" i="24"/>
  <c r="D3624" i="24"/>
  <c r="D3623" i="24"/>
  <c r="D3622" i="24"/>
  <c r="D3621" i="24"/>
  <c r="D3620" i="24"/>
  <c r="D3619" i="24"/>
  <c r="D3618" i="24"/>
  <c r="D3617" i="24"/>
  <c r="D3616" i="24"/>
  <c r="D3615" i="24"/>
  <c r="D3614" i="24"/>
  <c r="D3613" i="24"/>
  <c r="D3612" i="24"/>
  <c r="D3611" i="24"/>
  <c r="D3610" i="24"/>
  <c r="D3609" i="24"/>
  <c r="D3608" i="24"/>
  <c r="D3607" i="24"/>
  <c r="D3606" i="24"/>
  <c r="D3605" i="24"/>
  <c r="D3604" i="24"/>
  <c r="D3603" i="24"/>
  <c r="D3602" i="24"/>
  <c r="D3601" i="24"/>
  <c r="D3600" i="24"/>
  <c r="D3599" i="24"/>
  <c r="D3598" i="24"/>
  <c r="D3597" i="24"/>
  <c r="D3596" i="24"/>
  <c r="D3595" i="24"/>
  <c r="D3594" i="24"/>
  <c r="D3593" i="24"/>
  <c r="D3592" i="24"/>
  <c r="D3591" i="24"/>
  <c r="D3590" i="24"/>
  <c r="D3589" i="24"/>
  <c r="D3588" i="24"/>
  <c r="D3587" i="24"/>
  <c r="D3586" i="24"/>
  <c r="D3585" i="24"/>
  <c r="D3584" i="24"/>
  <c r="D3583" i="24"/>
  <c r="D3582" i="24"/>
  <c r="D3581" i="24"/>
  <c r="D3580" i="24"/>
  <c r="D3579" i="24"/>
  <c r="D3578" i="24"/>
  <c r="D3577" i="24"/>
  <c r="D3576" i="24"/>
  <c r="D3575" i="24"/>
  <c r="D3574" i="24"/>
  <c r="D3573" i="24"/>
  <c r="D3572" i="24"/>
  <c r="D3571" i="24"/>
  <c r="D3570" i="24"/>
  <c r="D3569" i="24"/>
  <c r="D3568" i="24"/>
  <c r="D3567" i="24"/>
  <c r="D3566" i="24"/>
  <c r="D3565" i="24"/>
  <c r="D3564" i="24"/>
  <c r="D3563" i="24"/>
  <c r="D3562" i="24"/>
  <c r="D3561" i="24"/>
  <c r="D3560" i="24"/>
  <c r="D3559" i="24"/>
  <c r="D3558" i="24"/>
  <c r="D3557" i="24"/>
  <c r="D3556" i="24"/>
  <c r="D3555" i="24"/>
  <c r="D3554" i="24"/>
  <c r="D3553" i="24"/>
  <c r="D3552" i="24"/>
  <c r="D3551" i="24"/>
  <c r="D3550" i="24"/>
  <c r="D3549" i="24"/>
  <c r="D3548" i="24"/>
  <c r="D3547" i="24"/>
  <c r="D3546" i="24"/>
  <c r="D3545" i="24"/>
  <c r="D3544" i="24"/>
  <c r="D3543" i="24"/>
  <c r="D3542" i="24"/>
  <c r="D3541" i="24"/>
  <c r="D3540" i="24"/>
  <c r="D3539" i="24"/>
  <c r="D3538" i="24"/>
  <c r="D3537" i="24"/>
  <c r="D3536" i="24"/>
  <c r="D3535" i="24"/>
  <c r="D3534" i="24"/>
  <c r="D3533" i="24"/>
  <c r="D3532" i="24"/>
  <c r="D3531" i="24"/>
  <c r="D3530" i="24"/>
  <c r="D3529" i="24"/>
  <c r="D3528" i="24"/>
  <c r="D3527" i="24"/>
  <c r="D3526" i="24"/>
  <c r="D3525" i="24"/>
  <c r="D3524" i="24"/>
  <c r="D3523" i="24"/>
  <c r="D3522" i="24"/>
  <c r="D3521" i="24"/>
  <c r="D3520" i="24"/>
  <c r="D3519" i="24"/>
  <c r="D3518" i="24"/>
  <c r="D3517" i="24"/>
  <c r="D3516" i="24"/>
  <c r="D3515" i="24"/>
  <c r="D3514" i="24"/>
  <c r="D3513" i="24"/>
  <c r="D3512" i="24"/>
  <c r="D3511" i="24"/>
  <c r="D3510" i="24"/>
  <c r="D3509" i="24"/>
  <c r="D3508" i="24"/>
  <c r="D3507" i="24"/>
  <c r="D3506" i="24"/>
  <c r="D3505" i="24"/>
  <c r="D3504" i="24"/>
  <c r="D3503" i="24"/>
  <c r="D3502" i="24"/>
  <c r="D3501" i="24"/>
  <c r="D3500" i="24"/>
  <c r="D3499" i="24"/>
  <c r="D3498" i="24"/>
  <c r="D3497" i="24"/>
  <c r="D3496" i="24"/>
  <c r="D3495" i="24"/>
  <c r="D3494" i="24"/>
  <c r="D3493" i="24"/>
  <c r="D3492" i="24"/>
  <c r="D3491" i="24"/>
  <c r="D3490" i="24"/>
  <c r="D3489" i="24"/>
  <c r="D3488" i="24"/>
  <c r="D3487" i="24"/>
  <c r="D3486" i="24"/>
  <c r="D3485" i="24"/>
  <c r="D3484" i="24"/>
  <c r="D3483" i="24"/>
  <c r="D3482" i="24"/>
  <c r="D3481" i="24"/>
  <c r="D3480" i="24"/>
  <c r="D3479" i="24"/>
  <c r="D3478" i="24"/>
  <c r="D3477" i="24"/>
  <c r="D3476" i="24"/>
  <c r="D3475" i="24"/>
  <c r="D3474" i="24"/>
  <c r="D3473" i="24"/>
  <c r="D3472" i="24"/>
  <c r="D3471" i="24"/>
  <c r="D3470" i="24"/>
  <c r="D3469" i="24"/>
  <c r="D3468" i="24"/>
  <c r="D3467" i="24"/>
  <c r="D3466" i="24"/>
  <c r="D3465" i="24"/>
  <c r="D3464" i="24"/>
  <c r="D3463" i="24"/>
  <c r="D3462" i="24"/>
  <c r="D3461" i="24"/>
  <c r="D3460" i="24"/>
  <c r="D3459" i="24"/>
  <c r="D3458" i="24"/>
  <c r="D3457" i="24"/>
  <c r="D3456" i="24"/>
  <c r="D3455" i="24"/>
  <c r="D3454" i="24"/>
  <c r="D3453" i="24"/>
  <c r="D3452" i="24"/>
  <c r="D3451" i="24"/>
  <c r="D3450" i="24"/>
  <c r="D3449" i="24"/>
  <c r="D3448" i="24"/>
  <c r="D3447" i="24"/>
  <c r="D3446" i="24"/>
  <c r="D3445" i="24"/>
  <c r="D3444" i="24"/>
  <c r="D3443" i="24"/>
  <c r="D3442" i="24"/>
  <c r="D3441" i="24"/>
  <c r="D3440" i="24"/>
  <c r="D3439" i="24"/>
  <c r="D3438" i="24"/>
  <c r="D3437" i="24"/>
  <c r="D3436" i="24"/>
  <c r="D3435" i="24"/>
  <c r="D3434" i="24"/>
  <c r="D3433" i="24"/>
  <c r="D3432" i="24"/>
  <c r="D3431" i="24"/>
  <c r="D3430" i="24"/>
  <c r="D3429" i="24"/>
  <c r="D3428" i="24"/>
  <c r="D3427" i="24"/>
  <c r="D3426" i="24"/>
  <c r="D3425" i="24"/>
  <c r="D3424" i="24"/>
  <c r="D3423" i="24"/>
  <c r="D3422" i="24"/>
  <c r="D3421" i="24"/>
  <c r="D3420" i="24"/>
  <c r="D3419" i="24"/>
  <c r="D3418" i="24"/>
  <c r="D3417" i="24"/>
  <c r="D3416" i="24"/>
  <c r="D3415" i="24"/>
  <c r="D3414" i="24"/>
  <c r="D3413" i="24"/>
  <c r="D3412" i="24"/>
  <c r="D3411" i="24"/>
  <c r="D3410" i="24"/>
  <c r="D3409" i="24"/>
  <c r="D3408" i="24"/>
  <c r="D3407" i="24"/>
  <c r="D3406" i="24"/>
  <c r="D3405" i="24"/>
  <c r="D3404" i="24"/>
  <c r="D3403" i="24"/>
  <c r="D3402" i="24"/>
  <c r="D3401" i="24"/>
  <c r="D3400" i="24"/>
  <c r="D3399" i="24"/>
  <c r="D3398" i="24"/>
  <c r="D3397" i="24"/>
  <c r="D3396" i="24"/>
  <c r="D3395" i="24"/>
  <c r="D3394" i="24"/>
  <c r="D3393" i="24"/>
  <c r="D3392" i="24"/>
  <c r="D3391" i="24"/>
  <c r="D3390" i="24"/>
  <c r="D3389" i="24"/>
  <c r="D3388" i="24"/>
  <c r="D3387" i="24"/>
  <c r="D3386" i="24"/>
  <c r="D3385" i="24"/>
  <c r="D3384" i="24"/>
  <c r="D3383" i="24"/>
  <c r="D3382" i="24"/>
  <c r="D3381" i="24"/>
  <c r="D3380" i="24"/>
  <c r="D3379" i="24"/>
  <c r="D3378" i="24"/>
  <c r="D3377" i="24"/>
  <c r="D3376" i="24"/>
  <c r="D3375" i="24"/>
  <c r="D3374" i="24"/>
  <c r="D3373" i="24"/>
  <c r="D3372" i="24"/>
  <c r="D3371" i="24"/>
  <c r="D3370" i="24"/>
  <c r="D3369" i="24"/>
  <c r="D3368" i="24"/>
  <c r="D3367" i="24"/>
  <c r="D3366" i="24"/>
  <c r="D3365" i="24"/>
  <c r="D3364" i="24"/>
  <c r="D3363" i="24"/>
  <c r="D3362" i="24"/>
  <c r="D3361" i="24"/>
  <c r="D3360" i="24"/>
  <c r="D3359" i="24"/>
  <c r="D3358" i="24"/>
  <c r="D3357" i="24"/>
  <c r="D3356" i="24"/>
  <c r="D3355" i="24"/>
  <c r="D3354" i="24"/>
  <c r="D3353" i="24"/>
  <c r="D3352" i="24"/>
  <c r="D3351" i="24"/>
  <c r="D3350" i="24"/>
  <c r="D3349" i="24"/>
  <c r="D3348" i="24"/>
  <c r="D3347" i="24"/>
  <c r="D3346" i="24"/>
  <c r="D3345" i="24"/>
  <c r="D3344" i="24"/>
  <c r="D3343" i="24"/>
  <c r="D3342" i="24"/>
  <c r="D3341" i="24"/>
  <c r="D3340" i="24"/>
  <c r="D3339" i="24"/>
  <c r="D3338" i="24"/>
  <c r="D3337" i="24"/>
  <c r="D3336" i="24"/>
  <c r="D3335" i="24"/>
  <c r="D3334" i="24"/>
  <c r="D3333" i="24"/>
  <c r="D3332" i="24"/>
  <c r="D3331" i="24"/>
  <c r="D3330" i="24"/>
  <c r="D3329" i="24"/>
  <c r="D3328" i="24"/>
  <c r="D3327" i="24"/>
  <c r="D3326" i="24"/>
  <c r="D3325" i="24"/>
  <c r="D3324" i="24"/>
  <c r="D3323" i="24"/>
  <c r="D3322" i="24"/>
  <c r="D3321" i="24"/>
  <c r="D3320" i="24"/>
  <c r="D3319" i="24"/>
  <c r="D3318" i="24"/>
  <c r="D3317" i="24"/>
  <c r="D3316" i="24"/>
  <c r="D3315" i="24"/>
  <c r="D3314" i="24"/>
  <c r="D3313" i="24"/>
  <c r="D3312" i="24"/>
  <c r="D3311" i="24"/>
  <c r="D3310" i="24"/>
  <c r="D3309" i="24"/>
  <c r="D3308" i="24"/>
  <c r="D3307" i="24"/>
  <c r="D3306" i="24"/>
  <c r="D3305" i="24"/>
  <c r="D3304" i="24"/>
  <c r="D3303" i="24"/>
  <c r="D3302" i="24"/>
  <c r="D3301" i="24"/>
  <c r="D3300" i="24"/>
  <c r="D3299" i="24"/>
  <c r="D3298" i="24"/>
  <c r="D3297" i="24"/>
  <c r="D3296" i="24"/>
  <c r="D3295" i="24"/>
  <c r="D3294" i="24"/>
  <c r="D3293" i="24"/>
  <c r="D3292" i="24"/>
  <c r="D3291" i="24"/>
  <c r="D3290" i="24"/>
  <c r="D3289" i="24"/>
  <c r="D3288" i="24"/>
  <c r="D3287" i="24"/>
  <c r="D3286" i="24"/>
  <c r="D3285" i="24"/>
  <c r="D3284" i="24"/>
  <c r="D3283" i="24"/>
  <c r="D3282" i="24"/>
  <c r="D3281" i="24"/>
  <c r="D3280" i="24"/>
  <c r="D3279" i="24"/>
  <c r="D3278" i="24"/>
  <c r="D3277" i="24"/>
  <c r="D3276" i="24"/>
  <c r="D3275" i="24"/>
  <c r="D3274" i="24"/>
  <c r="D3273" i="24"/>
  <c r="D3272" i="24"/>
  <c r="D3271" i="24"/>
  <c r="D3270" i="24"/>
  <c r="D3269" i="24"/>
  <c r="D3268" i="24"/>
  <c r="D3267" i="24"/>
  <c r="D3266" i="24"/>
  <c r="D3265" i="24"/>
  <c r="D3264" i="24"/>
  <c r="D3263" i="24"/>
  <c r="D3262" i="24"/>
  <c r="D3261" i="24"/>
  <c r="D3260" i="24"/>
  <c r="D3259" i="24"/>
  <c r="D3258" i="24"/>
  <c r="D3257" i="24"/>
  <c r="D3256" i="24"/>
  <c r="D3255" i="24"/>
  <c r="D3254" i="24"/>
  <c r="D3253" i="24"/>
  <c r="D3252" i="24"/>
  <c r="D3251" i="24"/>
  <c r="D3250" i="24"/>
  <c r="D3249" i="24"/>
  <c r="D3248" i="24"/>
  <c r="D3247" i="24"/>
  <c r="D3246" i="24"/>
  <c r="D3245" i="24"/>
  <c r="D3244" i="24"/>
  <c r="D3243" i="24"/>
  <c r="D3242" i="24"/>
  <c r="D3241" i="24"/>
  <c r="D3240" i="24"/>
  <c r="D3239" i="24"/>
  <c r="D3238" i="24"/>
  <c r="D3237" i="24"/>
  <c r="D3236" i="24"/>
  <c r="D3235" i="24"/>
  <c r="D3234" i="24"/>
  <c r="D3233" i="24"/>
  <c r="D3232" i="24"/>
  <c r="D3231" i="24"/>
  <c r="D3230" i="24"/>
  <c r="D3229" i="24"/>
  <c r="D3228" i="24"/>
  <c r="D3227" i="24"/>
  <c r="D3226" i="24"/>
  <c r="D3225" i="24"/>
  <c r="D3224" i="24"/>
  <c r="D3223" i="24"/>
  <c r="D3222" i="24"/>
  <c r="D3221" i="24"/>
  <c r="D3220" i="24"/>
  <c r="D3219" i="24"/>
  <c r="D3218" i="24"/>
  <c r="D3217" i="24"/>
  <c r="D3216" i="24"/>
  <c r="D3215" i="24"/>
  <c r="D3214" i="24"/>
  <c r="D3213" i="24"/>
  <c r="D3212" i="24"/>
  <c r="D3211" i="24"/>
  <c r="D3210" i="24"/>
  <c r="D3209" i="24"/>
  <c r="D3208" i="24"/>
  <c r="D3207" i="24"/>
  <c r="D3206" i="24"/>
  <c r="D3205" i="24"/>
  <c r="D3204" i="24"/>
  <c r="D3203" i="24"/>
  <c r="D3202" i="24"/>
  <c r="D3201" i="24"/>
  <c r="D3200" i="24"/>
  <c r="D3199" i="24"/>
  <c r="D3198" i="24"/>
  <c r="D3197" i="24"/>
  <c r="D3196" i="24"/>
  <c r="D3195" i="24"/>
  <c r="D3194" i="24"/>
  <c r="D3193" i="24"/>
  <c r="D3192" i="24"/>
  <c r="D3191" i="24"/>
  <c r="D3190" i="24"/>
  <c r="D3189" i="24"/>
  <c r="D3188" i="24"/>
  <c r="D3187" i="24"/>
  <c r="D3186" i="24"/>
  <c r="D3185" i="24"/>
  <c r="D3184" i="24"/>
  <c r="D3183" i="24"/>
  <c r="D3182" i="24"/>
  <c r="D3181" i="24"/>
  <c r="D3180" i="24"/>
  <c r="D3179" i="24"/>
  <c r="D3178" i="24"/>
  <c r="D3177" i="24"/>
  <c r="D3176" i="24"/>
  <c r="D3175" i="24"/>
  <c r="D3174" i="24"/>
  <c r="D3173" i="24"/>
  <c r="D3172" i="24"/>
  <c r="D3171" i="24"/>
  <c r="D3170" i="24"/>
  <c r="D3169" i="24"/>
  <c r="D3168" i="24"/>
  <c r="D3167" i="24"/>
  <c r="D3166" i="24"/>
  <c r="D3165" i="24"/>
  <c r="D3164" i="24"/>
  <c r="D3163" i="24"/>
  <c r="D3162" i="24"/>
  <c r="D3161" i="24"/>
  <c r="D3160" i="24"/>
  <c r="D3159" i="24"/>
  <c r="D3158" i="24"/>
  <c r="D3157" i="24"/>
  <c r="D3156" i="24"/>
  <c r="D3155" i="24"/>
  <c r="D3154" i="24"/>
  <c r="D3153" i="24"/>
  <c r="D3152" i="24"/>
  <c r="D3151" i="24"/>
  <c r="D3150" i="24"/>
  <c r="D3149" i="24"/>
  <c r="D3148" i="24"/>
  <c r="D3147" i="24"/>
  <c r="D3146" i="24"/>
  <c r="D3145" i="24"/>
  <c r="D3144" i="24"/>
  <c r="D3143" i="24"/>
  <c r="D3142" i="24"/>
  <c r="D3141" i="24"/>
  <c r="D3140" i="24"/>
  <c r="D3139" i="24"/>
  <c r="D3138" i="24"/>
  <c r="D3137" i="24"/>
  <c r="D3136" i="24"/>
  <c r="D3135" i="24"/>
  <c r="D3134" i="24"/>
  <c r="D3133" i="24"/>
  <c r="D3132" i="24"/>
  <c r="D3131" i="24"/>
  <c r="D3130" i="24"/>
  <c r="D3129" i="24"/>
  <c r="D3128" i="24"/>
  <c r="D3127" i="24"/>
  <c r="D3126" i="24"/>
  <c r="D3125" i="24"/>
  <c r="D3124" i="24"/>
  <c r="D3123" i="24"/>
  <c r="D3122" i="24"/>
  <c r="D3121" i="24"/>
  <c r="D3120" i="24"/>
  <c r="D3119" i="24"/>
  <c r="D3118" i="24"/>
  <c r="D3117" i="24"/>
  <c r="D3116" i="24"/>
  <c r="D3115" i="24"/>
  <c r="D3114" i="24"/>
  <c r="D3113" i="24"/>
  <c r="D3112" i="24"/>
  <c r="D3111" i="24"/>
  <c r="D3110" i="24"/>
  <c r="D3109" i="24"/>
  <c r="D3108" i="24"/>
  <c r="D3107" i="24"/>
  <c r="D3106" i="24"/>
  <c r="D3105" i="24"/>
  <c r="D3104" i="24"/>
  <c r="D3103" i="24"/>
  <c r="D3102" i="24"/>
  <c r="D3101" i="24"/>
  <c r="D3100" i="24"/>
  <c r="D3099" i="24"/>
  <c r="D3098" i="24"/>
  <c r="D3097" i="24"/>
  <c r="D3096" i="24"/>
  <c r="D3095" i="24"/>
  <c r="D3094" i="24"/>
  <c r="D3093" i="24"/>
  <c r="D3092" i="24"/>
  <c r="D3091" i="24"/>
  <c r="D3090" i="24"/>
  <c r="D3089" i="24"/>
  <c r="D3088" i="24"/>
  <c r="D3087" i="24"/>
  <c r="D3086" i="24"/>
  <c r="D3085" i="24"/>
  <c r="D3084" i="24"/>
  <c r="D3083" i="24"/>
  <c r="D3082" i="24"/>
  <c r="D3081" i="24"/>
  <c r="D3080" i="24"/>
  <c r="D3079" i="24"/>
  <c r="D3078" i="24"/>
  <c r="D3077" i="24"/>
  <c r="D3076" i="24"/>
  <c r="D3075" i="24"/>
  <c r="D3074" i="24"/>
  <c r="D3073" i="24"/>
  <c r="D3072" i="24"/>
  <c r="D3071" i="24"/>
  <c r="D3070" i="24"/>
  <c r="D3069" i="24"/>
  <c r="D3068" i="24"/>
  <c r="D3067" i="24"/>
  <c r="D3066" i="24"/>
  <c r="D3065" i="24"/>
  <c r="D3064" i="24"/>
  <c r="D3063" i="24"/>
  <c r="D3062" i="24"/>
  <c r="D3061" i="24"/>
  <c r="D3060" i="24"/>
  <c r="D3059" i="24"/>
  <c r="D3058" i="24"/>
  <c r="D3057" i="24"/>
  <c r="D3056" i="24"/>
  <c r="D3055" i="24"/>
  <c r="D3054" i="24"/>
  <c r="D3053" i="24"/>
  <c r="D3052" i="24"/>
  <c r="D3051" i="24"/>
  <c r="D3050" i="24"/>
  <c r="D3049" i="24"/>
  <c r="D3048" i="24"/>
  <c r="D3047" i="24"/>
  <c r="D3046" i="24"/>
  <c r="D3045" i="24"/>
  <c r="D3044" i="24"/>
  <c r="D3043" i="24"/>
  <c r="D3042" i="24"/>
  <c r="D3041" i="24"/>
  <c r="D3040" i="24"/>
  <c r="D3039" i="24"/>
  <c r="D3038" i="24"/>
  <c r="D3037" i="24"/>
  <c r="D3036" i="24"/>
  <c r="D3035" i="24"/>
  <c r="D3034" i="24"/>
  <c r="D3033" i="24"/>
  <c r="D3032" i="24"/>
  <c r="D3031" i="24"/>
  <c r="D3030" i="24"/>
  <c r="D3029" i="24"/>
  <c r="D3028" i="24"/>
  <c r="D3027" i="24"/>
  <c r="D3026" i="24"/>
  <c r="D3025" i="24"/>
  <c r="D3024" i="24"/>
  <c r="D3023" i="24"/>
  <c r="D3022" i="24"/>
  <c r="D3021" i="24"/>
  <c r="D3020" i="24"/>
  <c r="D3019" i="24"/>
  <c r="D3018" i="24"/>
  <c r="D3017" i="24"/>
  <c r="D3016" i="24"/>
  <c r="D3015" i="24"/>
  <c r="D3014" i="24"/>
  <c r="D3013" i="24"/>
  <c r="D3012" i="24"/>
  <c r="D3011" i="24"/>
  <c r="D3010" i="24"/>
  <c r="D3009" i="24"/>
  <c r="D3008" i="24"/>
  <c r="D3007" i="24"/>
  <c r="D3006" i="24"/>
  <c r="D3005" i="24"/>
  <c r="D3004" i="24"/>
  <c r="D3003" i="24"/>
  <c r="D3002" i="24"/>
  <c r="D3001" i="24"/>
  <c r="D3000" i="24"/>
  <c r="D2999" i="24"/>
  <c r="D2998" i="24"/>
  <c r="D2997" i="24"/>
  <c r="D2996" i="24"/>
  <c r="D2995" i="24"/>
  <c r="D2994" i="24"/>
  <c r="D2993" i="24"/>
  <c r="D2992" i="24"/>
  <c r="D2991" i="24"/>
  <c r="D2990" i="24"/>
  <c r="D2989" i="24"/>
  <c r="D2988" i="24"/>
  <c r="D2987" i="24"/>
  <c r="D2986" i="24"/>
  <c r="D2985" i="24"/>
  <c r="D2984" i="24"/>
  <c r="D2983" i="24"/>
  <c r="D2982" i="24"/>
  <c r="D2981" i="24"/>
  <c r="D2980" i="24"/>
  <c r="D2979" i="24"/>
  <c r="D2978" i="24"/>
  <c r="D2977" i="24"/>
  <c r="D2976" i="24"/>
  <c r="D2975" i="24"/>
  <c r="D2974" i="24"/>
  <c r="D2973" i="24"/>
  <c r="D2972" i="24"/>
  <c r="D2971" i="24"/>
  <c r="D2970" i="24"/>
  <c r="D2969" i="24"/>
  <c r="D2968" i="24"/>
  <c r="D2967" i="24"/>
  <c r="D2966" i="24"/>
  <c r="D2965" i="24"/>
  <c r="D2964" i="24"/>
  <c r="D2963" i="24"/>
  <c r="D2962" i="24"/>
  <c r="D2961" i="24"/>
  <c r="D2960" i="24"/>
  <c r="D2959" i="24"/>
  <c r="D2958" i="24"/>
  <c r="D2957" i="24"/>
  <c r="D2956" i="24"/>
  <c r="D2955" i="24"/>
  <c r="D2954" i="24"/>
  <c r="D2953" i="24"/>
  <c r="D2952" i="24"/>
  <c r="D2951" i="24"/>
  <c r="D2950" i="24"/>
  <c r="D2949" i="24"/>
  <c r="D2948" i="24"/>
  <c r="D2947" i="24"/>
  <c r="D2946" i="24"/>
  <c r="D2945" i="24"/>
  <c r="D2944" i="24"/>
  <c r="D2943" i="24"/>
  <c r="D2942" i="24"/>
  <c r="D2941" i="24"/>
  <c r="D2940" i="24"/>
  <c r="D2939" i="24"/>
  <c r="D2938" i="24"/>
  <c r="D2937" i="24"/>
  <c r="D2936" i="24"/>
  <c r="D2935" i="24"/>
  <c r="D2934" i="24"/>
  <c r="D2933" i="24"/>
  <c r="D2932" i="24"/>
  <c r="D2931" i="24"/>
  <c r="D2930" i="24"/>
  <c r="D2929" i="24"/>
  <c r="D2928" i="24"/>
  <c r="D2927" i="24"/>
  <c r="D2926" i="24"/>
  <c r="D2925" i="24"/>
  <c r="D2924" i="24"/>
  <c r="D2923" i="24"/>
  <c r="D2922" i="24"/>
  <c r="D2921" i="24"/>
  <c r="D2920" i="24"/>
  <c r="D2919" i="24"/>
  <c r="D2918" i="24"/>
  <c r="D2917" i="24"/>
  <c r="D2916" i="24"/>
  <c r="D2915" i="24"/>
  <c r="D2914" i="24"/>
  <c r="D2913" i="24"/>
  <c r="D2912" i="24"/>
  <c r="D2911" i="24"/>
  <c r="D2910" i="24"/>
  <c r="D2909" i="24"/>
  <c r="D2908" i="24"/>
  <c r="D2907" i="24"/>
  <c r="D2906" i="24"/>
  <c r="D2905" i="24"/>
  <c r="D2904" i="24"/>
  <c r="D2903" i="24"/>
  <c r="D2902" i="24"/>
  <c r="D2901" i="24"/>
  <c r="D2900" i="24"/>
  <c r="D2899" i="24"/>
  <c r="D2898" i="24"/>
  <c r="D2897" i="24"/>
  <c r="D2896" i="24"/>
  <c r="D2895" i="24"/>
  <c r="D2894" i="24"/>
  <c r="D2893" i="24"/>
  <c r="D2892" i="24"/>
  <c r="D2891" i="24"/>
  <c r="D2890" i="24"/>
  <c r="D2889" i="24"/>
  <c r="D2888" i="24"/>
  <c r="D2887" i="24"/>
  <c r="D2886" i="24"/>
  <c r="D2885" i="24"/>
  <c r="D2884" i="24"/>
  <c r="D2883" i="24"/>
  <c r="D2882" i="24"/>
  <c r="D2881" i="24"/>
  <c r="D2880" i="24"/>
  <c r="D2879" i="24"/>
  <c r="D2878" i="24"/>
  <c r="D2877" i="24"/>
  <c r="D2876" i="24"/>
  <c r="D2875" i="24"/>
  <c r="D2874" i="24"/>
  <c r="D2873" i="24"/>
  <c r="D2872" i="24"/>
  <c r="D2871" i="24"/>
  <c r="D2870" i="24"/>
  <c r="D2869" i="24"/>
  <c r="D2868" i="24"/>
  <c r="D2867" i="24"/>
  <c r="D2866" i="24"/>
  <c r="D2865" i="24"/>
  <c r="D2864" i="24"/>
  <c r="D2863" i="24"/>
  <c r="D2862" i="24"/>
  <c r="D2861" i="24"/>
  <c r="D2860" i="24"/>
  <c r="D2859" i="24"/>
  <c r="D2858" i="24"/>
  <c r="D2857" i="24"/>
  <c r="D2856" i="24"/>
  <c r="D2855" i="24"/>
  <c r="D2854" i="24"/>
  <c r="D2853" i="24"/>
  <c r="D2852" i="24"/>
  <c r="D2851" i="24"/>
  <c r="D2850" i="24"/>
  <c r="D2849" i="24"/>
  <c r="D2848" i="24"/>
  <c r="D2847" i="24"/>
  <c r="D2846" i="24"/>
  <c r="D2845" i="24"/>
  <c r="D2844" i="24"/>
  <c r="D2843" i="24"/>
  <c r="D2842" i="24"/>
  <c r="D2841" i="24"/>
  <c r="D2840" i="24"/>
  <c r="D2839" i="24"/>
  <c r="D2838" i="24"/>
  <c r="D2837" i="24"/>
  <c r="D2836" i="24"/>
  <c r="D2835" i="24"/>
  <c r="D2834" i="24"/>
  <c r="D2833" i="24"/>
  <c r="D2832" i="24"/>
  <c r="D2831" i="24"/>
  <c r="D2830" i="24"/>
  <c r="D2829" i="24"/>
  <c r="D2828" i="24"/>
  <c r="D2827" i="24"/>
  <c r="D2826" i="24"/>
  <c r="D2825" i="24"/>
  <c r="D2824" i="24"/>
  <c r="D2823" i="24"/>
  <c r="D2822" i="24"/>
  <c r="D2821" i="24"/>
  <c r="D2820" i="24"/>
  <c r="D2819" i="24"/>
  <c r="D2818" i="24"/>
  <c r="D2817" i="24"/>
  <c r="D2816" i="24"/>
  <c r="D2815" i="24"/>
  <c r="D2814" i="24"/>
  <c r="D2813" i="24"/>
  <c r="D2812" i="24"/>
  <c r="D2811" i="24"/>
  <c r="D2810" i="24"/>
  <c r="D2809" i="24"/>
  <c r="D2808" i="24"/>
  <c r="D2807" i="24"/>
  <c r="D2806" i="24"/>
  <c r="D2805" i="24"/>
  <c r="D2804" i="24"/>
  <c r="D2803" i="24"/>
  <c r="D2802" i="24"/>
  <c r="D2801" i="24"/>
  <c r="D2800" i="24"/>
  <c r="D2799" i="24"/>
  <c r="D2798" i="24"/>
  <c r="D2797" i="24"/>
  <c r="D2796" i="24"/>
  <c r="D2795" i="24"/>
  <c r="D2794" i="24"/>
  <c r="D2793" i="24"/>
  <c r="D2792" i="24"/>
  <c r="D2791" i="24"/>
  <c r="D2790" i="24"/>
  <c r="D2789" i="24"/>
  <c r="D2788" i="24"/>
  <c r="D2787" i="24"/>
  <c r="D2786" i="24"/>
  <c r="D2785" i="24"/>
  <c r="D2784" i="24"/>
  <c r="D2783" i="24"/>
  <c r="D2782" i="24"/>
  <c r="D2781" i="24"/>
  <c r="D2780" i="24"/>
  <c r="D2779" i="24"/>
  <c r="D2778" i="24"/>
  <c r="D2777" i="24"/>
  <c r="D2776" i="24"/>
  <c r="D2775" i="24"/>
  <c r="D2774" i="24"/>
  <c r="D2773" i="24"/>
  <c r="D2772" i="24"/>
  <c r="D2771" i="24"/>
  <c r="D2770" i="24"/>
  <c r="D2769" i="24"/>
  <c r="D2768" i="24"/>
  <c r="D2767" i="24"/>
  <c r="D2766" i="24"/>
  <c r="D2765" i="24"/>
  <c r="D2764" i="24"/>
  <c r="D2763" i="24"/>
  <c r="D2762" i="24"/>
  <c r="D2761" i="24"/>
  <c r="D2760" i="24"/>
  <c r="D2759" i="24"/>
  <c r="D2758" i="24"/>
  <c r="D2757" i="24"/>
  <c r="D2756" i="24"/>
  <c r="D2755" i="24"/>
  <c r="D2754" i="24"/>
  <c r="D2753" i="24"/>
  <c r="D2752" i="24"/>
  <c r="D2751" i="24"/>
  <c r="D2750" i="24"/>
  <c r="D2749" i="24"/>
  <c r="D2748" i="24"/>
  <c r="D2747" i="24"/>
  <c r="D2746" i="24"/>
  <c r="D2745" i="24"/>
  <c r="D2744" i="24"/>
  <c r="D2743" i="24"/>
  <c r="D2742" i="24"/>
  <c r="D2741" i="24"/>
  <c r="D2740" i="24"/>
  <c r="D2739" i="24"/>
  <c r="D2738" i="24"/>
  <c r="D2737" i="24"/>
  <c r="D2736" i="24"/>
  <c r="D2735" i="24"/>
  <c r="D2734" i="24"/>
  <c r="D2733" i="24"/>
  <c r="D2732" i="24"/>
  <c r="D2731" i="24"/>
  <c r="D2730" i="24"/>
  <c r="D2729" i="24"/>
  <c r="D2728" i="24"/>
  <c r="D2727" i="24"/>
  <c r="D2726" i="24"/>
  <c r="D2725" i="24"/>
  <c r="D2724" i="24"/>
  <c r="D2723" i="24"/>
  <c r="D2722" i="24"/>
  <c r="D2721" i="24"/>
  <c r="D2720" i="24"/>
  <c r="D2719" i="24"/>
  <c r="D2718" i="24"/>
  <c r="D2717" i="24"/>
  <c r="D2716" i="24"/>
  <c r="D2715" i="24"/>
  <c r="D2714" i="24"/>
  <c r="D2713" i="24"/>
  <c r="D2712" i="24"/>
  <c r="D2711" i="24"/>
  <c r="D2710" i="24"/>
  <c r="D2709" i="24"/>
  <c r="D2708" i="24"/>
  <c r="D2707" i="24"/>
  <c r="D2706" i="24"/>
  <c r="D2705" i="24"/>
  <c r="D2704" i="24"/>
  <c r="D2703" i="24"/>
  <c r="D2702" i="24"/>
  <c r="D2701" i="24"/>
  <c r="D2700" i="24"/>
  <c r="D2699" i="24"/>
  <c r="D2698" i="24"/>
  <c r="D2697" i="24"/>
  <c r="D2696" i="24"/>
  <c r="D2695" i="24"/>
  <c r="D2694" i="24"/>
  <c r="D2693" i="24"/>
  <c r="D2692" i="24"/>
  <c r="D2691" i="24"/>
  <c r="D2690" i="24"/>
  <c r="D2689" i="24"/>
  <c r="D2688" i="24"/>
  <c r="D2687" i="24"/>
  <c r="D2686" i="24"/>
  <c r="D2685" i="24"/>
  <c r="D2684" i="24"/>
  <c r="D2683" i="24"/>
  <c r="D2682" i="24"/>
  <c r="D2681" i="24"/>
  <c r="D2680" i="24"/>
  <c r="D2679" i="24"/>
  <c r="D2678" i="24"/>
  <c r="D2677" i="24"/>
  <c r="D2676" i="24"/>
  <c r="D2675" i="24"/>
  <c r="D2674" i="24"/>
  <c r="D2673" i="24"/>
  <c r="D2672" i="24"/>
  <c r="D2671" i="24"/>
  <c r="D2670" i="24"/>
  <c r="D2669" i="24"/>
  <c r="D2668" i="24"/>
  <c r="D2667" i="24"/>
  <c r="D2666" i="24"/>
  <c r="D2665" i="24"/>
  <c r="D2664" i="24"/>
  <c r="D2663" i="24"/>
  <c r="D2662" i="24"/>
  <c r="D2661" i="24"/>
  <c r="D2660" i="24"/>
  <c r="D2659" i="24"/>
  <c r="D2658" i="24"/>
  <c r="D2657" i="24"/>
  <c r="D2656" i="24"/>
  <c r="D2655" i="24"/>
  <c r="D2654" i="24"/>
  <c r="D2653" i="24"/>
  <c r="D2652" i="24"/>
  <c r="D2651" i="24"/>
  <c r="D2650" i="24"/>
  <c r="D2649" i="24"/>
  <c r="D2648" i="24"/>
  <c r="D2647" i="24"/>
  <c r="D2646" i="24"/>
  <c r="D2645" i="24"/>
  <c r="D2644" i="24"/>
  <c r="D2643" i="24"/>
  <c r="D2642" i="24"/>
  <c r="D2641" i="24"/>
  <c r="D2640" i="24"/>
  <c r="D2639" i="24"/>
  <c r="D2638" i="24"/>
  <c r="D2637" i="24"/>
  <c r="D2636" i="24"/>
  <c r="D2635" i="24"/>
  <c r="D2634" i="24"/>
  <c r="D2633" i="24"/>
  <c r="D2632" i="24"/>
  <c r="D2631" i="24"/>
  <c r="D2630" i="24"/>
  <c r="D2629" i="24"/>
  <c r="D2628" i="24"/>
  <c r="D2627" i="24"/>
  <c r="D2626" i="24"/>
  <c r="D2625" i="24"/>
  <c r="D2624" i="24"/>
  <c r="D2623" i="24"/>
  <c r="D2622" i="24"/>
  <c r="D2621" i="24"/>
  <c r="D2620" i="24"/>
  <c r="D2619" i="24"/>
  <c r="D2618" i="24"/>
  <c r="D2617" i="24"/>
  <c r="D2616" i="24"/>
  <c r="D2615" i="24"/>
  <c r="D2614" i="24"/>
  <c r="D2613" i="24"/>
  <c r="D2612" i="24"/>
  <c r="D2611" i="24"/>
  <c r="D2610" i="24"/>
  <c r="D2609" i="24"/>
  <c r="D2608" i="24"/>
  <c r="D2607" i="24"/>
  <c r="D2606" i="24"/>
  <c r="D2605" i="24"/>
  <c r="D2604" i="24"/>
  <c r="D2603" i="24"/>
  <c r="D2602" i="24"/>
  <c r="D2601" i="24"/>
  <c r="D2600" i="24"/>
  <c r="D2599" i="24"/>
  <c r="D2598" i="24"/>
  <c r="D2597" i="24"/>
  <c r="D2596" i="24"/>
  <c r="D2595" i="24"/>
  <c r="D2594" i="24"/>
  <c r="D2593" i="24"/>
  <c r="D2592" i="24"/>
  <c r="D2591" i="24"/>
  <c r="D2590" i="24"/>
  <c r="D2589" i="24"/>
  <c r="D2588" i="24"/>
  <c r="D2587" i="24"/>
  <c r="D2586" i="24"/>
  <c r="D2585" i="24"/>
  <c r="D2584" i="24"/>
  <c r="D2583" i="24"/>
  <c r="D2582" i="24"/>
  <c r="D2581" i="24"/>
  <c r="D2580" i="24"/>
  <c r="D2579" i="24"/>
  <c r="D2578" i="24"/>
  <c r="D2577" i="24"/>
  <c r="D2576" i="24"/>
  <c r="D2575" i="24"/>
  <c r="D2574" i="24"/>
  <c r="D2573" i="24"/>
  <c r="D2572" i="24"/>
  <c r="D2571" i="24"/>
  <c r="D2570" i="24"/>
  <c r="D2569" i="24"/>
  <c r="D2568" i="24"/>
  <c r="D2567" i="24"/>
  <c r="D2566" i="24"/>
  <c r="D2565" i="24"/>
  <c r="D2564" i="24"/>
  <c r="D2563" i="24"/>
  <c r="D2562" i="24"/>
  <c r="D2561" i="24"/>
  <c r="D2560" i="24"/>
  <c r="D2559" i="24"/>
  <c r="D2558" i="24"/>
  <c r="D2557" i="24"/>
  <c r="D2556" i="24"/>
  <c r="D2555" i="24"/>
  <c r="D2554" i="24"/>
  <c r="D2553" i="24"/>
  <c r="D2552" i="24"/>
  <c r="D2551" i="24"/>
  <c r="D2550" i="24"/>
  <c r="D2549" i="24"/>
  <c r="D2548" i="24"/>
  <c r="D2547" i="24"/>
  <c r="D2546" i="24"/>
  <c r="D2545" i="24"/>
  <c r="D2544" i="24"/>
  <c r="D2543" i="24"/>
  <c r="D2542" i="24"/>
  <c r="D2541" i="24"/>
  <c r="D2540" i="24"/>
  <c r="D2539" i="24"/>
  <c r="D2538" i="24"/>
  <c r="D2537" i="24"/>
  <c r="D2536" i="24"/>
  <c r="D2535" i="24"/>
  <c r="D2534" i="24"/>
  <c r="D2533" i="24"/>
  <c r="D2532" i="24"/>
  <c r="D2531" i="24"/>
  <c r="D2530" i="24"/>
  <c r="D2529" i="24"/>
  <c r="D2528" i="24"/>
  <c r="D2527" i="24"/>
  <c r="D2526" i="24"/>
  <c r="D2525" i="24"/>
  <c r="D2524" i="24"/>
  <c r="D2523" i="24"/>
  <c r="D2522" i="24"/>
  <c r="D2521" i="24"/>
  <c r="D2520" i="24"/>
  <c r="D2519" i="24"/>
  <c r="D2518" i="24"/>
  <c r="D2517" i="24"/>
  <c r="D2516" i="24"/>
  <c r="D2515" i="24"/>
  <c r="D2514" i="24"/>
  <c r="D2513" i="24"/>
  <c r="D2512" i="24"/>
  <c r="D2511" i="24"/>
  <c r="D2510" i="24"/>
  <c r="D2509" i="24"/>
  <c r="D2508" i="24"/>
  <c r="D2507" i="24"/>
  <c r="D2506" i="24"/>
  <c r="D2505" i="24"/>
  <c r="D2504" i="24"/>
  <c r="D2503" i="24"/>
  <c r="D2502" i="24"/>
  <c r="D2501" i="24"/>
  <c r="D2500" i="24"/>
  <c r="D2499" i="24"/>
  <c r="D2498" i="24"/>
  <c r="D2497" i="24"/>
  <c r="D2496" i="24"/>
  <c r="D2495" i="24"/>
  <c r="D2494" i="24"/>
  <c r="D2493" i="24"/>
  <c r="D2492" i="24"/>
  <c r="D2491" i="24"/>
  <c r="D2490" i="24"/>
  <c r="D2489" i="24"/>
  <c r="D2488" i="24"/>
  <c r="D2487" i="24"/>
  <c r="D2486" i="24"/>
  <c r="D2485" i="24"/>
  <c r="D2484" i="24"/>
  <c r="D2483" i="24"/>
  <c r="D2482" i="24"/>
  <c r="D2481" i="24"/>
  <c r="D2480" i="24"/>
  <c r="D2479" i="24"/>
  <c r="D2478" i="24"/>
  <c r="D2477" i="24"/>
  <c r="D2476" i="24"/>
  <c r="D2475" i="24"/>
  <c r="D2474" i="24"/>
  <c r="D2473" i="24"/>
  <c r="D2472" i="24"/>
  <c r="D2471" i="24"/>
  <c r="D2470" i="24"/>
  <c r="D2469" i="24"/>
  <c r="D2468" i="24"/>
  <c r="D2467" i="24"/>
  <c r="D2466" i="24"/>
  <c r="D2465" i="24"/>
  <c r="D2464" i="24"/>
  <c r="D2463" i="24"/>
  <c r="D2462" i="24"/>
  <c r="D2461" i="24"/>
  <c r="D2460" i="24"/>
  <c r="D2459" i="24"/>
  <c r="D2458" i="24"/>
  <c r="D2457" i="24"/>
  <c r="D2456" i="24"/>
  <c r="D2455" i="24"/>
  <c r="D2454" i="24"/>
  <c r="D2453" i="24"/>
  <c r="D2452" i="24"/>
  <c r="D2451" i="24"/>
  <c r="D2450" i="24"/>
  <c r="D2449" i="24"/>
  <c r="D2448" i="24"/>
  <c r="D2447" i="24"/>
  <c r="D2446" i="24"/>
  <c r="D2445" i="24"/>
  <c r="D2444" i="24"/>
  <c r="D2443" i="24"/>
  <c r="D2442" i="24"/>
  <c r="D2441" i="24"/>
  <c r="D2440" i="24"/>
  <c r="D2439" i="24"/>
  <c r="D2438" i="24"/>
  <c r="D2437" i="24"/>
  <c r="D2436" i="24"/>
  <c r="D2435" i="24"/>
  <c r="D2434" i="24"/>
  <c r="D2433" i="24"/>
  <c r="D2432" i="24"/>
  <c r="D2431" i="24"/>
  <c r="D2430" i="24"/>
  <c r="D2429" i="24"/>
  <c r="D2428" i="24"/>
  <c r="D2427" i="24"/>
  <c r="D2426" i="24"/>
  <c r="D2425" i="24"/>
  <c r="D2424" i="24"/>
  <c r="D2423" i="24"/>
  <c r="D2422" i="24"/>
  <c r="D2421" i="24"/>
  <c r="D2420" i="24"/>
  <c r="D2419" i="24"/>
  <c r="D2418" i="24"/>
  <c r="D2417" i="24"/>
  <c r="D2416" i="24"/>
  <c r="D2415" i="24"/>
  <c r="D2414" i="24"/>
  <c r="D2413" i="24"/>
  <c r="D2412" i="24"/>
  <c r="D2411" i="24"/>
  <c r="D2410" i="24"/>
  <c r="D2409" i="24"/>
  <c r="D2408" i="24"/>
  <c r="D2407" i="24"/>
  <c r="D2406" i="24"/>
  <c r="D2405" i="24"/>
  <c r="D2404" i="24"/>
  <c r="D2403" i="24"/>
  <c r="D2402" i="24"/>
  <c r="D2401" i="24"/>
  <c r="D2400" i="24"/>
  <c r="D2399" i="24"/>
  <c r="D2398" i="24"/>
  <c r="D2397" i="24"/>
  <c r="D2396" i="24"/>
  <c r="D2395" i="24"/>
  <c r="D2394" i="24"/>
  <c r="D2393" i="24"/>
  <c r="D2392" i="24"/>
  <c r="D2391" i="24"/>
  <c r="D2390" i="24"/>
  <c r="D2389" i="24"/>
  <c r="D2388" i="24"/>
  <c r="D2387" i="24"/>
  <c r="D2386" i="24"/>
  <c r="D2385" i="24"/>
  <c r="D2384" i="24"/>
  <c r="D2383" i="24"/>
  <c r="D2382" i="24"/>
  <c r="D2381" i="24"/>
  <c r="D2380" i="24"/>
  <c r="D2379" i="24"/>
  <c r="D2378" i="24"/>
  <c r="D2377" i="24"/>
  <c r="D2376" i="24"/>
  <c r="D2375" i="24"/>
  <c r="D2374" i="24"/>
  <c r="D2373" i="24"/>
  <c r="D2372" i="24"/>
  <c r="D2371" i="24"/>
  <c r="D2370" i="24"/>
  <c r="D2369" i="24"/>
  <c r="D2368" i="24"/>
  <c r="D2367" i="24"/>
  <c r="D2366" i="24"/>
  <c r="D2365" i="24"/>
  <c r="D2364" i="24"/>
  <c r="D2363" i="24"/>
  <c r="D2362" i="24"/>
  <c r="D2361" i="24"/>
  <c r="D2360" i="24"/>
  <c r="D2359" i="24"/>
  <c r="D2358" i="24"/>
  <c r="D2357" i="24"/>
  <c r="D2356" i="24"/>
  <c r="D2355" i="24"/>
  <c r="D2354" i="24"/>
  <c r="D2353" i="24"/>
  <c r="D2352" i="24"/>
  <c r="D2351" i="24"/>
  <c r="D2350" i="24"/>
  <c r="D2349" i="24"/>
  <c r="D2348" i="24"/>
  <c r="D2347" i="24"/>
  <c r="D2346" i="24"/>
  <c r="D2345" i="24"/>
  <c r="D2344" i="24"/>
  <c r="D2343" i="24"/>
  <c r="D2342" i="24"/>
  <c r="D2341" i="24"/>
  <c r="D2340" i="24"/>
  <c r="D2339" i="24"/>
  <c r="D2338" i="24"/>
  <c r="D2337" i="24"/>
  <c r="D2336" i="24"/>
  <c r="D2335" i="24"/>
  <c r="D2334" i="24"/>
  <c r="D2333" i="24"/>
  <c r="D2332" i="24"/>
  <c r="D2331" i="24"/>
  <c r="D2330" i="24"/>
  <c r="D2329" i="24"/>
  <c r="D2328" i="24"/>
  <c r="D2327" i="24"/>
  <c r="D2326" i="24"/>
  <c r="D2325" i="24"/>
  <c r="D2324" i="24"/>
  <c r="D2323" i="24"/>
  <c r="D2322" i="24"/>
  <c r="D2321" i="24"/>
  <c r="D2320" i="24"/>
  <c r="D2319" i="24"/>
  <c r="D2318" i="24"/>
  <c r="D2317" i="24"/>
  <c r="D2316" i="24"/>
  <c r="D2315" i="24"/>
  <c r="D2314" i="24"/>
  <c r="D2313" i="24"/>
  <c r="D2312" i="24"/>
  <c r="D2311" i="24"/>
  <c r="D2310" i="24"/>
  <c r="D2309" i="24"/>
  <c r="D2308" i="24"/>
  <c r="D2307" i="24"/>
  <c r="D2306" i="24"/>
  <c r="D2305" i="24"/>
  <c r="D2304" i="24"/>
  <c r="D2303" i="24"/>
  <c r="D2302" i="24"/>
  <c r="D2301" i="24"/>
  <c r="D2300" i="24"/>
  <c r="D2299" i="24"/>
  <c r="D2298" i="24"/>
  <c r="D2297" i="24"/>
  <c r="D2296" i="24"/>
  <c r="D2295" i="24"/>
  <c r="D2294" i="24"/>
  <c r="D2293" i="24"/>
  <c r="D2292" i="24"/>
  <c r="D2291" i="24"/>
  <c r="D2290" i="24"/>
  <c r="D2289" i="24"/>
  <c r="D2288" i="24"/>
  <c r="D2287" i="24"/>
  <c r="D2286" i="24"/>
  <c r="D2285" i="24"/>
  <c r="D2284" i="24"/>
  <c r="D2283" i="24"/>
  <c r="D2282" i="24"/>
  <c r="D2281" i="24"/>
  <c r="D2280" i="24"/>
  <c r="D2279" i="24"/>
  <c r="D2278" i="24"/>
  <c r="D2277" i="24"/>
  <c r="D2276" i="24"/>
  <c r="D2275" i="24"/>
  <c r="D2274" i="24"/>
  <c r="D2273" i="24"/>
  <c r="D2272" i="24"/>
  <c r="D2271" i="24"/>
  <c r="D2270" i="24"/>
  <c r="D2269" i="24"/>
  <c r="D2268" i="24"/>
  <c r="D2267" i="24"/>
  <c r="D2266" i="24"/>
  <c r="D2265" i="24"/>
  <c r="D2264" i="24"/>
  <c r="D2263" i="24"/>
  <c r="D2262" i="24"/>
  <c r="D2261" i="24"/>
  <c r="D2260" i="24"/>
  <c r="D2259" i="24"/>
  <c r="D2258" i="24"/>
  <c r="D2257" i="24"/>
  <c r="D2256" i="24"/>
  <c r="D2255" i="24"/>
  <c r="D2254" i="24"/>
  <c r="D2253" i="24"/>
  <c r="D2252" i="24"/>
  <c r="D2251" i="24"/>
  <c r="D2250" i="24"/>
  <c r="D2249" i="24"/>
  <c r="D2248" i="24"/>
  <c r="D2247" i="24"/>
  <c r="D2246" i="24"/>
  <c r="D2245" i="24"/>
  <c r="D2244" i="24"/>
  <c r="D2243" i="24"/>
  <c r="D2242" i="24"/>
  <c r="D2241" i="24"/>
  <c r="D2240" i="24"/>
  <c r="D2239" i="24"/>
  <c r="D2238" i="24"/>
  <c r="D2237" i="24"/>
  <c r="D2236" i="24"/>
  <c r="D2235" i="24"/>
  <c r="D2234" i="24"/>
  <c r="D2233" i="24"/>
  <c r="D2232" i="24"/>
  <c r="D2231" i="24"/>
  <c r="D2230" i="24"/>
  <c r="D2229" i="24"/>
  <c r="D2228" i="24"/>
  <c r="D2227" i="24"/>
  <c r="D2226" i="24"/>
  <c r="D2225" i="24"/>
  <c r="D2224" i="24"/>
  <c r="D2223" i="24"/>
  <c r="D2222" i="24"/>
  <c r="D2221" i="24"/>
  <c r="D2220" i="24"/>
  <c r="D2219" i="24"/>
  <c r="D2218" i="24"/>
  <c r="D2217" i="24"/>
  <c r="D2216" i="24"/>
  <c r="D2215" i="24"/>
  <c r="D2214" i="24"/>
  <c r="D2213" i="24"/>
  <c r="D2212" i="24"/>
  <c r="D2211" i="24"/>
  <c r="D2210" i="24"/>
  <c r="D2209" i="24"/>
  <c r="D2208" i="24"/>
  <c r="D2207" i="24"/>
  <c r="D2206" i="24"/>
  <c r="D2205" i="24"/>
  <c r="D2204" i="24"/>
  <c r="D2203" i="24"/>
  <c r="D2202" i="24"/>
  <c r="D2201" i="24"/>
  <c r="D2200" i="24"/>
  <c r="D2199" i="24"/>
  <c r="D2198" i="24"/>
  <c r="D2197" i="24"/>
  <c r="D2196" i="24"/>
  <c r="D2195" i="24"/>
  <c r="D2194" i="24"/>
  <c r="D2193" i="24"/>
  <c r="D2192" i="24"/>
  <c r="D2191" i="24"/>
  <c r="D2190" i="24"/>
  <c r="D2189" i="24"/>
  <c r="D2188" i="24"/>
  <c r="D2187" i="24"/>
  <c r="D2186" i="24"/>
  <c r="D2185" i="24"/>
  <c r="D2184" i="24"/>
  <c r="D2183" i="24"/>
  <c r="D2182" i="24"/>
  <c r="D2181" i="24"/>
  <c r="D2180" i="24"/>
  <c r="D2179" i="24"/>
  <c r="D2178" i="24"/>
  <c r="D2177" i="24"/>
  <c r="D2176" i="24"/>
  <c r="D2175" i="24"/>
  <c r="D2174" i="24"/>
  <c r="D2173" i="24"/>
  <c r="D2172" i="24"/>
  <c r="D2171" i="24"/>
  <c r="D2170" i="24"/>
  <c r="D2169" i="24"/>
  <c r="D2168" i="24"/>
  <c r="D2167" i="24"/>
  <c r="D2166" i="24"/>
  <c r="D2165" i="24"/>
  <c r="D2164" i="24"/>
  <c r="D2163" i="24"/>
  <c r="D2162" i="24"/>
  <c r="D2161" i="24"/>
  <c r="D2160" i="24"/>
  <c r="D2159" i="24"/>
  <c r="D2158" i="24"/>
  <c r="D2157" i="24"/>
  <c r="D2156" i="24"/>
  <c r="D2155" i="24"/>
  <c r="D2154" i="24"/>
  <c r="D2153" i="24"/>
  <c r="D2152" i="24"/>
  <c r="D2151" i="24"/>
  <c r="D2150" i="24"/>
  <c r="D2149" i="24"/>
  <c r="D2148" i="24"/>
  <c r="D2147" i="24"/>
  <c r="D2146" i="24"/>
  <c r="D2145" i="24"/>
  <c r="D2144" i="24"/>
  <c r="D2143" i="24"/>
  <c r="D2142" i="24"/>
  <c r="D2141" i="24"/>
  <c r="D2140" i="24"/>
  <c r="D2139" i="24"/>
  <c r="D2138" i="24"/>
  <c r="D2137" i="24"/>
  <c r="D2136" i="24"/>
  <c r="D2135" i="24"/>
  <c r="D2134" i="24"/>
  <c r="D2133" i="24"/>
  <c r="D2132" i="24"/>
  <c r="D2131" i="24"/>
  <c r="D2130" i="24"/>
  <c r="D2129" i="24"/>
  <c r="D2128" i="24"/>
  <c r="D2127" i="24"/>
  <c r="D2126" i="24"/>
  <c r="D2125" i="24"/>
  <c r="D2124" i="24"/>
  <c r="D2123" i="24"/>
  <c r="D2122" i="24"/>
  <c r="D2121" i="24"/>
  <c r="D2120" i="24"/>
  <c r="D2119" i="24"/>
  <c r="D2118" i="24"/>
  <c r="D2117" i="24"/>
  <c r="D2116" i="24"/>
  <c r="D2115" i="24"/>
  <c r="D2114" i="24"/>
  <c r="D2113" i="24"/>
  <c r="D2112" i="24"/>
  <c r="D2111" i="24"/>
  <c r="D2110" i="24"/>
  <c r="D2109" i="24"/>
  <c r="D2108" i="24"/>
  <c r="D2107" i="24"/>
  <c r="D2106" i="24"/>
  <c r="D2105" i="24"/>
  <c r="D2104" i="24"/>
  <c r="D2103" i="24"/>
  <c r="D2102" i="24"/>
  <c r="D2101" i="24"/>
  <c r="D2100" i="24"/>
  <c r="D2099" i="24"/>
  <c r="D2098" i="24"/>
  <c r="D2097" i="24"/>
  <c r="D2096" i="24"/>
  <c r="D2095" i="24"/>
  <c r="D2094" i="24"/>
  <c r="D2093" i="24"/>
  <c r="D2092" i="24"/>
  <c r="D2091" i="24"/>
  <c r="D2090" i="24"/>
  <c r="D2089" i="24"/>
  <c r="D2088" i="24"/>
  <c r="D2087" i="24"/>
  <c r="D2086" i="24"/>
  <c r="D2085" i="24"/>
  <c r="D2084" i="24"/>
  <c r="D2083" i="24"/>
  <c r="D2082" i="24"/>
  <c r="D2081" i="24"/>
  <c r="D2080" i="24"/>
  <c r="D2079" i="24"/>
  <c r="D2078" i="24"/>
  <c r="D2077" i="24"/>
  <c r="D2076" i="24"/>
  <c r="D2075" i="24"/>
  <c r="D2074" i="24"/>
  <c r="D2073" i="24"/>
  <c r="D2072" i="24"/>
  <c r="D2071" i="24"/>
  <c r="D2070" i="24"/>
  <c r="D2069" i="24"/>
  <c r="D2068" i="24"/>
  <c r="D2067" i="24"/>
  <c r="D2066" i="24"/>
  <c r="D2065" i="24"/>
  <c r="D2064" i="24"/>
  <c r="D2063" i="24"/>
  <c r="D2062" i="24"/>
  <c r="D2061" i="24"/>
  <c r="D2060" i="24"/>
  <c r="D2059" i="24"/>
  <c r="D2058" i="24"/>
  <c r="D2057" i="24"/>
  <c r="D2056" i="24"/>
  <c r="D2055" i="24"/>
  <c r="D2054" i="24"/>
  <c r="D2053" i="24"/>
  <c r="D2052" i="24"/>
  <c r="D2051" i="24"/>
  <c r="D2050" i="24"/>
  <c r="D2049" i="24"/>
  <c r="D2048" i="24"/>
  <c r="D2047" i="24"/>
  <c r="D2046" i="24"/>
  <c r="D2045" i="24"/>
  <c r="D2044" i="24"/>
  <c r="D2043" i="24"/>
  <c r="D2042" i="24"/>
  <c r="D2041" i="24"/>
  <c r="D2040" i="24"/>
  <c r="D2039" i="24"/>
  <c r="D2038" i="24"/>
  <c r="D2037" i="24"/>
  <c r="D2036" i="24"/>
  <c r="D2035" i="24"/>
  <c r="D2034" i="24"/>
  <c r="D2033" i="24"/>
  <c r="D2032" i="24"/>
  <c r="D2031" i="24"/>
  <c r="D2030" i="24"/>
  <c r="D2029" i="24"/>
  <c r="D2028" i="24"/>
  <c r="D2027" i="24"/>
  <c r="D2026" i="24"/>
  <c r="D2025" i="24"/>
  <c r="D2024" i="24"/>
  <c r="D2023" i="24"/>
  <c r="D2022" i="24"/>
  <c r="D2021" i="24"/>
  <c r="D2020" i="24"/>
  <c r="D2019" i="24"/>
  <c r="D2018" i="24"/>
  <c r="D2017" i="24"/>
  <c r="D2016" i="24"/>
  <c r="D2015" i="24"/>
  <c r="D2014" i="24"/>
  <c r="D2013" i="24"/>
  <c r="D2012" i="24"/>
  <c r="D2011" i="24"/>
  <c r="D2010" i="24"/>
  <c r="D2009" i="24"/>
  <c r="D2008" i="24"/>
  <c r="D2007" i="24"/>
  <c r="D2006" i="24"/>
  <c r="D2005" i="24"/>
  <c r="D2004" i="24"/>
  <c r="D2003" i="24"/>
  <c r="D2002" i="24"/>
  <c r="D2001" i="24"/>
  <c r="D2000" i="24"/>
  <c r="D1999" i="24"/>
  <c r="D1998" i="24"/>
  <c r="D1997" i="24"/>
  <c r="D1996" i="24"/>
  <c r="D1995" i="24"/>
  <c r="D1994" i="24"/>
  <c r="D1993" i="24"/>
  <c r="D1992" i="24"/>
  <c r="D1991" i="24"/>
  <c r="D1990" i="24"/>
  <c r="D1989" i="24"/>
  <c r="D1988" i="24"/>
  <c r="D1987" i="24"/>
  <c r="D1986" i="24"/>
  <c r="D1985" i="24"/>
  <c r="D1984" i="24"/>
  <c r="D1983" i="24"/>
  <c r="D1982" i="24"/>
  <c r="D1981" i="24"/>
  <c r="D1980" i="24"/>
  <c r="D1979" i="24"/>
  <c r="D1978" i="24"/>
  <c r="D1977" i="24"/>
  <c r="D1976" i="24"/>
  <c r="D1975" i="24"/>
  <c r="D1974" i="24"/>
  <c r="D1973" i="24"/>
  <c r="D1972" i="24"/>
  <c r="D1971" i="24"/>
  <c r="D1970" i="24"/>
  <c r="D1969" i="24"/>
  <c r="D1968" i="24"/>
  <c r="D1967" i="24"/>
  <c r="D1966" i="24"/>
  <c r="D1965" i="24"/>
  <c r="D1964" i="24"/>
  <c r="D1963" i="24"/>
  <c r="D1962" i="24"/>
  <c r="D1961" i="24"/>
  <c r="D1960" i="24"/>
  <c r="D1959" i="24"/>
  <c r="D1958" i="24"/>
  <c r="D1957" i="24"/>
  <c r="D1956" i="24"/>
  <c r="D1955" i="24"/>
  <c r="D1954" i="24"/>
  <c r="D1953" i="24"/>
  <c r="D1952" i="24"/>
  <c r="D1951" i="24"/>
  <c r="D1950" i="24"/>
  <c r="D1949" i="24"/>
  <c r="D1948" i="24"/>
  <c r="D1947" i="24"/>
  <c r="D1946" i="24"/>
  <c r="D1945" i="24"/>
  <c r="D1944" i="24"/>
  <c r="D1943" i="24"/>
  <c r="D1942" i="24"/>
  <c r="D1941" i="24"/>
  <c r="D1940" i="24"/>
  <c r="D1939" i="24"/>
  <c r="D1938" i="24"/>
  <c r="D1937" i="24"/>
  <c r="D1936" i="24"/>
  <c r="D1935" i="24"/>
  <c r="D1934" i="24"/>
  <c r="D1933" i="24"/>
  <c r="D1932" i="24"/>
  <c r="D1931" i="24"/>
  <c r="D1930" i="24"/>
  <c r="D1929" i="24"/>
  <c r="D1928" i="24"/>
  <c r="D1927" i="24"/>
  <c r="D1926" i="24"/>
  <c r="D1925" i="24"/>
  <c r="D1924" i="24"/>
  <c r="D1923" i="24"/>
  <c r="D1922" i="24"/>
  <c r="D1921" i="24"/>
  <c r="D1920" i="24"/>
  <c r="D1919" i="24"/>
  <c r="D1918" i="24"/>
  <c r="D1917" i="24"/>
  <c r="D1916" i="24"/>
  <c r="D1915" i="24"/>
  <c r="D1914" i="24"/>
  <c r="D1913" i="24"/>
  <c r="D1912" i="24"/>
  <c r="D1911" i="24"/>
  <c r="D1910" i="24"/>
  <c r="D1909" i="24"/>
  <c r="D1908" i="24"/>
  <c r="D1907" i="24"/>
  <c r="D1906" i="24"/>
  <c r="D1905" i="24"/>
  <c r="D1904" i="24"/>
  <c r="D1903" i="24"/>
  <c r="D1902" i="24"/>
  <c r="D1901" i="24"/>
  <c r="D1900" i="24"/>
  <c r="D1899" i="24"/>
  <c r="D1898" i="24"/>
  <c r="D1897" i="24"/>
  <c r="D1896" i="24"/>
  <c r="D1895" i="24"/>
  <c r="D1894" i="24"/>
  <c r="D1893" i="24"/>
  <c r="D1892" i="24"/>
  <c r="D1891" i="24"/>
  <c r="D1890" i="24"/>
  <c r="D1889" i="24"/>
  <c r="D1888" i="24"/>
  <c r="D1887" i="24"/>
  <c r="D1886" i="24"/>
  <c r="D1885" i="24"/>
  <c r="D1884" i="24"/>
  <c r="D1883" i="24"/>
  <c r="D1882" i="24"/>
  <c r="D1881" i="24"/>
  <c r="D1880" i="24"/>
  <c r="D1879" i="24"/>
  <c r="D1878" i="24"/>
  <c r="D1877" i="24"/>
  <c r="D1876" i="24"/>
  <c r="D1875" i="24"/>
  <c r="D1874" i="24"/>
  <c r="D1873" i="24"/>
  <c r="D1872" i="24"/>
  <c r="D1871" i="24"/>
  <c r="D1870" i="24"/>
  <c r="D1869" i="24"/>
  <c r="D1868" i="24"/>
  <c r="D1867" i="24"/>
  <c r="D1866" i="24"/>
  <c r="D1865" i="24"/>
  <c r="D1864" i="24"/>
  <c r="D1863" i="24"/>
  <c r="D1862" i="24"/>
  <c r="D1861" i="24"/>
  <c r="D1860" i="24"/>
  <c r="D1859" i="24"/>
  <c r="D1858" i="24"/>
  <c r="D1857" i="24"/>
  <c r="D1856" i="24"/>
  <c r="D1855" i="24"/>
  <c r="D1854" i="24"/>
  <c r="D1853" i="24"/>
  <c r="D1852" i="24"/>
  <c r="D1851" i="24"/>
  <c r="D1850" i="24"/>
  <c r="D1849" i="24"/>
  <c r="D1848" i="24"/>
  <c r="D1847" i="24"/>
  <c r="D1846" i="24"/>
  <c r="D1845" i="24"/>
  <c r="D1844" i="24"/>
  <c r="D1843" i="24"/>
  <c r="D1842" i="24"/>
  <c r="D1841" i="24"/>
  <c r="D1840" i="24"/>
  <c r="D1839" i="24"/>
  <c r="D1838" i="24"/>
  <c r="D1837" i="24"/>
  <c r="D1836" i="24"/>
  <c r="D1835" i="24"/>
  <c r="D1834" i="24"/>
  <c r="D1833" i="24"/>
  <c r="D1832" i="24"/>
  <c r="D1831" i="24"/>
  <c r="D1830" i="24"/>
  <c r="D1829" i="24"/>
  <c r="D1828" i="24"/>
  <c r="D1827" i="24"/>
  <c r="D1826" i="24"/>
  <c r="D1825" i="24"/>
  <c r="D1824" i="24"/>
  <c r="D1823" i="24"/>
  <c r="D1822" i="24"/>
  <c r="D1821" i="24"/>
  <c r="D1820" i="24"/>
  <c r="D1819" i="24"/>
  <c r="D1818" i="24"/>
  <c r="D1817" i="24"/>
  <c r="D1816" i="24"/>
  <c r="D1815" i="24"/>
  <c r="D1814" i="24"/>
  <c r="D1813" i="24"/>
  <c r="D1812" i="24"/>
  <c r="D1811" i="24"/>
  <c r="D1810" i="24"/>
  <c r="D1809" i="24"/>
  <c r="D1808" i="24"/>
  <c r="D1807" i="24"/>
  <c r="D1806" i="24"/>
  <c r="D1805" i="24"/>
  <c r="D1804" i="24"/>
  <c r="D1803" i="24"/>
  <c r="D1802" i="24"/>
  <c r="D1801" i="24"/>
  <c r="D1800" i="24"/>
  <c r="D1799" i="24"/>
  <c r="D1798" i="24"/>
  <c r="D1797" i="24"/>
  <c r="D1796" i="24"/>
  <c r="D1795" i="24"/>
  <c r="D1794" i="24"/>
  <c r="D1793" i="24"/>
  <c r="D1792" i="24"/>
  <c r="D1791" i="24"/>
  <c r="D1790" i="24"/>
  <c r="D1789" i="24"/>
  <c r="D1788" i="24"/>
  <c r="D1787" i="24"/>
  <c r="D1786" i="24"/>
  <c r="D1785" i="24"/>
  <c r="D1784" i="24"/>
  <c r="D1783" i="24"/>
  <c r="D1782" i="24"/>
  <c r="D1781" i="24"/>
  <c r="D1780" i="24"/>
  <c r="D1779" i="24"/>
  <c r="D1778" i="24"/>
  <c r="D1777" i="24"/>
  <c r="D1776" i="24"/>
  <c r="D1775" i="24"/>
  <c r="D1774" i="24"/>
  <c r="D1773" i="24"/>
  <c r="D1772" i="24"/>
  <c r="D1771" i="24"/>
  <c r="D1770" i="24"/>
  <c r="D1769" i="24"/>
  <c r="D1768" i="24"/>
  <c r="D1767" i="24"/>
  <c r="D1766" i="24"/>
  <c r="D1765" i="24"/>
  <c r="D1764" i="24"/>
  <c r="D1763" i="24"/>
  <c r="D1762" i="24"/>
  <c r="D1761" i="24"/>
  <c r="D1760" i="24"/>
  <c r="D1759" i="24"/>
  <c r="D1758" i="24"/>
  <c r="D1757" i="24"/>
  <c r="D1756" i="24"/>
  <c r="D1755" i="24"/>
  <c r="D1754" i="24"/>
  <c r="D1753" i="24"/>
  <c r="D1752" i="24"/>
  <c r="D1751" i="24"/>
  <c r="D1750" i="24"/>
  <c r="D1749" i="24"/>
  <c r="D1748" i="24"/>
  <c r="D1747" i="24"/>
  <c r="D1746" i="24"/>
  <c r="D1745" i="24"/>
  <c r="D1744" i="24"/>
  <c r="D1743" i="24"/>
  <c r="D1742" i="24"/>
  <c r="D1741" i="24"/>
  <c r="D1740" i="24"/>
  <c r="D1739" i="24"/>
  <c r="D1738" i="24"/>
  <c r="D1737" i="24"/>
  <c r="D1736" i="24"/>
  <c r="D1735" i="24"/>
  <c r="D1734" i="24"/>
  <c r="D1733" i="24"/>
  <c r="D1732" i="24"/>
  <c r="D1731" i="24"/>
  <c r="D1730" i="24"/>
  <c r="D1729" i="24"/>
  <c r="D1728" i="24"/>
  <c r="D1727" i="24"/>
  <c r="D1726" i="24"/>
  <c r="D1725" i="24"/>
  <c r="D1724" i="24"/>
  <c r="D1723" i="24"/>
  <c r="D1722" i="24"/>
  <c r="D1721" i="24"/>
  <c r="D1720" i="24"/>
  <c r="D1719" i="24"/>
  <c r="D1718" i="24"/>
  <c r="D1717" i="24"/>
  <c r="D1716" i="24"/>
  <c r="D1715" i="24"/>
  <c r="D1714" i="24"/>
  <c r="D1713" i="24"/>
  <c r="D1712" i="24"/>
  <c r="D1711" i="24"/>
  <c r="D1710" i="24"/>
  <c r="D1709" i="24"/>
  <c r="D1708" i="24"/>
  <c r="D1707" i="24"/>
  <c r="D1706" i="24"/>
  <c r="D1705" i="24"/>
  <c r="D1704" i="24"/>
  <c r="D1703" i="24"/>
  <c r="D1702" i="24"/>
  <c r="D1701" i="24"/>
  <c r="D1700" i="24"/>
  <c r="D1699" i="24"/>
  <c r="D1698" i="24"/>
  <c r="D1697" i="24"/>
  <c r="D1696" i="24"/>
  <c r="D1695" i="24"/>
  <c r="D1694" i="24"/>
  <c r="D1693" i="24"/>
  <c r="D1692" i="24"/>
  <c r="D1691" i="24"/>
  <c r="D1690" i="24"/>
  <c r="D1689" i="24"/>
  <c r="D1688" i="24"/>
  <c r="D1687" i="24"/>
  <c r="D1686" i="24"/>
  <c r="D1685" i="24"/>
  <c r="D1684" i="24"/>
  <c r="D1683" i="24"/>
  <c r="D1682" i="24"/>
  <c r="D1681" i="24"/>
  <c r="D1680" i="24"/>
  <c r="D1679" i="24"/>
  <c r="D1678" i="24"/>
  <c r="D1677" i="24"/>
  <c r="D1676" i="24"/>
  <c r="D1675" i="24"/>
  <c r="D1674" i="24"/>
  <c r="D1673" i="24"/>
  <c r="D1672" i="24"/>
  <c r="D1671" i="24"/>
  <c r="D1670" i="24"/>
  <c r="D1669" i="24"/>
  <c r="D1668" i="24"/>
  <c r="D1667" i="24"/>
  <c r="D1666" i="24"/>
  <c r="D1665" i="24"/>
  <c r="D1664" i="24"/>
  <c r="D1663" i="24"/>
  <c r="D1662" i="24"/>
  <c r="D1661" i="24"/>
  <c r="D1660" i="24"/>
  <c r="D1659" i="24"/>
  <c r="D1658" i="24"/>
  <c r="D1657" i="24"/>
  <c r="D1656" i="24"/>
  <c r="D1655" i="24"/>
  <c r="D1654" i="24"/>
  <c r="D1653" i="24"/>
  <c r="D1652" i="24"/>
  <c r="D1651" i="24"/>
  <c r="D1650" i="24"/>
  <c r="D1649" i="24"/>
  <c r="D1648" i="24"/>
  <c r="D1647" i="24"/>
  <c r="D1646" i="24"/>
  <c r="D1645" i="24"/>
  <c r="D1644" i="24"/>
  <c r="D1643" i="24"/>
  <c r="D1642" i="24"/>
  <c r="D1641" i="24"/>
  <c r="D1640" i="24"/>
  <c r="D1639" i="24"/>
  <c r="D1638" i="24"/>
  <c r="D1637" i="24"/>
  <c r="D1636" i="24"/>
  <c r="D1635" i="24"/>
  <c r="D1634" i="24"/>
  <c r="D1633" i="24"/>
  <c r="D1632" i="24"/>
  <c r="D1631" i="24"/>
  <c r="D1630" i="24"/>
  <c r="D1629" i="24"/>
  <c r="D1628" i="24"/>
  <c r="D1627" i="24"/>
  <c r="D1626" i="24"/>
  <c r="D1625" i="24"/>
  <c r="D1624" i="24"/>
  <c r="D1623" i="24"/>
  <c r="D1622" i="24"/>
  <c r="D1621" i="24"/>
  <c r="D1620" i="24"/>
  <c r="D1619" i="24"/>
  <c r="D1618" i="24"/>
  <c r="D1617" i="24"/>
  <c r="D1616" i="24"/>
  <c r="D1615" i="24"/>
  <c r="D1614" i="24"/>
  <c r="D1613" i="24"/>
  <c r="D1612" i="24"/>
  <c r="D1611" i="24"/>
  <c r="D1610" i="24"/>
  <c r="D1609" i="24"/>
  <c r="D1608" i="24"/>
  <c r="D1607" i="24"/>
  <c r="D1606" i="24"/>
  <c r="D1605" i="24"/>
  <c r="D1604" i="24"/>
  <c r="D1603" i="24"/>
  <c r="D1602" i="24"/>
  <c r="D1601" i="24"/>
  <c r="D1600" i="24"/>
  <c r="D1599" i="24"/>
  <c r="D1598" i="24"/>
  <c r="D1597" i="24"/>
  <c r="D1596" i="24"/>
  <c r="D1595" i="24"/>
  <c r="D1594" i="24"/>
  <c r="D1593" i="24"/>
  <c r="D1592" i="24"/>
  <c r="D1591" i="24"/>
  <c r="D1590" i="24"/>
  <c r="D1589" i="24"/>
  <c r="D1588" i="24"/>
  <c r="D1587" i="24"/>
  <c r="D1586" i="24"/>
  <c r="D1585" i="24"/>
  <c r="D1584" i="24"/>
  <c r="D1583" i="24"/>
  <c r="D1582" i="24"/>
  <c r="D1581" i="24"/>
  <c r="D1580" i="24"/>
  <c r="D1579" i="24"/>
  <c r="D1578" i="24"/>
  <c r="D1577" i="24"/>
  <c r="D1576" i="24"/>
  <c r="D1575" i="24"/>
  <c r="D1574" i="24"/>
  <c r="D1573" i="24"/>
  <c r="D1572" i="24"/>
  <c r="D1571" i="24"/>
  <c r="D1570" i="24"/>
  <c r="D1569" i="24"/>
  <c r="D1568" i="24"/>
  <c r="D1567" i="24"/>
  <c r="D1566" i="24"/>
  <c r="D1565" i="24"/>
  <c r="D1564" i="24"/>
  <c r="D1563" i="24"/>
  <c r="D1562" i="24"/>
  <c r="D1561" i="24"/>
  <c r="D1560" i="24"/>
  <c r="D1559" i="24"/>
  <c r="D1558" i="24"/>
  <c r="D1557" i="24"/>
  <c r="D1556" i="24"/>
  <c r="D1555" i="24"/>
  <c r="D1554" i="24"/>
  <c r="D1553" i="24"/>
  <c r="D1552" i="24"/>
  <c r="D1551" i="24"/>
  <c r="D1550" i="24"/>
  <c r="D1549" i="24"/>
  <c r="D1548" i="24"/>
  <c r="D1547" i="24"/>
  <c r="D1546" i="24"/>
  <c r="D1545" i="24"/>
  <c r="D1544" i="24"/>
  <c r="D1543" i="24"/>
  <c r="D1542" i="24"/>
  <c r="D1541" i="24"/>
  <c r="D1540" i="24"/>
  <c r="D1539" i="24"/>
  <c r="D1538" i="24"/>
  <c r="D1537" i="24"/>
  <c r="D1536" i="24"/>
  <c r="D1535" i="24"/>
  <c r="D1534" i="24"/>
  <c r="D1533" i="24"/>
  <c r="D1532" i="24"/>
  <c r="D1531" i="24"/>
  <c r="D1530" i="24"/>
  <c r="D1529" i="24"/>
  <c r="D1528" i="24"/>
  <c r="D1527" i="24"/>
  <c r="D1526" i="24"/>
  <c r="D1525" i="24"/>
  <c r="D1524" i="24"/>
  <c r="D1523" i="24"/>
  <c r="D1522" i="24"/>
  <c r="D1521" i="24"/>
  <c r="D1520" i="24"/>
  <c r="D1519" i="24"/>
  <c r="D1518" i="24"/>
  <c r="D1517" i="24"/>
  <c r="D1516" i="24"/>
  <c r="D1515" i="24"/>
  <c r="D1514" i="24"/>
  <c r="D1513" i="24"/>
  <c r="D1512" i="24"/>
  <c r="D1511" i="24"/>
  <c r="D1510" i="24"/>
  <c r="D1509" i="24"/>
  <c r="D1508" i="24"/>
  <c r="D1507" i="24"/>
  <c r="D1506" i="24"/>
  <c r="D1505" i="24"/>
  <c r="D1504" i="24"/>
  <c r="D1503" i="24"/>
  <c r="D1502" i="24"/>
  <c r="D1501" i="24"/>
  <c r="D1500" i="24"/>
  <c r="D1499" i="24"/>
  <c r="D1498" i="24"/>
  <c r="D1497" i="24"/>
  <c r="D1496" i="24"/>
  <c r="D1495" i="24"/>
  <c r="D1494" i="24"/>
  <c r="D1493" i="24"/>
  <c r="D1492" i="24"/>
  <c r="D1491" i="24"/>
  <c r="D1490" i="24"/>
  <c r="D1489" i="24"/>
  <c r="D1488" i="24"/>
  <c r="D1487" i="24"/>
  <c r="D1486" i="24"/>
  <c r="D1485" i="24"/>
  <c r="D1484" i="24"/>
  <c r="D1483" i="24"/>
  <c r="D1482" i="24"/>
  <c r="D1481" i="24"/>
  <c r="D1480" i="24"/>
  <c r="D1479" i="24"/>
  <c r="D1478" i="24"/>
  <c r="D1477" i="24"/>
  <c r="D1476" i="24"/>
  <c r="D1475" i="24"/>
  <c r="D1474" i="24"/>
  <c r="D1473" i="24"/>
  <c r="D1472" i="24"/>
  <c r="D1471" i="24"/>
  <c r="D1470" i="24"/>
  <c r="D1469" i="24"/>
  <c r="D1468" i="24"/>
  <c r="D1467" i="24"/>
  <c r="D1466" i="24"/>
  <c r="D1465" i="24"/>
  <c r="D1464" i="24"/>
  <c r="D1463" i="24"/>
  <c r="D1462" i="24"/>
  <c r="D1461" i="24"/>
  <c r="D1460" i="24"/>
  <c r="D1459" i="24"/>
  <c r="D1458" i="24"/>
  <c r="D1457" i="24"/>
  <c r="D1456" i="24"/>
  <c r="D1455" i="24"/>
  <c r="D1454" i="24"/>
  <c r="D1453" i="24"/>
  <c r="D1452" i="24"/>
  <c r="D1451" i="24"/>
  <c r="D1450" i="24"/>
  <c r="D1449" i="24"/>
  <c r="D1448" i="24"/>
  <c r="D1447" i="24"/>
  <c r="D1446" i="24"/>
  <c r="D1445" i="24"/>
  <c r="D1444" i="24"/>
  <c r="D1443" i="24"/>
  <c r="D1442" i="24"/>
  <c r="D1441" i="24"/>
  <c r="D1440" i="24"/>
  <c r="D1439" i="24"/>
  <c r="D1438" i="24"/>
  <c r="D1437" i="24"/>
  <c r="D1436" i="24"/>
  <c r="D1435" i="24"/>
  <c r="D1434" i="24"/>
  <c r="D1433" i="24"/>
  <c r="D1432" i="24"/>
  <c r="D1431" i="24"/>
  <c r="D1430" i="24"/>
  <c r="D1429" i="24"/>
  <c r="D1428" i="24"/>
  <c r="D1427" i="24"/>
  <c r="D1426" i="24"/>
  <c r="D1425" i="24"/>
  <c r="D1424" i="24"/>
  <c r="D1423" i="24"/>
  <c r="D1422" i="24"/>
  <c r="D1421" i="24"/>
  <c r="D1420" i="24"/>
  <c r="D1419" i="24"/>
  <c r="D1418" i="24"/>
  <c r="D1417" i="24"/>
  <c r="D1416" i="24"/>
  <c r="D1415" i="24"/>
  <c r="D1414" i="24"/>
  <c r="D1413" i="24"/>
  <c r="D1412" i="24"/>
  <c r="D1411" i="24"/>
  <c r="D1410" i="24"/>
  <c r="D1409" i="24"/>
  <c r="D1408" i="24"/>
  <c r="D1407" i="24"/>
  <c r="D1406" i="24"/>
  <c r="D1405" i="24"/>
  <c r="D1404" i="24"/>
  <c r="D1403" i="24"/>
  <c r="D1402" i="24"/>
  <c r="D1401" i="24"/>
  <c r="D1400" i="24"/>
  <c r="D1399" i="24"/>
  <c r="D1398" i="24"/>
  <c r="D1397" i="24"/>
  <c r="D1396" i="24"/>
  <c r="D1395" i="24"/>
  <c r="D1394" i="24"/>
  <c r="D1393" i="24"/>
  <c r="D1392" i="24"/>
  <c r="D1391" i="24"/>
  <c r="D1390" i="24"/>
  <c r="D1389" i="24"/>
  <c r="D1388" i="24"/>
  <c r="D1387" i="24"/>
  <c r="D1386" i="24"/>
  <c r="D1385" i="24"/>
  <c r="D1384" i="24"/>
  <c r="D1383" i="24"/>
  <c r="D1382" i="24"/>
  <c r="D1381" i="24"/>
  <c r="D1380" i="24"/>
  <c r="D1379" i="24"/>
  <c r="D1378" i="24"/>
  <c r="D1377" i="24"/>
  <c r="D1376" i="24"/>
  <c r="D1375" i="24"/>
  <c r="D1374" i="24"/>
  <c r="D1373" i="24"/>
  <c r="D1372" i="24"/>
  <c r="D1371" i="24"/>
  <c r="D1370" i="24"/>
  <c r="D1369" i="24"/>
  <c r="D1368" i="24"/>
  <c r="D1367" i="24"/>
  <c r="D1366" i="24"/>
  <c r="D1365" i="24"/>
  <c r="D1364" i="24"/>
  <c r="D1363" i="24"/>
  <c r="D1362" i="24"/>
  <c r="D1361" i="24"/>
  <c r="D1360" i="24"/>
  <c r="D1359" i="24"/>
  <c r="D1358" i="24"/>
  <c r="D1357" i="24"/>
  <c r="D1356" i="24"/>
  <c r="D1355" i="24"/>
  <c r="D1354" i="24"/>
  <c r="D1353" i="24"/>
  <c r="D1352" i="24"/>
  <c r="D1351" i="24"/>
  <c r="D1350" i="24"/>
  <c r="D1349" i="24"/>
  <c r="D1348" i="24"/>
  <c r="D1347" i="24"/>
  <c r="D1346" i="24"/>
  <c r="D1345" i="24"/>
  <c r="D1344" i="24"/>
  <c r="D1343" i="24"/>
  <c r="D1342" i="24"/>
  <c r="D1341" i="24"/>
  <c r="D1340" i="24"/>
  <c r="D1339" i="24"/>
  <c r="D1338" i="24"/>
  <c r="D1337" i="24"/>
  <c r="D1336" i="24"/>
  <c r="D1335" i="24"/>
  <c r="D1334" i="24"/>
  <c r="D1333" i="24"/>
  <c r="D1332" i="24"/>
  <c r="D1331" i="24"/>
  <c r="D1330" i="24"/>
  <c r="D1329" i="24"/>
  <c r="D1328" i="24"/>
  <c r="D1327" i="24"/>
  <c r="D1326" i="24"/>
  <c r="D1325" i="24"/>
  <c r="D1324" i="24"/>
  <c r="D1323" i="24"/>
  <c r="D1322" i="24"/>
  <c r="D1321" i="24"/>
  <c r="D1320" i="24"/>
  <c r="D1319" i="24"/>
  <c r="D1318" i="24"/>
  <c r="D1317" i="24"/>
  <c r="D1316" i="24"/>
  <c r="D1315" i="24"/>
  <c r="D1314" i="24"/>
  <c r="D1313" i="24"/>
  <c r="D1312" i="24"/>
  <c r="D1311" i="24"/>
  <c r="D1310" i="24"/>
  <c r="D1309" i="24"/>
  <c r="D1308" i="24"/>
  <c r="D1307" i="24"/>
  <c r="D1306" i="24"/>
  <c r="D1305" i="24"/>
  <c r="D1304" i="24"/>
  <c r="D1303" i="24"/>
  <c r="D1302" i="24"/>
  <c r="D1301" i="24"/>
  <c r="D1300" i="24"/>
  <c r="D1299" i="24"/>
  <c r="D1298" i="24"/>
  <c r="D1297" i="24"/>
  <c r="D1296" i="24"/>
  <c r="D1295" i="24"/>
  <c r="D1294" i="24"/>
  <c r="D1293" i="24"/>
  <c r="D1292" i="24"/>
  <c r="D1291" i="24"/>
  <c r="D1290" i="24"/>
  <c r="D1289" i="24"/>
  <c r="D1288" i="24"/>
  <c r="D1287" i="24"/>
  <c r="D1286" i="24"/>
  <c r="D1285" i="24"/>
  <c r="D1284" i="24"/>
  <c r="D1283" i="24"/>
  <c r="D1282" i="24"/>
  <c r="D1281" i="24"/>
  <c r="D1280" i="24"/>
  <c r="D1279" i="24"/>
  <c r="D1278" i="24"/>
  <c r="D1277" i="24"/>
  <c r="D1276" i="24"/>
  <c r="D1275" i="24"/>
  <c r="D1274" i="24"/>
  <c r="D1273" i="24"/>
  <c r="D1272" i="24"/>
  <c r="D1271" i="24"/>
  <c r="D1270" i="24"/>
  <c r="D1269" i="24"/>
  <c r="D1268" i="24"/>
  <c r="D1267" i="24"/>
  <c r="D1266" i="24"/>
  <c r="D1265" i="24"/>
  <c r="D1264" i="24"/>
  <c r="D1263" i="24"/>
  <c r="D1262" i="24"/>
  <c r="D1261" i="24"/>
  <c r="D1260" i="24"/>
  <c r="D1259" i="24"/>
  <c r="D1258" i="24"/>
  <c r="D1257" i="24"/>
  <c r="D1256" i="24"/>
  <c r="D1255" i="24"/>
  <c r="D1254" i="24"/>
  <c r="D1253" i="24"/>
  <c r="D1252" i="24"/>
  <c r="D1251" i="24"/>
  <c r="D1250" i="24"/>
  <c r="D1249" i="24"/>
  <c r="D1248" i="24"/>
  <c r="D1247" i="24"/>
  <c r="D1246" i="24"/>
  <c r="D1245" i="24"/>
  <c r="D1244" i="24"/>
  <c r="D1243" i="24"/>
  <c r="D1242" i="24"/>
  <c r="D1241" i="24"/>
  <c r="D1240" i="24"/>
  <c r="D1239" i="24"/>
  <c r="D1238" i="24"/>
  <c r="D1237" i="24"/>
  <c r="D1236" i="24"/>
  <c r="D1235" i="24"/>
  <c r="D1234" i="24"/>
  <c r="D1233" i="24"/>
  <c r="D1232" i="24"/>
  <c r="D1231" i="24"/>
  <c r="D1230" i="24"/>
  <c r="D1229" i="24"/>
  <c r="D1228" i="24"/>
  <c r="D1227" i="24"/>
  <c r="D1226" i="24"/>
  <c r="D1225" i="24"/>
  <c r="D1224" i="24"/>
  <c r="D1223" i="24"/>
  <c r="D1222" i="24"/>
  <c r="D1221" i="24"/>
  <c r="D1220" i="24"/>
  <c r="D1219" i="24"/>
  <c r="D1218" i="24"/>
  <c r="D1217" i="24"/>
  <c r="D1216" i="24"/>
  <c r="D1215" i="24"/>
  <c r="D1214" i="24"/>
  <c r="D1213" i="24"/>
  <c r="D1212" i="24"/>
  <c r="D1211" i="24"/>
  <c r="D1210" i="24"/>
  <c r="D1209" i="24"/>
  <c r="D1208" i="24"/>
  <c r="D1207" i="24"/>
  <c r="D1206" i="24"/>
  <c r="D1205" i="24"/>
  <c r="D1204" i="24"/>
  <c r="D1203" i="24"/>
  <c r="D1202" i="24"/>
  <c r="D1201" i="24"/>
  <c r="D1200" i="24"/>
  <c r="D1199" i="24"/>
  <c r="D1198" i="24"/>
  <c r="D1197" i="24"/>
  <c r="D1196" i="24"/>
  <c r="D1195" i="24"/>
  <c r="D1194" i="24"/>
  <c r="D1193" i="24"/>
  <c r="D1192" i="24"/>
  <c r="D1191" i="24"/>
  <c r="D1190" i="24"/>
  <c r="D1189" i="24"/>
  <c r="D1188" i="24"/>
  <c r="D1187" i="24"/>
  <c r="D1186" i="24"/>
  <c r="D1185" i="24"/>
  <c r="D1184" i="24"/>
  <c r="D1183" i="24"/>
  <c r="D1182" i="24"/>
  <c r="D1181" i="24"/>
  <c r="D1180" i="24"/>
  <c r="D1179" i="24"/>
  <c r="D1178" i="24"/>
  <c r="D1177" i="24"/>
  <c r="D1176" i="24"/>
  <c r="D1175" i="24"/>
  <c r="D1174" i="24"/>
  <c r="D1173" i="24"/>
  <c r="D1172" i="24"/>
  <c r="D1171" i="24"/>
  <c r="D1170" i="24"/>
  <c r="D1169" i="24"/>
  <c r="D1168" i="24"/>
  <c r="D1167" i="24"/>
  <c r="D1166" i="24"/>
  <c r="D1165" i="24"/>
  <c r="D1164" i="24"/>
  <c r="D1163" i="24"/>
  <c r="D1162" i="24"/>
  <c r="D1161" i="24"/>
  <c r="D1160" i="24"/>
  <c r="D1159" i="24"/>
  <c r="D1158" i="24"/>
  <c r="D1157" i="24"/>
  <c r="D1156" i="24"/>
  <c r="D1155" i="24"/>
  <c r="D1154" i="24"/>
  <c r="D1153" i="24"/>
  <c r="D1152" i="24"/>
  <c r="D1151" i="24"/>
  <c r="D1150" i="24"/>
  <c r="D1149" i="24"/>
  <c r="D1148" i="24"/>
  <c r="D1147" i="24"/>
  <c r="D1146" i="24"/>
  <c r="D1145" i="24"/>
  <c r="D1144" i="24"/>
  <c r="D1143" i="24"/>
  <c r="D1142" i="24"/>
  <c r="D1141" i="24"/>
  <c r="D1140" i="24"/>
  <c r="D1139" i="24"/>
  <c r="D1138" i="24"/>
  <c r="D1137" i="24"/>
  <c r="D1136" i="24"/>
  <c r="D1135" i="24"/>
  <c r="D1134" i="24"/>
  <c r="D1133" i="24"/>
  <c r="D1132" i="24"/>
  <c r="D1131" i="24"/>
  <c r="D1130" i="24"/>
  <c r="D1129" i="24"/>
  <c r="D1128" i="24"/>
  <c r="D1127" i="24"/>
  <c r="D1126" i="24"/>
  <c r="D1125" i="24"/>
  <c r="D1124" i="24"/>
  <c r="D1123" i="24"/>
  <c r="D1122" i="24"/>
  <c r="D1121" i="24"/>
  <c r="D1120" i="24"/>
  <c r="D1119" i="24"/>
  <c r="D1118" i="24"/>
  <c r="D1117" i="24"/>
  <c r="D1116" i="24"/>
  <c r="D1115" i="24"/>
  <c r="D1114" i="24"/>
  <c r="D1113" i="24"/>
  <c r="D1112" i="24"/>
  <c r="D1111" i="24"/>
  <c r="D1110" i="24"/>
  <c r="D1109" i="24"/>
  <c r="D1108" i="24"/>
  <c r="D1107" i="24"/>
  <c r="D1106" i="24"/>
  <c r="D1105" i="24"/>
  <c r="D1104" i="24"/>
  <c r="D1103" i="24"/>
  <c r="D1102" i="24"/>
  <c r="D1101" i="24"/>
  <c r="D1100" i="24"/>
  <c r="D1099" i="24"/>
  <c r="D1098" i="24"/>
  <c r="D1097" i="24"/>
  <c r="D1096" i="24"/>
  <c r="D1095" i="24"/>
  <c r="D1094" i="24"/>
  <c r="D1093" i="24"/>
  <c r="D1092" i="24"/>
  <c r="D1091" i="24"/>
  <c r="D1090" i="24"/>
  <c r="D1089" i="24"/>
  <c r="D1088" i="24"/>
  <c r="D1087" i="24"/>
  <c r="D1086" i="24"/>
  <c r="D1085" i="24"/>
  <c r="D1084" i="24"/>
  <c r="D1083" i="24"/>
  <c r="D1082" i="24"/>
  <c r="D1081" i="24"/>
  <c r="D1080" i="24"/>
  <c r="D1079" i="24"/>
  <c r="D1078" i="24"/>
  <c r="D1077" i="24"/>
  <c r="D1076" i="24"/>
  <c r="D1075" i="24"/>
  <c r="D1074" i="24"/>
  <c r="D1073" i="24"/>
  <c r="D1072" i="24"/>
  <c r="D1071" i="24"/>
  <c r="D1070" i="24"/>
  <c r="D1069" i="24"/>
  <c r="D1068" i="24"/>
  <c r="D1067" i="24"/>
  <c r="D1066" i="24"/>
  <c r="D1065" i="24"/>
  <c r="D1064" i="24"/>
  <c r="D1063" i="24"/>
  <c r="D1062" i="24"/>
  <c r="D1061" i="24"/>
  <c r="D1060" i="24"/>
  <c r="D1059" i="24"/>
  <c r="D1058" i="24"/>
  <c r="D1057" i="24"/>
  <c r="D1056" i="24"/>
  <c r="D1055" i="24"/>
  <c r="D1054" i="24"/>
  <c r="D1053" i="24"/>
  <c r="D1052" i="24"/>
  <c r="D1051" i="24"/>
  <c r="D1050" i="24"/>
  <c r="D1049" i="24"/>
  <c r="D1048" i="24"/>
  <c r="D1047" i="24"/>
  <c r="D1046" i="24"/>
  <c r="D1045" i="24"/>
  <c r="D1044" i="24"/>
  <c r="D1043" i="24"/>
  <c r="D1042" i="24"/>
  <c r="D1041" i="24"/>
  <c r="D1040" i="24"/>
  <c r="D1039" i="24"/>
  <c r="D1038" i="24"/>
  <c r="D1037" i="24"/>
  <c r="D1036" i="24"/>
  <c r="D1035" i="24"/>
  <c r="D1034" i="24"/>
  <c r="D1033" i="24"/>
  <c r="D1032" i="24"/>
  <c r="D1031" i="24"/>
  <c r="D1030" i="24"/>
  <c r="D1029" i="24"/>
  <c r="D1028" i="24"/>
  <c r="D1027" i="24"/>
  <c r="D1026" i="24"/>
  <c r="D1025" i="24"/>
  <c r="D1024" i="24"/>
  <c r="D1023" i="24"/>
  <c r="D1022" i="24"/>
  <c r="D1021" i="24"/>
  <c r="D1020" i="24"/>
  <c r="D1019" i="24"/>
  <c r="D1018" i="24"/>
  <c r="D1017" i="24"/>
  <c r="D1016" i="24"/>
  <c r="D1015" i="24"/>
  <c r="D1014" i="24"/>
  <c r="D1013" i="24"/>
  <c r="D1012" i="24"/>
  <c r="D1011" i="24"/>
  <c r="D1010" i="24"/>
  <c r="D1009" i="24"/>
  <c r="D1008" i="24"/>
  <c r="D1007" i="24"/>
  <c r="D1006" i="24"/>
  <c r="D1005" i="24"/>
  <c r="D1004" i="24"/>
  <c r="D1003" i="24"/>
  <c r="D1002" i="24"/>
  <c r="D1001" i="24"/>
  <c r="D1000" i="24"/>
  <c r="D999" i="24"/>
  <c r="D998" i="24"/>
  <c r="D997" i="24"/>
  <c r="D996" i="24"/>
  <c r="D995" i="24"/>
  <c r="D994" i="24"/>
  <c r="D993" i="24"/>
  <c r="D992" i="24"/>
  <c r="D991" i="24"/>
  <c r="D990" i="24"/>
  <c r="D989" i="24"/>
  <c r="D988" i="24"/>
  <c r="D987" i="24"/>
  <c r="D986" i="24"/>
  <c r="D985" i="24"/>
  <c r="D984" i="24"/>
  <c r="D983" i="24"/>
  <c r="D982" i="24"/>
  <c r="D981" i="24"/>
  <c r="D980" i="24"/>
  <c r="D979" i="24"/>
  <c r="D978" i="24"/>
  <c r="D977" i="24"/>
  <c r="D976" i="24"/>
  <c r="D975" i="24"/>
  <c r="D974" i="24"/>
  <c r="D973" i="24"/>
  <c r="D972" i="24"/>
  <c r="D971" i="24"/>
  <c r="D970" i="24"/>
  <c r="D969" i="24"/>
  <c r="D968" i="24"/>
  <c r="D967" i="24"/>
  <c r="D966" i="24"/>
  <c r="D965" i="24"/>
  <c r="D964" i="24"/>
  <c r="D963" i="24"/>
  <c r="D962" i="24"/>
  <c r="D961" i="24"/>
  <c r="D960" i="24"/>
  <c r="D959" i="24"/>
  <c r="D958" i="24"/>
  <c r="D957" i="24"/>
  <c r="D956" i="24"/>
  <c r="D955" i="24"/>
  <c r="D954" i="24"/>
  <c r="D953" i="24"/>
  <c r="D952" i="24"/>
  <c r="D951" i="24"/>
  <c r="D950" i="24"/>
  <c r="D949" i="24"/>
  <c r="D948" i="24"/>
  <c r="D947" i="24"/>
  <c r="D946" i="24"/>
  <c r="D945" i="24"/>
  <c r="D944" i="24"/>
  <c r="D943" i="24"/>
  <c r="D942" i="24"/>
  <c r="D941" i="24"/>
  <c r="D940" i="24"/>
  <c r="D939" i="24"/>
  <c r="D938" i="24"/>
  <c r="D937" i="24"/>
  <c r="D936" i="24"/>
  <c r="D935" i="24"/>
  <c r="D934" i="24"/>
  <c r="D933" i="24"/>
  <c r="D932" i="24"/>
  <c r="D931" i="24"/>
  <c r="D930" i="24"/>
  <c r="D929" i="24"/>
  <c r="D928" i="24"/>
  <c r="D927" i="24"/>
  <c r="D926" i="24"/>
  <c r="D925" i="24"/>
  <c r="D924" i="24"/>
  <c r="D923" i="24"/>
  <c r="D922" i="24"/>
  <c r="D921" i="24"/>
  <c r="D920" i="24"/>
  <c r="D919" i="24"/>
  <c r="D918" i="24"/>
  <c r="D917" i="24"/>
  <c r="D916" i="24"/>
  <c r="D915" i="24"/>
  <c r="D914" i="24"/>
  <c r="D913" i="24"/>
  <c r="D912" i="24"/>
  <c r="D911" i="24"/>
  <c r="D910" i="24"/>
  <c r="D909" i="24"/>
  <c r="D908" i="24"/>
  <c r="D907" i="24"/>
  <c r="D906" i="24"/>
  <c r="D905" i="24"/>
  <c r="D904" i="24"/>
  <c r="D903" i="24"/>
  <c r="D902" i="24"/>
  <c r="D901" i="24"/>
  <c r="D900" i="24"/>
  <c r="D899" i="24"/>
  <c r="D898" i="24"/>
  <c r="D897" i="24"/>
  <c r="D896" i="24"/>
  <c r="D895" i="24"/>
  <c r="D894" i="24"/>
  <c r="D893" i="24"/>
  <c r="D892" i="24"/>
  <c r="D891" i="24"/>
  <c r="D890" i="24"/>
  <c r="D889" i="24"/>
  <c r="D888" i="24"/>
  <c r="D887" i="24"/>
  <c r="D886" i="24"/>
  <c r="D885" i="24"/>
  <c r="D884" i="24"/>
  <c r="D883" i="24"/>
  <c r="D882" i="24"/>
  <c r="D881" i="24"/>
  <c r="D880" i="24"/>
  <c r="D879" i="24"/>
  <c r="D878" i="24"/>
  <c r="D877" i="24"/>
  <c r="D876" i="24"/>
  <c r="D875" i="24"/>
  <c r="D874" i="24"/>
  <c r="D873" i="24"/>
  <c r="D872" i="24"/>
  <c r="D871" i="24"/>
  <c r="D870" i="24"/>
  <c r="D869" i="24"/>
  <c r="D868" i="24"/>
  <c r="D867" i="24"/>
  <c r="D866" i="24"/>
  <c r="D865" i="24"/>
  <c r="D864" i="24"/>
  <c r="D863" i="24"/>
  <c r="D862" i="24"/>
  <c r="D861" i="24"/>
  <c r="D860" i="24"/>
  <c r="D859" i="24"/>
  <c r="D858" i="24"/>
  <c r="D857" i="24"/>
  <c r="D856" i="24"/>
  <c r="D855" i="24"/>
  <c r="D854" i="24"/>
  <c r="D853" i="24"/>
  <c r="D852" i="24"/>
  <c r="D851" i="24"/>
  <c r="D850" i="24"/>
  <c r="D849" i="24"/>
  <c r="D848" i="24"/>
  <c r="D847" i="24"/>
  <c r="D846" i="24"/>
  <c r="D845" i="24"/>
  <c r="D844" i="24"/>
  <c r="D843" i="24"/>
  <c r="D842" i="24"/>
  <c r="D841" i="24"/>
  <c r="D840" i="24"/>
  <c r="D839" i="24"/>
  <c r="D838" i="24"/>
  <c r="D837" i="24"/>
  <c r="D836" i="24"/>
  <c r="D835" i="24"/>
  <c r="D834" i="24"/>
  <c r="D833" i="24"/>
  <c r="D832" i="24"/>
  <c r="D831" i="24"/>
  <c r="D830" i="24"/>
  <c r="D829" i="24"/>
  <c r="D828" i="24"/>
  <c r="D827" i="24"/>
  <c r="D826" i="24"/>
  <c r="D825" i="24"/>
  <c r="D824" i="24"/>
  <c r="D823" i="24"/>
  <c r="D822" i="24"/>
  <c r="D821" i="24"/>
  <c r="D820" i="24"/>
  <c r="D819" i="24"/>
  <c r="D818" i="24"/>
  <c r="D817" i="24"/>
  <c r="D816" i="24"/>
  <c r="D815" i="24"/>
  <c r="D814" i="24"/>
  <c r="D813" i="24"/>
  <c r="D812" i="24"/>
  <c r="D811" i="24"/>
  <c r="D810" i="24"/>
  <c r="D809" i="24"/>
  <c r="D808" i="24"/>
  <c r="D807" i="24"/>
  <c r="D806" i="24"/>
  <c r="D805" i="24"/>
  <c r="D804" i="24"/>
  <c r="D803" i="24"/>
  <c r="D802" i="24"/>
  <c r="D801" i="24"/>
  <c r="D800" i="24"/>
  <c r="D799" i="24"/>
  <c r="D798" i="24"/>
  <c r="D797" i="24"/>
  <c r="D796" i="24"/>
  <c r="D795" i="24"/>
  <c r="D794" i="24"/>
  <c r="D793" i="24"/>
  <c r="D792" i="24"/>
  <c r="D791" i="24"/>
  <c r="D790" i="24"/>
  <c r="D789" i="24"/>
  <c r="D788" i="24"/>
  <c r="D787" i="24"/>
  <c r="D786" i="24"/>
  <c r="D785" i="24"/>
  <c r="D784" i="24"/>
  <c r="D783" i="24"/>
  <c r="D782" i="24"/>
  <c r="D781" i="24"/>
  <c r="D780" i="24"/>
  <c r="D779" i="24"/>
  <c r="D778" i="24"/>
  <c r="D777" i="24"/>
  <c r="D776" i="24"/>
  <c r="D775" i="24"/>
  <c r="D774" i="24"/>
  <c r="D773" i="24"/>
  <c r="D772" i="24"/>
  <c r="D771" i="24"/>
  <c r="D770" i="24"/>
  <c r="D769" i="24"/>
  <c r="D768" i="24"/>
  <c r="D767" i="24"/>
  <c r="D766" i="24"/>
  <c r="D765" i="24"/>
  <c r="D764" i="24"/>
  <c r="D763" i="24"/>
  <c r="D762" i="24"/>
  <c r="D761" i="24"/>
  <c r="D760" i="24"/>
  <c r="D759" i="24"/>
  <c r="D758" i="24"/>
  <c r="D757" i="24"/>
  <c r="D756" i="24"/>
  <c r="D755" i="24"/>
  <c r="D754" i="24"/>
  <c r="D753" i="24"/>
  <c r="D752" i="24"/>
  <c r="D751" i="24"/>
  <c r="D750" i="24"/>
  <c r="D749" i="24"/>
  <c r="D748" i="24"/>
  <c r="D747" i="24"/>
  <c r="D746" i="24"/>
  <c r="D745" i="24"/>
  <c r="D744" i="24"/>
  <c r="D743" i="24"/>
  <c r="D742" i="24"/>
  <c r="D741" i="24"/>
  <c r="D740" i="24"/>
  <c r="D739" i="24"/>
  <c r="D738" i="24"/>
  <c r="D737" i="24"/>
  <c r="D736" i="24"/>
  <c r="D735" i="24"/>
  <c r="D734" i="24"/>
  <c r="D733" i="24"/>
  <c r="D732" i="24"/>
  <c r="D731" i="24"/>
  <c r="D730" i="24"/>
  <c r="D729" i="24"/>
  <c r="D728" i="24"/>
  <c r="D727" i="24"/>
  <c r="D726" i="24"/>
  <c r="D725" i="24"/>
  <c r="D724" i="24"/>
  <c r="D723" i="24"/>
  <c r="D722" i="24"/>
  <c r="D721" i="24"/>
  <c r="D720" i="24"/>
  <c r="D719" i="24"/>
  <c r="D718" i="24"/>
  <c r="D717" i="24"/>
  <c r="D716" i="24"/>
  <c r="D715" i="24"/>
  <c r="D714" i="24"/>
  <c r="D713" i="24"/>
  <c r="D712" i="24"/>
  <c r="D711" i="24"/>
  <c r="D710" i="24"/>
  <c r="D709" i="24"/>
  <c r="D708" i="24"/>
  <c r="D707" i="24"/>
  <c r="D706" i="24"/>
  <c r="D705" i="24"/>
  <c r="D704" i="24"/>
  <c r="D703" i="24"/>
  <c r="D702" i="24"/>
  <c r="D701" i="24"/>
  <c r="D700" i="24"/>
  <c r="D699" i="24"/>
  <c r="D698" i="24"/>
  <c r="D697" i="24"/>
  <c r="D696" i="24"/>
  <c r="D695" i="24"/>
  <c r="D694" i="24"/>
  <c r="D693" i="24"/>
  <c r="D692" i="24"/>
  <c r="D691" i="24"/>
  <c r="D690" i="24"/>
  <c r="D689" i="24"/>
  <c r="D688" i="24"/>
  <c r="D687" i="24"/>
  <c r="D686" i="24"/>
  <c r="D685" i="24"/>
  <c r="D684" i="24"/>
  <c r="D683" i="24"/>
  <c r="D682" i="24"/>
  <c r="D681" i="24"/>
  <c r="D680" i="24"/>
  <c r="D679" i="24"/>
  <c r="D678" i="24"/>
  <c r="D677" i="24"/>
  <c r="D676" i="24"/>
  <c r="D675" i="24"/>
  <c r="D674" i="24"/>
  <c r="D673" i="24"/>
  <c r="D672" i="24"/>
  <c r="D671" i="24"/>
  <c r="D670" i="24"/>
  <c r="D669" i="24"/>
  <c r="D668" i="24"/>
  <c r="D667" i="24"/>
  <c r="D666" i="24"/>
  <c r="D665" i="24"/>
  <c r="D664" i="24"/>
  <c r="D663" i="24"/>
  <c r="D662" i="24"/>
  <c r="D661" i="24"/>
  <c r="D660" i="24"/>
  <c r="D659" i="24"/>
  <c r="D658" i="24"/>
  <c r="D657" i="24"/>
  <c r="D656" i="24"/>
  <c r="D655" i="24"/>
  <c r="D654" i="24"/>
  <c r="D653" i="24"/>
  <c r="D652" i="24"/>
  <c r="D651" i="24"/>
  <c r="D650" i="24"/>
  <c r="D649" i="24"/>
  <c r="D648" i="24"/>
  <c r="D647" i="24"/>
  <c r="D646" i="24"/>
  <c r="D645" i="24"/>
  <c r="D644" i="24"/>
  <c r="D643" i="24"/>
  <c r="D642" i="24"/>
  <c r="D641" i="24"/>
  <c r="D640" i="24"/>
  <c r="D639" i="24"/>
  <c r="D638" i="24"/>
  <c r="D637" i="24"/>
  <c r="D636" i="24"/>
  <c r="D635" i="24"/>
  <c r="D634" i="24"/>
  <c r="D633" i="24"/>
  <c r="D632" i="24"/>
  <c r="D631" i="24"/>
  <c r="D630" i="24"/>
  <c r="D629" i="24"/>
  <c r="D628" i="24"/>
  <c r="D627" i="24"/>
  <c r="D626" i="24"/>
  <c r="D625" i="24"/>
  <c r="D624" i="24"/>
  <c r="D623" i="24"/>
  <c r="D622" i="24"/>
  <c r="D621" i="24"/>
  <c r="D620" i="24"/>
  <c r="D619" i="24"/>
  <c r="D618" i="24"/>
  <c r="D617" i="24"/>
  <c r="D616" i="24"/>
  <c r="D615" i="24"/>
  <c r="D614" i="24"/>
  <c r="D613" i="24"/>
  <c r="D612" i="24"/>
  <c r="D611" i="24"/>
  <c r="D610" i="24"/>
  <c r="D609" i="24"/>
  <c r="D608" i="24"/>
  <c r="D607" i="24"/>
  <c r="D606" i="24"/>
  <c r="D605" i="24"/>
  <c r="D604" i="24"/>
  <c r="D603" i="24"/>
  <c r="D602" i="24"/>
  <c r="D601" i="24"/>
  <c r="D600" i="24"/>
  <c r="D599" i="24"/>
  <c r="D598" i="24"/>
  <c r="D597" i="24"/>
  <c r="D596" i="24"/>
  <c r="D595" i="24"/>
  <c r="D594" i="24"/>
  <c r="D593" i="24"/>
  <c r="D592" i="24"/>
  <c r="D591" i="24"/>
  <c r="D590" i="24"/>
  <c r="D589" i="24"/>
  <c r="D588" i="24"/>
  <c r="D587" i="24"/>
  <c r="D586" i="24"/>
  <c r="D585" i="24"/>
  <c r="D584" i="24"/>
  <c r="D583" i="24"/>
  <c r="D582" i="24"/>
  <c r="D581" i="24"/>
  <c r="D580" i="24"/>
  <c r="D579" i="24"/>
  <c r="D578" i="24"/>
  <c r="D577" i="24"/>
  <c r="D576" i="24"/>
  <c r="D575" i="24"/>
  <c r="D574" i="24"/>
  <c r="D573" i="24"/>
  <c r="D572" i="24"/>
  <c r="D571" i="24"/>
  <c r="D570" i="24"/>
  <c r="D569" i="24"/>
  <c r="D568" i="24"/>
  <c r="D567" i="24"/>
  <c r="D566" i="24"/>
  <c r="D565" i="24"/>
  <c r="D564" i="24"/>
  <c r="D563" i="24"/>
  <c r="D562" i="24"/>
  <c r="D561" i="24"/>
  <c r="D560" i="24"/>
  <c r="D559" i="24"/>
  <c r="D558" i="24"/>
  <c r="D557" i="24"/>
  <c r="D556" i="24"/>
  <c r="D555" i="24"/>
  <c r="D554" i="24"/>
  <c r="D553" i="24"/>
  <c r="D552" i="24"/>
  <c r="D551" i="24"/>
  <c r="D550" i="24"/>
  <c r="D549" i="24"/>
  <c r="D548" i="24"/>
  <c r="D547" i="24"/>
  <c r="D546" i="24"/>
  <c r="D545" i="24"/>
  <c r="D544" i="24"/>
  <c r="D543" i="24"/>
  <c r="D542" i="24"/>
  <c r="D541" i="24"/>
  <c r="D540" i="24"/>
  <c r="D539" i="24"/>
  <c r="D538" i="24"/>
  <c r="D537" i="24"/>
  <c r="D536" i="24"/>
  <c r="D535" i="24"/>
  <c r="D534" i="24"/>
  <c r="D533" i="24"/>
  <c r="D532" i="24"/>
  <c r="D531" i="24"/>
  <c r="D530" i="24"/>
  <c r="D529" i="24"/>
  <c r="D528" i="24"/>
  <c r="D527" i="24"/>
  <c r="D526" i="24"/>
  <c r="D525" i="24"/>
  <c r="D524" i="24"/>
  <c r="D523" i="24"/>
  <c r="D522" i="24"/>
  <c r="D521" i="24"/>
  <c r="D520" i="24"/>
  <c r="D519" i="24"/>
  <c r="D518" i="24"/>
  <c r="D517" i="24"/>
  <c r="D516" i="24"/>
  <c r="D515" i="24"/>
  <c r="D514" i="24"/>
  <c r="D513" i="24"/>
  <c r="D512" i="24"/>
  <c r="D511" i="24"/>
  <c r="D510" i="24"/>
  <c r="D509" i="24"/>
  <c r="D508" i="24"/>
  <c r="D507" i="24"/>
  <c r="D506" i="24"/>
  <c r="D505" i="24"/>
  <c r="D504" i="24"/>
  <c r="D503" i="24"/>
  <c r="D502" i="24"/>
  <c r="D501" i="24"/>
  <c r="D500" i="24"/>
  <c r="D499" i="24"/>
  <c r="D498" i="24"/>
  <c r="D497" i="24"/>
  <c r="D496" i="24"/>
  <c r="D495" i="24"/>
  <c r="D494" i="24"/>
  <c r="D493" i="24"/>
  <c r="D492" i="24"/>
  <c r="D491" i="24"/>
  <c r="D490" i="24"/>
  <c r="D489" i="24"/>
  <c r="D488" i="24"/>
  <c r="D487" i="24"/>
  <c r="D486" i="24"/>
  <c r="D485" i="24"/>
  <c r="D484" i="24"/>
  <c r="D483" i="24"/>
  <c r="D482" i="24"/>
  <c r="D481" i="24"/>
  <c r="D480" i="24"/>
  <c r="D479" i="24"/>
  <c r="D478" i="24"/>
  <c r="D477" i="24"/>
  <c r="D476" i="24"/>
  <c r="D475" i="24"/>
  <c r="D474" i="24"/>
  <c r="D473" i="24"/>
  <c r="D472" i="24"/>
  <c r="D471" i="24"/>
  <c r="D470" i="24"/>
  <c r="D469" i="24"/>
  <c r="D468" i="24"/>
  <c r="D467" i="24"/>
  <c r="D466" i="24"/>
  <c r="D465" i="24"/>
  <c r="D464" i="24"/>
  <c r="D463" i="24"/>
  <c r="D462" i="24"/>
  <c r="D461" i="24"/>
  <c r="D460" i="24"/>
  <c r="D459" i="24"/>
  <c r="D458" i="24"/>
  <c r="D457" i="24"/>
  <c r="D456" i="24"/>
  <c r="D455" i="24"/>
  <c r="D454" i="24"/>
  <c r="D453" i="24"/>
  <c r="D452" i="24"/>
  <c r="D451" i="24"/>
  <c r="D450" i="24"/>
  <c r="D449" i="24"/>
  <c r="D448" i="24"/>
  <c r="D447" i="24"/>
  <c r="D446" i="24"/>
  <c r="D445" i="24"/>
  <c r="D444" i="24"/>
  <c r="D443" i="24"/>
  <c r="D442" i="24"/>
  <c r="D441" i="24"/>
  <c r="D440" i="24"/>
  <c r="D439" i="24"/>
  <c r="D438" i="24"/>
  <c r="D437" i="24"/>
  <c r="D436" i="24"/>
  <c r="D435" i="24"/>
  <c r="D434" i="24"/>
  <c r="D433" i="24"/>
  <c r="D432" i="24"/>
  <c r="D431" i="24"/>
  <c r="D430" i="24"/>
  <c r="D429" i="24"/>
  <c r="D428" i="24"/>
  <c r="D427" i="24"/>
  <c r="D426" i="24"/>
  <c r="D425" i="24"/>
  <c r="D424" i="24"/>
  <c r="D423" i="24"/>
  <c r="D422" i="24"/>
  <c r="D421" i="24"/>
  <c r="D420" i="24"/>
  <c r="D419" i="24"/>
  <c r="D418" i="24"/>
  <c r="D417" i="24"/>
  <c r="D416" i="24"/>
  <c r="D415" i="24"/>
  <c r="D414" i="24"/>
  <c r="D413" i="24"/>
  <c r="D412" i="24"/>
  <c r="D411" i="24"/>
  <c r="D410" i="24"/>
  <c r="D409" i="24"/>
  <c r="D408" i="24"/>
  <c r="D407" i="24"/>
  <c r="D406" i="24"/>
  <c r="D405" i="24"/>
  <c r="D404" i="24"/>
  <c r="D403" i="24"/>
  <c r="D402" i="24"/>
  <c r="D401" i="24"/>
  <c r="D400" i="24"/>
  <c r="D399" i="24"/>
  <c r="D398" i="24"/>
  <c r="D397" i="24"/>
  <c r="D396" i="24"/>
  <c r="D395" i="24"/>
  <c r="D394" i="24"/>
  <c r="D393" i="24"/>
  <c r="D392" i="24"/>
  <c r="D391" i="24"/>
  <c r="D390" i="24"/>
  <c r="D389" i="24"/>
  <c r="D388" i="24"/>
  <c r="D387" i="24"/>
  <c r="D386" i="24"/>
  <c r="D385" i="24"/>
  <c r="D384" i="24"/>
  <c r="D383" i="24"/>
  <c r="D382" i="24"/>
  <c r="D381" i="24"/>
  <c r="D380" i="24"/>
  <c r="D379" i="24"/>
  <c r="D378" i="24"/>
  <c r="D377" i="24"/>
  <c r="D376" i="24"/>
  <c r="D375" i="24"/>
  <c r="D374" i="24"/>
  <c r="D373" i="24"/>
  <c r="D372" i="24"/>
  <c r="D371" i="24"/>
  <c r="D370" i="24"/>
  <c r="D369" i="24"/>
  <c r="D368" i="24"/>
  <c r="D367" i="24"/>
  <c r="D366" i="24"/>
  <c r="D365" i="24"/>
  <c r="D364" i="24"/>
  <c r="D363" i="24"/>
  <c r="D362" i="24"/>
  <c r="D361" i="24"/>
  <c r="D360" i="24"/>
  <c r="D359" i="24"/>
  <c r="D358" i="24"/>
  <c r="D357" i="24"/>
  <c r="D356" i="24"/>
  <c r="D355" i="24"/>
  <c r="D354" i="24"/>
  <c r="D353" i="24"/>
  <c r="D352" i="24"/>
  <c r="D351" i="24"/>
  <c r="D350" i="24"/>
  <c r="D349" i="24"/>
  <c r="D348" i="24"/>
  <c r="D347" i="24"/>
  <c r="D346" i="24"/>
  <c r="D345" i="24"/>
  <c r="D344" i="24"/>
  <c r="D343" i="24"/>
  <c r="D342" i="24"/>
  <c r="D341" i="24"/>
  <c r="D340" i="24"/>
  <c r="D339" i="24"/>
  <c r="D338" i="24"/>
  <c r="D337" i="24"/>
  <c r="D336" i="24"/>
  <c r="D335" i="24"/>
  <c r="D334" i="24"/>
  <c r="D333" i="24"/>
  <c r="D332" i="24"/>
  <c r="D331" i="24"/>
  <c r="D330" i="24"/>
  <c r="D329" i="24"/>
  <c r="D328" i="24"/>
  <c r="D327" i="24"/>
  <c r="D326" i="24"/>
  <c r="D325" i="24"/>
  <c r="D324" i="24"/>
  <c r="D323" i="24"/>
  <c r="D322" i="24"/>
  <c r="D321" i="24"/>
  <c r="D320" i="24"/>
  <c r="D319" i="24"/>
  <c r="D318" i="24"/>
  <c r="D317" i="24"/>
  <c r="D316" i="24"/>
  <c r="D315" i="24"/>
  <c r="D314" i="24"/>
  <c r="D313" i="24"/>
  <c r="D312" i="24"/>
  <c r="D311" i="24"/>
  <c r="D310" i="24"/>
  <c r="D309" i="24"/>
  <c r="D308" i="24"/>
  <c r="D307" i="24"/>
  <c r="D306" i="24"/>
  <c r="D305" i="24"/>
  <c r="D304" i="24"/>
  <c r="D303" i="24"/>
  <c r="D302" i="24"/>
  <c r="D301" i="24"/>
  <c r="D300" i="24"/>
  <c r="D299" i="24"/>
  <c r="D298" i="24"/>
  <c r="D297" i="24"/>
  <c r="D296" i="24"/>
  <c r="D295" i="24"/>
  <c r="D294" i="24"/>
  <c r="D293" i="24"/>
  <c r="D292" i="24"/>
  <c r="D291" i="24"/>
  <c r="D290" i="24"/>
  <c r="D289" i="24"/>
  <c r="D288" i="24"/>
  <c r="D287" i="24"/>
  <c r="D286" i="24"/>
  <c r="D285" i="24"/>
  <c r="D284" i="24"/>
  <c r="D283" i="24"/>
  <c r="D282" i="24"/>
  <c r="D281" i="24"/>
  <c r="D280" i="24"/>
  <c r="D279" i="24"/>
  <c r="D278" i="24"/>
  <c r="D277" i="24"/>
  <c r="D276" i="24"/>
  <c r="D275" i="24"/>
  <c r="D274" i="24"/>
  <c r="D273" i="24"/>
  <c r="D272" i="24"/>
  <c r="D271" i="24"/>
  <c r="D270" i="24"/>
  <c r="D269" i="24"/>
  <c r="D268" i="24"/>
  <c r="D267" i="24"/>
  <c r="D266" i="24"/>
  <c r="D265" i="24"/>
  <c r="D264" i="24"/>
  <c r="D263" i="24"/>
  <c r="D262" i="24"/>
  <c r="D261" i="24"/>
  <c r="D260" i="24"/>
  <c r="D259" i="24"/>
  <c r="D258" i="24"/>
  <c r="D257" i="24"/>
  <c r="D256" i="24"/>
  <c r="D255" i="24"/>
  <c r="D254" i="24"/>
  <c r="D253" i="24"/>
  <c r="D252" i="24"/>
  <c r="D251" i="24"/>
  <c r="D250" i="24"/>
  <c r="D249" i="24"/>
  <c r="D248" i="24"/>
  <c r="D247" i="24"/>
  <c r="D246" i="24"/>
  <c r="D245" i="24"/>
  <c r="D244" i="24"/>
  <c r="D243" i="24"/>
  <c r="D242" i="24"/>
  <c r="D241" i="24"/>
  <c r="D240" i="24"/>
  <c r="D239" i="24"/>
  <c r="D238" i="24"/>
  <c r="D237" i="24"/>
  <c r="D236" i="24"/>
  <c r="D235" i="24"/>
  <c r="D234" i="24"/>
  <c r="D233" i="24"/>
  <c r="D232" i="24"/>
  <c r="D231" i="24"/>
  <c r="D230" i="24"/>
  <c r="D229" i="24"/>
  <c r="D228" i="24"/>
  <c r="D227" i="24"/>
  <c r="D226" i="24"/>
  <c r="D225" i="24"/>
  <c r="D224" i="24"/>
  <c r="D223" i="24"/>
  <c r="D222" i="24"/>
  <c r="D221" i="24"/>
  <c r="D220" i="24"/>
  <c r="D219" i="24"/>
  <c r="D218" i="24"/>
  <c r="D217" i="24"/>
  <c r="D216" i="24"/>
  <c r="D215" i="24"/>
  <c r="D214" i="24"/>
  <c r="D213" i="24"/>
  <c r="D212" i="24"/>
  <c r="D211" i="24"/>
  <c r="D210" i="24"/>
  <c r="D209" i="24"/>
  <c r="D208" i="24"/>
  <c r="D207" i="24"/>
  <c r="D206" i="24"/>
  <c r="D205" i="24"/>
  <c r="D204" i="24"/>
  <c r="D203" i="24"/>
  <c r="D202" i="24"/>
  <c r="D201" i="24"/>
  <c r="D200" i="24"/>
  <c r="D199" i="24"/>
  <c r="D198" i="24"/>
  <c r="D197" i="24"/>
  <c r="D196" i="24"/>
  <c r="D195" i="24"/>
  <c r="D194" i="24"/>
  <c r="D193" i="24"/>
  <c r="D192" i="24"/>
  <c r="D191" i="24"/>
  <c r="D190" i="24"/>
  <c r="D189" i="24"/>
  <c r="D188" i="24"/>
  <c r="D187" i="24"/>
  <c r="D186" i="24"/>
  <c r="D185" i="24"/>
  <c r="D184" i="24"/>
  <c r="D183" i="24"/>
  <c r="D182" i="24"/>
  <c r="D181" i="24"/>
  <c r="D180" i="24"/>
  <c r="D179" i="24"/>
  <c r="D178" i="24"/>
  <c r="D177" i="24"/>
  <c r="D176" i="24"/>
  <c r="D175" i="24"/>
  <c r="D174" i="24"/>
  <c r="D173" i="24"/>
  <c r="D172" i="24"/>
  <c r="D171" i="24"/>
  <c r="D170" i="24"/>
  <c r="D169" i="24"/>
  <c r="D168" i="24"/>
  <c r="D167" i="24"/>
  <c r="D166" i="24"/>
  <c r="D165" i="24"/>
  <c r="D164" i="24"/>
  <c r="D163" i="24"/>
  <c r="D162" i="24"/>
  <c r="D161" i="24"/>
  <c r="D160" i="24"/>
  <c r="D159" i="24"/>
  <c r="D158" i="24"/>
  <c r="D157" i="24"/>
  <c r="D156" i="24"/>
  <c r="D155" i="24"/>
  <c r="D154" i="24"/>
  <c r="D153" i="24"/>
  <c r="D152" i="24"/>
  <c r="D151" i="24"/>
  <c r="D150" i="24"/>
  <c r="D149" i="24"/>
  <c r="D148" i="24"/>
  <c r="D147" i="24"/>
  <c r="D146" i="24"/>
  <c r="D145" i="24"/>
  <c r="D144" i="24"/>
  <c r="D143" i="24"/>
  <c r="D142" i="24"/>
  <c r="D141" i="24"/>
  <c r="D140" i="24"/>
  <c r="D139" i="24"/>
  <c r="D138" i="24"/>
  <c r="D137" i="24"/>
  <c r="D136" i="24"/>
  <c r="D135" i="24"/>
  <c r="D134" i="24"/>
  <c r="D133" i="24"/>
  <c r="D132" i="24"/>
  <c r="D131" i="24"/>
  <c r="D130" i="24"/>
  <c r="D129" i="24"/>
  <c r="D128" i="24"/>
  <c r="D127" i="24"/>
  <c r="D126" i="24"/>
  <c r="D125" i="24"/>
  <c r="D124" i="24"/>
  <c r="D123" i="24"/>
  <c r="D122" i="24"/>
  <c r="D121" i="24"/>
  <c r="D120" i="24"/>
  <c r="D119" i="24"/>
  <c r="D118" i="24"/>
  <c r="D117" i="24"/>
  <c r="D116" i="24"/>
  <c r="D115" i="24"/>
  <c r="D114" i="24"/>
  <c r="D113" i="24"/>
  <c r="D112" i="24"/>
  <c r="D111" i="24"/>
  <c r="D110" i="24"/>
  <c r="D109" i="24"/>
  <c r="D108" i="24"/>
  <c r="D107" i="24"/>
  <c r="D106" i="24"/>
  <c r="D105" i="24"/>
  <c r="D104" i="24"/>
  <c r="D103" i="24"/>
  <c r="D102" i="24"/>
  <c r="D101" i="24"/>
  <c r="D100" i="24"/>
  <c r="D99" i="24"/>
  <c r="D98" i="24"/>
  <c r="D97" i="24"/>
  <c r="D96" i="24"/>
  <c r="D95" i="24"/>
  <c r="D94" i="24"/>
  <c r="D93" i="24"/>
  <c r="D92" i="24"/>
  <c r="D91" i="24"/>
  <c r="D90" i="24"/>
  <c r="D89" i="24"/>
  <c r="D88" i="24"/>
  <c r="D87" i="24"/>
  <c r="D86" i="24"/>
  <c r="D85" i="24"/>
  <c r="D84" i="24"/>
  <c r="D83" i="24"/>
  <c r="D82" i="24"/>
  <c r="D81" i="24"/>
  <c r="D80" i="24"/>
  <c r="D79" i="24"/>
  <c r="D78" i="24"/>
  <c r="D77" i="24"/>
  <c r="D76" i="24"/>
  <c r="D75" i="24"/>
  <c r="D74" i="24"/>
  <c r="D73" i="24"/>
  <c r="D72" i="24"/>
  <c r="D71" i="24"/>
  <c r="D70" i="24"/>
  <c r="D69" i="24"/>
  <c r="D68" i="24"/>
  <c r="D67" i="24"/>
  <c r="D66" i="24"/>
  <c r="D65" i="24"/>
  <c r="D64" i="24"/>
  <c r="D63" i="24"/>
  <c r="D62" i="24"/>
  <c r="D61" i="24"/>
  <c r="D60" i="24"/>
  <c r="D59" i="24"/>
  <c r="D58" i="24"/>
  <c r="D57" i="24"/>
  <c r="D56" i="24"/>
  <c r="D55" i="24"/>
  <c r="D54" i="24"/>
  <c r="D53" i="24"/>
  <c r="D52" i="24"/>
  <c r="D51" i="24"/>
  <c r="D50" i="24"/>
  <c r="D49" i="24"/>
  <c r="D48" i="24"/>
  <c r="D47" i="24"/>
  <c r="D46" i="24"/>
  <c r="D45" i="24"/>
  <c r="D44" i="24"/>
  <c r="D43" i="24"/>
  <c r="D42" i="24"/>
  <c r="D41" i="24"/>
  <c r="D40" i="24"/>
  <c r="D39" i="24"/>
  <c r="D38" i="24"/>
  <c r="D37" i="24"/>
  <c r="D36" i="24"/>
  <c r="D35" i="24"/>
  <c r="D34" i="24"/>
  <c r="D33" i="24"/>
  <c r="D32" i="24"/>
  <c r="D31" i="24"/>
  <c r="D30" i="24"/>
  <c r="D29" i="24"/>
  <c r="D28" i="24"/>
  <c r="D27" i="24"/>
  <c r="D26" i="24"/>
  <c r="D25" i="24"/>
  <c r="D24" i="24"/>
  <c r="D23" i="24"/>
  <c r="D22" i="24"/>
  <c r="D21" i="24"/>
  <c r="D20" i="24"/>
  <c r="D19" i="24"/>
  <c r="D18" i="24"/>
  <c r="D17" i="24"/>
  <c r="D16" i="24"/>
  <c r="D15" i="24"/>
  <c r="D14" i="24"/>
  <c r="D13" i="24"/>
  <c r="D12" i="24"/>
  <c r="D11" i="24"/>
  <c r="D10" i="24"/>
  <c r="D9" i="24"/>
  <c r="K49" i="1"/>
  <c r="K18" i="22"/>
  <c r="K17" i="22"/>
  <c r="K16" i="22"/>
  <c r="K15" i="22"/>
  <c r="K14" i="22"/>
  <c r="K13" i="22"/>
  <c r="L18" i="22"/>
  <c r="L17" i="22"/>
  <c r="L16" i="22"/>
  <c r="L15" i="22"/>
  <c r="L14" i="22"/>
  <c r="L13" i="22"/>
  <c r="D18" i="22"/>
  <c r="F18" i="22" s="1"/>
  <c r="D17" i="22"/>
  <c r="F17" i="22" s="1"/>
  <c r="D16" i="22"/>
  <c r="F16" i="22" s="1"/>
  <c r="D15" i="22"/>
  <c r="F15" i="22" s="1"/>
  <c r="D14" i="22"/>
  <c r="F14" i="22" s="1"/>
  <c r="D13" i="22"/>
  <c r="F13" i="22" s="1"/>
  <c r="D11" i="22"/>
  <c r="D23" i="1"/>
  <c r="E23" i="1" s="1"/>
  <c r="F23" i="1" s="1"/>
  <c r="G23" i="1" s="1"/>
  <c r="C18" i="1"/>
  <c r="C20" i="1"/>
  <c r="D9" i="1"/>
  <c r="E9" i="1" s="1"/>
  <c r="F9" i="1" s="1"/>
  <c r="G9" i="1" s="1"/>
  <c r="D7" i="7"/>
  <c r="E7" i="7" s="1"/>
  <c r="F7" i="7" s="1"/>
  <c r="G7" i="7" s="1"/>
  <c r="C50" i="6"/>
  <c r="B45" i="6"/>
  <c r="B44" i="6"/>
  <c r="C38" i="6"/>
  <c r="C29" i="6"/>
  <c r="C28" i="6"/>
  <c r="B19" i="6"/>
  <c r="B23" i="6" s="1"/>
  <c r="B18" i="6"/>
  <c r="D7" i="6"/>
  <c r="E7" i="6" s="1"/>
  <c r="F7" i="6" s="1"/>
  <c r="G7" i="6" s="1"/>
  <c r="D7" i="5"/>
  <c r="C9" i="5"/>
  <c r="C12" i="5"/>
  <c r="B18" i="16"/>
  <c r="B16" i="17"/>
  <c r="C13" i="5"/>
  <c r="C11" i="5"/>
  <c r="C10" i="5"/>
  <c r="E19" i="11"/>
  <c r="F19" i="11" s="1"/>
  <c r="G19" i="11" s="1"/>
  <c r="H19" i="11" s="1"/>
  <c r="D7" i="11"/>
  <c r="E7" i="11" s="1"/>
  <c r="F7" i="11" s="1"/>
  <c r="G7" i="11" s="1"/>
  <c r="H7" i="11" s="1"/>
  <c r="D7" i="10"/>
  <c r="E7" i="10" s="1"/>
  <c r="F7" i="10" s="1"/>
  <c r="G7" i="10" s="1"/>
  <c r="B48" i="10"/>
  <c r="B42" i="10"/>
  <c r="B40" i="10"/>
  <c r="B39" i="10"/>
  <c r="B38" i="10"/>
  <c r="B36" i="10"/>
  <c r="B32" i="10"/>
  <c r="B22" i="10"/>
  <c r="B20" i="10"/>
  <c r="B9" i="10"/>
  <c r="AH12" i="20"/>
  <c r="AH15" i="20" s="1"/>
  <c r="AB12" i="20"/>
  <c r="AB15" i="20" s="1"/>
  <c r="P12" i="20"/>
  <c r="P15" i="20" s="1"/>
  <c r="V12" i="20"/>
  <c r="V15" i="20" s="1"/>
  <c r="J12" i="20"/>
  <c r="J15" i="20" s="1"/>
  <c r="H88" i="83" l="1"/>
  <c r="L88" i="83" s="1"/>
  <c r="H92" i="83"/>
  <c r="H96" i="83" s="1"/>
  <c r="H97" i="83" s="1"/>
  <c r="F96" i="83"/>
  <c r="L92" i="83"/>
  <c r="D88" i="83"/>
  <c r="J88" i="83" s="1"/>
  <c r="D92" i="83"/>
  <c r="J87" i="83"/>
  <c r="J21" i="83"/>
  <c r="L25" i="83"/>
  <c r="F30" i="83"/>
  <c r="F26" i="83"/>
  <c r="L26" i="83" s="1"/>
  <c r="J25" i="83"/>
  <c r="D30" i="83"/>
  <c r="D26" i="83"/>
  <c r="J57" i="83"/>
  <c r="J61" i="83"/>
  <c r="J65" i="83" s="1"/>
  <c r="J66" i="83" s="1"/>
  <c r="AN15" i="20"/>
  <c r="AN17" i="20" s="1"/>
  <c r="I18" i="13" s="1"/>
  <c r="J18" i="13" s="1"/>
  <c r="G18" i="61"/>
  <c r="G14" i="61"/>
  <c r="G22" i="61"/>
  <c r="G26" i="61"/>
  <c r="G30" i="61"/>
  <c r="F18" i="61"/>
  <c r="F14" i="61"/>
  <c r="F22" i="61"/>
  <c r="F26" i="61"/>
  <c r="F30" i="61"/>
  <c r="E18" i="61"/>
  <c r="E14" i="61"/>
  <c r="E22" i="61"/>
  <c r="E26" i="61"/>
  <c r="E30" i="61"/>
  <c r="D18" i="61"/>
  <c r="D14" i="61"/>
  <c r="D30" i="61"/>
  <c r="D26" i="61"/>
  <c r="D22" i="61"/>
  <c r="C14" i="61"/>
  <c r="C30" i="61"/>
  <c r="C26" i="61"/>
  <c r="C18" i="61"/>
  <c r="C22" i="61"/>
  <c r="L13" i="4"/>
  <c r="T25" i="60"/>
  <c r="T29" i="60"/>
  <c r="M35" i="60"/>
  <c r="L29" i="60"/>
  <c r="L47" i="60"/>
  <c r="G46" i="67"/>
  <c r="Q50" i="67"/>
  <c r="L12" i="65"/>
  <c r="C20" i="10"/>
  <c r="X16" i="67"/>
  <c r="Y16" i="67" s="1"/>
  <c r="Z16" i="67" s="1"/>
  <c r="AA16" i="67" s="1"/>
  <c r="AB16" i="67" s="1"/>
  <c r="F31" i="67"/>
  <c r="G20" i="67"/>
  <c r="E20" i="67"/>
  <c r="F20" i="67"/>
  <c r="J30" i="67"/>
  <c r="K30" i="67" s="1"/>
  <c r="L30" i="67" s="1"/>
  <c r="M30" i="67" s="1"/>
  <c r="N30" i="67" s="1"/>
  <c r="G17" i="67"/>
  <c r="F17" i="67"/>
  <c r="E17" i="67"/>
  <c r="D17" i="67"/>
  <c r="D31" i="67"/>
  <c r="G31" i="67"/>
  <c r="Q16" i="67"/>
  <c r="R16" i="67" s="1"/>
  <c r="S16" i="67" s="1"/>
  <c r="T16" i="67" s="1"/>
  <c r="U16" i="67" s="1"/>
  <c r="E31" i="67"/>
  <c r="X30" i="67"/>
  <c r="Y30" i="67" s="1"/>
  <c r="Z30" i="67" s="1"/>
  <c r="AA30" i="67" s="1"/>
  <c r="AB30" i="67" s="1"/>
  <c r="J16" i="67"/>
  <c r="K16" i="67" s="1"/>
  <c r="L16" i="67" s="1"/>
  <c r="M16" i="67" s="1"/>
  <c r="N16" i="67" s="1"/>
  <c r="F46" i="67"/>
  <c r="E46" i="67"/>
  <c r="D46" i="67"/>
  <c r="J42" i="67"/>
  <c r="K42" i="67" s="1"/>
  <c r="L42" i="67" s="1"/>
  <c r="M42" i="67" s="1"/>
  <c r="N42" i="67" s="1"/>
  <c r="G43" i="67"/>
  <c r="J45" i="67"/>
  <c r="K45" i="67" s="1"/>
  <c r="L45" i="67" s="1"/>
  <c r="M45" i="67" s="1"/>
  <c r="N45" i="67" s="1"/>
  <c r="D43" i="67"/>
  <c r="X42" i="67"/>
  <c r="Y42" i="67" s="1"/>
  <c r="Z42" i="67" s="1"/>
  <c r="AA42" i="67" s="1"/>
  <c r="AB42" i="67" s="1"/>
  <c r="X45" i="67"/>
  <c r="Y45" i="67" s="1"/>
  <c r="Z45" i="67" s="1"/>
  <c r="AA45" i="67" s="1"/>
  <c r="AB45" i="67" s="1"/>
  <c r="F43" i="67"/>
  <c r="E43" i="67"/>
  <c r="X21" i="66"/>
  <c r="Y21" i="66" s="1"/>
  <c r="Z21" i="66" s="1"/>
  <c r="AA21" i="66" s="1"/>
  <c r="AB21" i="66" s="1"/>
  <c r="X27" i="66"/>
  <c r="Y27" i="66" s="1"/>
  <c r="Z27" i="66" s="1"/>
  <c r="AA27" i="66" s="1"/>
  <c r="AB27" i="66" s="1"/>
  <c r="D20" i="67"/>
  <c r="X39" i="66"/>
  <c r="Y39" i="66" s="1"/>
  <c r="Z39" i="66" s="1"/>
  <c r="AA39" i="66" s="1"/>
  <c r="AB39" i="66" s="1"/>
  <c r="F50" i="66"/>
  <c r="J49" i="66"/>
  <c r="K49" i="66" s="1"/>
  <c r="L49" i="66" s="1"/>
  <c r="M49" i="66" s="1"/>
  <c r="N49" i="66" s="1"/>
  <c r="J39" i="66"/>
  <c r="K39" i="66" s="1"/>
  <c r="L39" i="66" s="1"/>
  <c r="M39" i="66" s="1"/>
  <c r="N39" i="66" s="1"/>
  <c r="E50" i="66"/>
  <c r="X44" i="66"/>
  <c r="Y44" i="66" s="1"/>
  <c r="Z44" i="66" s="1"/>
  <c r="AA44" i="66" s="1"/>
  <c r="AB44" i="66" s="1"/>
  <c r="E40" i="66"/>
  <c r="C39" i="66"/>
  <c r="D40" i="66" s="1"/>
  <c r="F12" i="63"/>
  <c r="F40" i="63" s="1"/>
  <c r="F43" i="63" s="1"/>
  <c r="D45" i="66"/>
  <c r="J44" i="66"/>
  <c r="K44" i="66" s="1"/>
  <c r="L44" i="66" s="1"/>
  <c r="M44" i="66" s="1"/>
  <c r="N44" i="66" s="1"/>
  <c r="D50" i="66"/>
  <c r="G29" i="17"/>
  <c r="D17" i="66"/>
  <c r="D28" i="66"/>
  <c r="F28" i="66"/>
  <c r="F17" i="66"/>
  <c r="C33" i="67"/>
  <c r="G28" i="17"/>
  <c r="F14" i="67"/>
  <c r="E14" i="67"/>
  <c r="D14" i="67"/>
  <c r="J13" i="67"/>
  <c r="K13" i="67" s="1"/>
  <c r="L13" i="67" s="1"/>
  <c r="M13" i="67" s="1"/>
  <c r="N13" i="67" s="1"/>
  <c r="J27" i="67"/>
  <c r="K27" i="67" s="1"/>
  <c r="L27" i="67" s="1"/>
  <c r="M27" i="67" s="1"/>
  <c r="N27" i="67" s="1"/>
  <c r="X13" i="67"/>
  <c r="Y13" i="67" s="1"/>
  <c r="Z13" i="67" s="1"/>
  <c r="AA13" i="67" s="1"/>
  <c r="AB13" i="67" s="1"/>
  <c r="X27" i="67"/>
  <c r="Y27" i="67" s="1"/>
  <c r="Z27" i="67" s="1"/>
  <c r="AA27" i="67" s="1"/>
  <c r="AB27" i="67" s="1"/>
  <c r="E28" i="67"/>
  <c r="G28" i="67"/>
  <c r="F28" i="67"/>
  <c r="D28" i="67"/>
  <c r="G45" i="66"/>
  <c r="G40" i="66"/>
  <c r="F45" i="66"/>
  <c r="E45" i="66"/>
  <c r="X49" i="66"/>
  <c r="Y49" i="66" s="1"/>
  <c r="Z49" i="66" s="1"/>
  <c r="AA49" i="66" s="1"/>
  <c r="AB49" i="66" s="1"/>
  <c r="G63" i="16"/>
  <c r="G9" i="7"/>
  <c r="C52" i="67"/>
  <c r="G52" i="67"/>
  <c r="F52" i="67"/>
  <c r="G25" i="7"/>
  <c r="G65" i="3"/>
  <c r="G71" i="16" s="1"/>
  <c r="X39" i="67"/>
  <c r="Y39" i="67" s="1"/>
  <c r="Z39" i="67" s="1"/>
  <c r="AA39" i="67" s="1"/>
  <c r="AB39" i="67" s="1"/>
  <c r="G35" i="5"/>
  <c r="E31" i="63"/>
  <c r="E32" i="63" s="1"/>
  <c r="J27" i="66"/>
  <c r="K27" i="66" s="1"/>
  <c r="L27" i="66" s="1"/>
  <c r="M27" i="66" s="1"/>
  <c r="N27" i="66" s="1"/>
  <c r="G54" i="10"/>
  <c r="J69" i="3"/>
  <c r="G42" i="36"/>
  <c r="G27" i="1" s="1"/>
  <c r="E33" i="67"/>
  <c r="D52" i="67"/>
  <c r="Q25" i="67"/>
  <c r="U25" i="67" s="1"/>
  <c r="D33" i="67"/>
  <c r="J39" i="67"/>
  <c r="K39" i="67" s="1"/>
  <c r="L39" i="67" s="1"/>
  <c r="M39" i="67" s="1"/>
  <c r="N39" i="67" s="1"/>
  <c r="G73" i="16"/>
  <c r="C36" i="66"/>
  <c r="D37" i="66" s="1"/>
  <c r="F37" i="66"/>
  <c r="E37" i="66"/>
  <c r="X36" i="66"/>
  <c r="Y36" i="66" s="1"/>
  <c r="Z36" i="66" s="1"/>
  <c r="AA36" i="66" s="1"/>
  <c r="AB36" i="66" s="1"/>
  <c r="J36" i="66"/>
  <c r="K36" i="66" s="1"/>
  <c r="L36" i="66" s="1"/>
  <c r="M36" i="66" s="1"/>
  <c r="N36" i="66" s="1"/>
  <c r="G37" i="66"/>
  <c r="G31" i="63"/>
  <c r="G32" i="63" s="1"/>
  <c r="E28" i="66"/>
  <c r="G40" i="67"/>
  <c r="G45" i="6"/>
  <c r="G49" i="6" s="1"/>
  <c r="G44" i="16"/>
  <c r="G26" i="63"/>
  <c r="G40" i="63" s="1"/>
  <c r="G43" i="63" s="1"/>
  <c r="X47" i="66"/>
  <c r="F33" i="67"/>
  <c r="F40" i="67"/>
  <c r="E23" i="6"/>
  <c r="E45" i="6"/>
  <c r="E49" i="6" s="1"/>
  <c r="Q29" i="68"/>
  <c r="E40" i="67"/>
  <c r="G67" i="16"/>
  <c r="Q25" i="63"/>
  <c r="Q29" i="63" s="1"/>
  <c r="Q31" i="63" s="1"/>
  <c r="S27" i="68"/>
  <c r="D40" i="67"/>
  <c r="G34" i="16"/>
  <c r="D23" i="6"/>
  <c r="D45" i="6"/>
  <c r="D49" i="6" s="1"/>
  <c r="E52" i="67"/>
  <c r="G60" i="16"/>
  <c r="J25" i="63"/>
  <c r="J29" i="63" s="1"/>
  <c r="G32" i="16"/>
  <c r="C23" i="6"/>
  <c r="C45" i="6"/>
  <c r="C49" i="6" s="1"/>
  <c r="D40" i="63"/>
  <c r="D43" i="63" s="1"/>
  <c r="D45" i="63" s="1"/>
  <c r="F20" i="10"/>
  <c r="G58" i="16"/>
  <c r="G28" i="66"/>
  <c r="G50" i="66"/>
  <c r="G31" i="16"/>
  <c r="G56" i="16"/>
  <c r="G17" i="66"/>
  <c r="E17" i="66"/>
  <c r="F14" i="66"/>
  <c r="G46" i="16"/>
  <c r="G45" i="16"/>
  <c r="G30" i="16"/>
  <c r="G29" i="16"/>
  <c r="G52" i="16"/>
  <c r="G55" i="16"/>
  <c r="G50" i="16"/>
  <c r="G43" i="16"/>
  <c r="G42" i="16"/>
  <c r="G27" i="16"/>
  <c r="G53" i="16"/>
  <c r="G69" i="16"/>
  <c r="G66" i="16"/>
  <c r="G33" i="16"/>
  <c r="G40" i="16"/>
  <c r="G65" i="16"/>
  <c r="G41" i="16"/>
  <c r="G54" i="16"/>
  <c r="G38" i="16"/>
  <c r="G64" i="16"/>
  <c r="G10" i="7"/>
  <c r="G15" i="7" s="1"/>
  <c r="G20" i="7" s="1"/>
  <c r="G31" i="7" s="1"/>
  <c r="G33" i="7" s="1"/>
  <c r="G35" i="16"/>
  <c r="G48" i="16"/>
  <c r="G36" i="16"/>
  <c r="G47" i="16"/>
  <c r="G62" i="16"/>
  <c r="E14" i="66"/>
  <c r="G14" i="66"/>
  <c r="F45" i="6"/>
  <c r="F49" i="6" s="1"/>
  <c r="F23" i="6"/>
  <c r="G14" i="16"/>
  <c r="G12" i="17"/>
  <c r="G30" i="2"/>
  <c r="M45" i="74"/>
  <c r="G11" i="1"/>
  <c r="G39" i="5"/>
  <c r="G42" i="5" s="1"/>
  <c r="G17" i="16"/>
  <c r="G23" i="5" s="1"/>
  <c r="G15" i="16"/>
  <c r="G22" i="5" s="1"/>
  <c r="G13" i="16"/>
  <c r="G11" i="16"/>
  <c r="G20" i="36"/>
  <c r="G21" i="16"/>
  <c r="G9" i="17"/>
  <c r="G9" i="73"/>
  <c r="G19" i="16"/>
  <c r="G10" i="61"/>
  <c r="G33" i="61"/>
  <c r="U26" i="68"/>
  <c r="N32" i="4" s="1"/>
  <c r="S26" i="68"/>
  <c r="L32" i="4" s="1"/>
  <c r="R26" i="68"/>
  <c r="K32" i="4" s="1"/>
  <c r="T26" i="68"/>
  <c r="M32" i="4" s="1"/>
  <c r="T27" i="68"/>
  <c r="J43" i="4"/>
  <c r="M43" i="4"/>
  <c r="L43" i="4"/>
  <c r="K43" i="4"/>
  <c r="J42" i="4"/>
  <c r="T50" i="67"/>
  <c r="R50" i="67"/>
  <c r="U50" i="67"/>
  <c r="S50" i="67"/>
  <c r="Q46" i="67"/>
  <c r="Q22" i="67"/>
  <c r="L42" i="4"/>
  <c r="M42" i="4"/>
  <c r="Q41" i="63"/>
  <c r="Y23" i="64"/>
  <c r="Y25" i="64" s="1"/>
  <c r="Y48" i="67" s="1"/>
  <c r="L23" i="64"/>
  <c r="E30" i="64"/>
  <c r="F30" i="64"/>
  <c r="K40" i="63"/>
  <c r="Y40" i="63"/>
  <c r="K25" i="64"/>
  <c r="K48" i="67" s="1"/>
  <c r="T13" i="64"/>
  <c r="S15" i="64"/>
  <c r="S25" i="64" s="1"/>
  <c r="S48" i="67" s="1"/>
  <c r="Z15" i="64"/>
  <c r="J60" i="3"/>
  <c r="L15" i="64"/>
  <c r="N13" i="64"/>
  <c r="N15" i="64" s="1"/>
  <c r="M15" i="64"/>
  <c r="R40" i="63"/>
  <c r="K42" i="4"/>
  <c r="S40" i="63"/>
  <c r="J11" i="59"/>
  <c r="J13" i="59" s="1"/>
  <c r="R11" i="59"/>
  <c r="R13" i="59" s="1"/>
  <c r="R9" i="61" s="1"/>
  <c r="D21" i="65"/>
  <c r="D25" i="65" s="1"/>
  <c r="K69" i="3" s="1"/>
  <c r="C30" i="66"/>
  <c r="O31" i="22"/>
  <c r="E32" i="10"/>
  <c r="D32" i="10"/>
  <c r="L29" i="65"/>
  <c r="L33" i="65" s="1"/>
  <c r="K30" i="65"/>
  <c r="D48" i="10"/>
  <c r="D52" i="10" s="1"/>
  <c r="C32" i="10"/>
  <c r="L21" i="65"/>
  <c r="L25" i="65" s="1"/>
  <c r="L22" i="65" s="1"/>
  <c r="J70" i="3"/>
  <c r="E34" i="36"/>
  <c r="J47" i="66"/>
  <c r="F48" i="10"/>
  <c r="F52" i="10" s="1"/>
  <c r="L37" i="65"/>
  <c r="L41" i="65" s="1"/>
  <c r="K38" i="65"/>
  <c r="D18" i="1"/>
  <c r="C48" i="10"/>
  <c r="C52" i="10" s="1"/>
  <c r="F18" i="1"/>
  <c r="F35" i="36"/>
  <c r="E9" i="73"/>
  <c r="K45" i="74"/>
  <c r="E18" i="1"/>
  <c r="F9" i="73"/>
  <c r="L45" i="74"/>
  <c r="J44" i="3"/>
  <c r="D9" i="73"/>
  <c r="H2418" i="24"/>
  <c r="K15" i="60"/>
  <c r="K29" i="60"/>
  <c r="N43" i="60"/>
  <c r="T35" i="60"/>
  <c r="K39" i="60"/>
  <c r="K47" i="60"/>
  <c r="K19" i="60"/>
  <c r="K35" i="60"/>
  <c r="N39" i="60"/>
  <c r="M39" i="60"/>
  <c r="N15" i="60"/>
  <c r="N35" i="60"/>
  <c r="M15" i="60"/>
  <c r="N19" i="60"/>
  <c r="T43" i="60"/>
  <c r="M19" i="60"/>
  <c r="K36" i="4"/>
  <c r="K13" i="4"/>
  <c r="M47" i="60"/>
  <c r="M43" i="60"/>
  <c r="Z19" i="60"/>
  <c r="N47" i="60"/>
  <c r="R47" i="60"/>
  <c r="R39" i="60"/>
  <c r="K12" i="2"/>
  <c r="AB43" i="60"/>
  <c r="Z43" i="60"/>
  <c r="R19" i="60"/>
  <c r="Y19" i="60"/>
  <c r="T47" i="60"/>
  <c r="T15" i="60"/>
  <c r="M12" i="2"/>
  <c r="S15" i="60"/>
  <c r="L12" i="2"/>
  <c r="S47" i="60"/>
  <c r="S25" i="60"/>
  <c r="S29" i="60"/>
  <c r="R15" i="60"/>
  <c r="S35" i="60"/>
  <c r="R35" i="60"/>
  <c r="R29" i="60"/>
  <c r="AB19" i="60"/>
  <c r="S43" i="60"/>
  <c r="R43" i="60"/>
  <c r="N36" i="4"/>
  <c r="M36" i="4"/>
  <c r="S39" i="60"/>
  <c r="T19" i="60"/>
  <c r="AA47" i="60"/>
  <c r="AA43" i="60"/>
  <c r="AA19" i="60"/>
  <c r="J50" i="73"/>
  <c r="K22" i="65"/>
  <c r="F32" i="10"/>
  <c r="E33" i="61"/>
  <c r="E39" i="5"/>
  <c r="E42" i="5" s="1"/>
  <c r="E10" i="61"/>
  <c r="F39" i="5"/>
  <c r="F42" i="5" s="1"/>
  <c r="F33" i="61"/>
  <c r="F10" i="61"/>
  <c r="C10" i="61"/>
  <c r="C33" i="61"/>
  <c r="D33" i="61"/>
  <c r="D10" i="61"/>
  <c r="D39" i="5"/>
  <c r="D42" i="5" s="1"/>
  <c r="Q17" i="63"/>
  <c r="Q42" i="66"/>
  <c r="F32" i="63"/>
  <c r="D32" i="63"/>
  <c r="E12" i="63"/>
  <c r="E40" i="63" s="1"/>
  <c r="E43" i="63" s="1"/>
  <c r="E45" i="63" s="1"/>
  <c r="E46" i="63" s="1"/>
  <c r="E17" i="63"/>
  <c r="E18" i="63" s="1"/>
  <c r="X37" i="67"/>
  <c r="Y25" i="63"/>
  <c r="Y29" i="63" s="1"/>
  <c r="D17" i="63"/>
  <c r="D18" i="63" s="1"/>
  <c r="K11" i="63"/>
  <c r="J42" i="66"/>
  <c r="T40" i="63"/>
  <c r="D49" i="63"/>
  <c r="L40" i="63"/>
  <c r="Z40" i="63"/>
  <c r="J17" i="63"/>
  <c r="J21" i="63" s="1"/>
  <c r="X42" i="66"/>
  <c r="Y11" i="63"/>
  <c r="Y47" i="66"/>
  <c r="J32" i="61"/>
  <c r="J9" i="61"/>
  <c r="Q11" i="59"/>
  <c r="Q13" i="59" s="1"/>
  <c r="S19" i="59"/>
  <c r="T19" i="59" s="1"/>
  <c r="K19" i="59"/>
  <c r="L19" i="59" s="1"/>
  <c r="X11" i="59"/>
  <c r="X13" i="59" s="1"/>
  <c r="Y19" i="59"/>
  <c r="Z19" i="59" s="1"/>
  <c r="E25" i="1"/>
  <c r="C28" i="13"/>
  <c r="E13" i="17"/>
  <c r="D21" i="16"/>
  <c r="D20" i="36"/>
  <c r="D11" i="16"/>
  <c r="D11" i="1"/>
  <c r="D17" i="16"/>
  <c r="D19" i="16"/>
  <c r="D34" i="36"/>
  <c r="D25" i="1"/>
  <c r="E9" i="17"/>
  <c r="E12" i="1" s="1"/>
  <c r="E20" i="36"/>
  <c r="E11" i="1"/>
  <c r="F34" i="36"/>
  <c r="F25" i="1"/>
  <c r="G34" i="36"/>
  <c r="G25" i="1"/>
  <c r="E22" i="2"/>
  <c r="D11" i="17"/>
  <c r="E11" i="17"/>
  <c r="D13" i="16"/>
  <c r="D22" i="2"/>
  <c r="F13" i="17"/>
  <c r="C20" i="36"/>
  <c r="C11" i="1"/>
  <c r="D9" i="17"/>
  <c r="D12" i="1" s="1"/>
  <c r="C22" i="2"/>
  <c r="F22" i="2"/>
  <c r="F11" i="1"/>
  <c r="F20" i="36"/>
  <c r="F9" i="17"/>
  <c r="F12" i="1" s="1"/>
  <c r="D15" i="16"/>
  <c r="D13" i="17"/>
  <c r="H224" i="24"/>
  <c r="H4182" i="24"/>
  <c r="H2339" i="24"/>
  <c r="H4239" i="24"/>
  <c r="H3988" i="24"/>
  <c r="H2303" i="24"/>
  <c r="H3968" i="24"/>
  <c r="H2227" i="24"/>
  <c r="H3967" i="24"/>
  <c r="H3758" i="24"/>
  <c r="H3739" i="24"/>
  <c r="H3735" i="24"/>
  <c r="H3429" i="24"/>
  <c r="H3427" i="24"/>
  <c r="H3426" i="24"/>
  <c r="H3066" i="24"/>
  <c r="H3064" i="24"/>
  <c r="H3060" i="24"/>
  <c r="H2781" i="24"/>
  <c r="H2710" i="24"/>
  <c r="H2708" i="24"/>
  <c r="H758" i="24"/>
  <c r="H2417" i="24"/>
  <c r="H2414" i="24"/>
  <c r="H4238" i="24"/>
  <c r="H2393" i="24"/>
  <c r="B49" i="6"/>
  <c r="K40" i="5"/>
  <c r="O18" i="22"/>
  <c r="P31" i="22"/>
  <c r="N31" i="22"/>
  <c r="L41" i="5"/>
  <c r="K32" i="5"/>
  <c r="K41" i="5"/>
  <c r="L40" i="5"/>
  <c r="C42" i="5"/>
  <c r="L32" i="5"/>
  <c r="L33" i="5"/>
  <c r="K33" i="5"/>
  <c r="K34" i="5"/>
  <c r="L34" i="5"/>
  <c r="H2006" i="24"/>
  <c r="H1560" i="24"/>
  <c r="H1144" i="24"/>
  <c r="H1977" i="24"/>
  <c r="H1559" i="24"/>
  <c r="H1043" i="24"/>
  <c r="H1926" i="24"/>
  <c r="H1558" i="24"/>
  <c r="H1042" i="24"/>
  <c r="H1924" i="24"/>
  <c r="H1556" i="24"/>
  <c r="H1039" i="24"/>
  <c r="H1897" i="24"/>
  <c r="H1517" i="24"/>
  <c r="H1036" i="24"/>
  <c r="H1895" i="24"/>
  <c r="H1453" i="24"/>
  <c r="H889" i="24"/>
  <c r="H1891" i="24"/>
  <c r="H1451" i="24"/>
  <c r="H884" i="24"/>
  <c r="H1889" i="24"/>
  <c r="H1418" i="24"/>
  <c r="H883" i="24"/>
  <c r="H1888" i="24"/>
  <c r="H1414" i="24"/>
  <c r="H882" i="24"/>
  <c r="H1807" i="24"/>
  <c r="H1412" i="24"/>
  <c r="H877" i="24"/>
  <c r="H1302" i="24"/>
  <c r="H778" i="24"/>
  <c r="H1301" i="24"/>
  <c r="H772" i="24"/>
  <c r="H1289" i="24"/>
  <c r="H771" i="24"/>
  <c r="H760" i="24"/>
  <c r="H3059" i="24"/>
  <c r="H4179" i="24"/>
  <c r="H3422" i="24"/>
  <c r="H2704" i="24"/>
  <c r="H4177" i="24"/>
  <c r="H3689" i="24"/>
  <c r="H2702" i="24"/>
  <c r="H4174" i="24"/>
  <c r="H3665" i="24"/>
  <c r="H2701" i="24"/>
  <c r="H197" i="24"/>
  <c r="H499" i="24"/>
  <c r="H924" i="24"/>
  <c r="H1303" i="24"/>
  <c r="H1674" i="24"/>
  <c r="H2008" i="24"/>
  <c r="H2304" i="24"/>
  <c r="H2591" i="24"/>
  <c r="H2814" i="24"/>
  <c r="H3067" i="24"/>
  <c r="H3342" i="24"/>
  <c r="H3588" i="24"/>
  <c r="H3833" i="24"/>
  <c r="H4028" i="24"/>
  <c r="H4233" i="24"/>
  <c r="H201" i="24"/>
  <c r="H599" i="24"/>
  <c r="H929" i="24"/>
  <c r="H1304" i="24"/>
  <c r="H1675" i="24"/>
  <c r="H2009" i="24"/>
  <c r="H2306" i="24"/>
  <c r="H2617" i="24"/>
  <c r="H2869" i="24"/>
  <c r="H3070" i="24"/>
  <c r="H3343" i="24"/>
  <c r="H3593" i="24"/>
  <c r="H3834" i="24"/>
  <c r="H4030" i="24"/>
  <c r="H4234" i="24"/>
  <c r="H202" i="24"/>
  <c r="H600" i="24"/>
  <c r="H995" i="24"/>
  <c r="H1305" i="24"/>
  <c r="H1703" i="24"/>
  <c r="H2010" i="24"/>
  <c r="H2308" i="24"/>
  <c r="H2621" i="24"/>
  <c r="H2870" i="24"/>
  <c r="H3143" i="24"/>
  <c r="H3347" i="24"/>
  <c r="H3594" i="24"/>
  <c r="H3835" i="24"/>
  <c r="H4047" i="24"/>
  <c r="H4236" i="24"/>
  <c r="H601" i="24"/>
  <c r="H1031" i="24"/>
  <c r="H1403" i="24"/>
  <c r="H1708" i="24"/>
  <c r="H2011" i="24"/>
  <c r="H2311" i="24"/>
  <c r="H2622" i="24"/>
  <c r="H2871" i="24"/>
  <c r="H3144" i="24"/>
  <c r="H3394" i="24"/>
  <c r="H3614" i="24"/>
  <c r="H3836" i="24"/>
  <c r="H4048" i="24"/>
  <c r="H4237" i="24"/>
  <c r="H603" i="24"/>
  <c r="H1033" i="24"/>
  <c r="H1409" i="24"/>
  <c r="H1768" i="24"/>
  <c r="H2018" i="24"/>
  <c r="H2338" i="24"/>
  <c r="H2624" i="24"/>
  <c r="H2872" i="24"/>
  <c r="H3145" i="24"/>
  <c r="H3421" i="24"/>
  <c r="H203" i="24"/>
  <c r="H212" i="24"/>
  <c r="H213" i="24"/>
  <c r="H223" i="24"/>
  <c r="H321" i="24"/>
  <c r="H323" i="24"/>
  <c r="H331" i="24"/>
  <c r="H333" i="24"/>
  <c r="H340" i="24"/>
  <c r="H374" i="24"/>
  <c r="H377" i="24"/>
  <c r="H441" i="24"/>
  <c r="H481" i="24"/>
  <c r="H482" i="24"/>
  <c r="H483" i="24"/>
  <c r="H492" i="24"/>
  <c r="H493" i="24"/>
  <c r="H2698" i="24"/>
  <c r="H4374" i="24"/>
  <c r="H3901" i="24"/>
  <c r="H3265" i="24"/>
  <c r="H2979" i="24"/>
  <c r="H2625" i="24"/>
  <c r="H4356" i="24"/>
  <c r="H4116" i="24"/>
  <c r="H3898" i="24"/>
  <c r="H3587" i="24"/>
  <c r="H3264" i="24"/>
  <c r="H2954" i="24"/>
  <c r="H2540" i="24"/>
  <c r="H2219" i="24"/>
  <c r="H1805" i="24"/>
  <c r="H4180" i="24"/>
  <c r="H3965" i="24"/>
  <c r="H3693" i="24"/>
  <c r="H3424" i="24"/>
  <c r="H2706" i="24"/>
  <c r="H3964" i="24"/>
  <c r="H3692" i="24"/>
  <c r="H3058" i="24"/>
  <c r="H3963" i="24"/>
  <c r="H3341" i="24"/>
  <c r="H2987" i="24"/>
  <c r="H4378" i="24"/>
  <c r="H3906" i="24"/>
  <c r="H3315" i="24"/>
  <c r="H2986" i="24"/>
  <c r="H4377" i="24"/>
  <c r="H4171" i="24"/>
  <c r="H3904" i="24"/>
  <c r="H3664" i="24"/>
  <c r="H3312" i="24"/>
  <c r="H2984" i="24"/>
  <c r="H2224" i="24"/>
  <c r="H4376" i="24"/>
  <c r="H4170" i="24"/>
  <c r="H3902" i="24"/>
  <c r="H3663" i="24"/>
  <c r="H3311" i="24"/>
  <c r="H2980" i="24"/>
  <c r="H2626" i="24"/>
  <c r="H2222" i="24"/>
  <c r="H4117" i="24"/>
  <c r="H3662" i="24"/>
  <c r="H2220" i="24"/>
  <c r="H4354" i="24"/>
  <c r="H4115" i="24"/>
  <c r="H3897" i="24"/>
  <c r="H3586" i="24"/>
  <c r="H3238" i="24"/>
  <c r="H2953" i="24"/>
  <c r="H2537" i="24"/>
  <c r="H2217" i="24"/>
  <c r="H1804" i="24"/>
  <c r="H4320" i="24"/>
  <c r="H4113" i="24"/>
  <c r="H3896" i="24"/>
  <c r="H3585" i="24"/>
  <c r="H3237" i="24"/>
  <c r="H2903" i="24"/>
  <c r="H2510" i="24"/>
  <c r="H2190" i="24"/>
  <c r="H1803" i="24"/>
  <c r="H4318" i="24"/>
  <c r="H4112" i="24"/>
  <c r="H3837" i="24"/>
  <c r="H3518" i="24"/>
  <c r="H3232" i="24"/>
  <c r="H2902" i="24"/>
  <c r="H2508" i="24"/>
  <c r="H2138" i="24"/>
  <c r="H1800" i="24"/>
  <c r="H1260" i="24"/>
  <c r="H4317" i="24"/>
  <c r="H4110" i="24"/>
  <c r="H3829" i="24"/>
  <c r="H3514" i="24"/>
  <c r="H3231" i="24"/>
  <c r="H2900" i="24"/>
  <c r="H2507" i="24"/>
  <c r="H2132" i="24"/>
  <c r="H1798" i="24"/>
  <c r="H1188" i="24"/>
  <c r="H4299" i="24"/>
  <c r="H4092" i="24"/>
  <c r="H3828" i="24"/>
  <c r="H3511" i="24"/>
  <c r="H3230" i="24"/>
  <c r="H2795" i="24"/>
  <c r="H2505" i="24"/>
  <c r="H2106" i="24"/>
  <c r="H1673" i="24"/>
  <c r="H1187" i="24"/>
  <c r="H756" i="24"/>
  <c r="H4298" i="24"/>
  <c r="H4054" i="24"/>
  <c r="H3768" i="24"/>
  <c r="H3510" i="24"/>
  <c r="H3155" i="24"/>
  <c r="H2794" i="24"/>
  <c r="H2504" i="24"/>
  <c r="H2105" i="24"/>
  <c r="H1664" i="24"/>
  <c r="H1156" i="24"/>
  <c r="H723" i="24"/>
  <c r="H4297" i="24"/>
  <c r="H4053" i="24"/>
  <c r="H3763" i="24"/>
  <c r="H3509" i="24"/>
  <c r="H3153" i="24"/>
  <c r="H2788" i="24"/>
  <c r="H2429" i="24"/>
  <c r="H2104" i="24"/>
  <c r="H1663" i="24"/>
  <c r="H1151" i="24"/>
  <c r="H652" i="24"/>
  <c r="H4294" i="24"/>
  <c r="H4027" i="24"/>
  <c r="H3761" i="24"/>
  <c r="H3503" i="24"/>
  <c r="H3151" i="24"/>
  <c r="H2783" i="24"/>
  <c r="H2425" i="24"/>
  <c r="H2103" i="24"/>
  <c r="H1562" i="24"/>
  <c r="H1146" i="24"/>
  <c r="H643" i="24"/>
  <c r="H4257" i="24"/>
  <c r="H3989" i="24"/>
  <c r="H3760" i="24"/>
  <c r="H3502" i="24"/>
  <c r="H3147" i="24"/>
  <c r="H2782" i="24"/>
  <c r="H2419" i="24"/>
  <c r="H2102" i="24"/>
  <c r="H1561" i="24"/>
  <c r="H1145" i="24"/>
  <c r="H611" i="24"/>
  <c r="H4327" i="24"/>
  <c r="H4264" i="24"/>
  <c r="H4205" i="24"/>
  <c r="H4142" i="24"/>
  <c r="H4063" i="24"/>
  <c r="H3996" i="24"/>
  <c r="H3933" i="24"/>
  <c r="H3863" i="24"/>
  <c r="H3795" i="24"/>
  <c r="H3701" i="24"/>
  <c r="H3624" i="24"/>
  <c r="H3545" i="24"/>
  <c r="H3461" i="24"/>
  <c r="H3355" i="24"/>
  <c r="H3271" i="24"/>
  <c r="H3188" i="24"/>
  <c r="H3102" i="24"/>
  <c r="H3020" i="24"/>
  <c r="H2910" i="24"/>
  <c r="H2830" i="24"/>
  <c r="H2744" i="24"/>
  <c r="H2658" i="24"/>
  <c r="H2550" i="24"/>
  <c r="H2461" i="24"/>
  <c r="H2346" i="24"/>
  <c r="H2259" i="24"/>
  <c r="H2148" i="24"/>
  <c r="H2053" i="24"/>
  <c r="H1935" i="24"/>
  <c r="H1843" i="24"/>
  <c r="H1722" i="24"/>
  <c r="H1612" i="24"/>
  <c r="H1465" i="24"/>
  <c r="H1352" i="24"/>
  <c r="H1204" i="24"/>
  <c r="H1089" i="24"/>
  <c r="H945" i="24"/>
  <c r="H823" i="24"/>
  <c r="H665" i="24"/>
  <c r="H544" i="24"/>
  <c r="H387" i="24"/>
  <c r="H264" i="24"/>
  <c r="H4325" i="24"/>
  <c r="H4263" i="24"/>
  <c r="H4203" i="24"/>
  <c r="H4140" i="24"/>
  <c r="H4060" i="24"/>
  <c r="H3995" i="24"/>
  <c r="H3929" i="24"/>
  <c r="H3862" i="24"/>
  <c r="H3774" i="24"/>
  <c r="H3699" i="24"/>
  <c r="H3623" i="24"/>
  <c r="H3544" i="24"/>
  <c r="H3460" i="24"/>
  <c r="H3354" i="24"/>
  <c r="H3270" i="24"/>
  <c r="H3182" i="24"/>
  <c r="H3101" i="24"/>
  <c r="H2993" i="24"/>
  <c r="H2909" i="24"/>
  <c r="H2827" i="24"/>
  <c r="H2740" i="24"/>
  <c r="H2657" i="24"/>
  <c r="H2549" i="24"/>
  <c r="H2459" i="24"/>
  <c r="H2345" i="24"/>
  <c r="H2258" i="24"/>
  <c r="H2147" i="24"/>
  <c r="H2052" i="24"/>
  <c r="H1933" i="24"/>
  <c r="H1842" i="24"/>
  <c r="H1717" i="24"/>
  <c r="H1609" i="24"/>
  <c r="H1463" i="24"/>
  <c r="H1348" i="24"/>
  <c r="H1203" i="24"/>
  <c r="H1083" i="24"/>
  <c r="H941" i="24"/>
  <c r="H822" i="24"/>
  <c r="H663" i="24"/>
  <c r="H541" i="24"/>
  <c r="H386" i="24"/>
  <c r="H261" i="24"/>
  <c r="H4324" i="24"/>
  <c r="H4262" i="24"/>
  <c r="H4200" i="24"/>
  <c r="H4122" i="24"/>
  <c r="H4059" i="24"/>
  <c r="H3993" i="24"/>
  <c r="H3928" i="24"/>
  <c r="H3860" i="24"/>
  <c r="H3773" i="24"/>
  <c r="H3698" i="24"/>
  <c r="H3622" i="24"/>
  <c r="H3543" i="24"/>
  <c r="H3434" i="24"/>
  <c r="H3353" i="24"/>
  <c r="H3268" i="24"/>
  <c r="H3181" i="24"/>
  <c r="H3097" i="24"/>
  <c r="H2992" i="24"/>
  <c r="H2906" i="24"/>
  <c r="H2821" i="24"/>
  <c r="H2739" i="24"/>
  <c r="H2631" i="24"/>
  <c r="H2548" i="24"/>
  <c r="H2457" i="24"/>
  <c r="H2344" i="24"/>
  <c r="H2257" i="24"/>
  <c r="H2142" i="24"/>
  <c r="H2051" i="24"/>
  <c r="H1931" i="24"/>
  <c r="H1838" i="24"/>
  <c r="H1716" i="24"/>
  <c r="H1603" i="24"/>
  <c r="H1462" i="24"/>
  <c r="H1347" i="24"/>
  <c r="H1196" i="24"/>
  <c r="H1082" i="24"/>
  <c r="H940" i="24"/>
  <c r="H813" i="24"/>
  <c r="H662" i="24"/>
  <c r="H539" i="24"/>
  <c r="H383" i="24"/>
  <c r="H260" i="24"/>
  <c r="H4323" i="24"/>
  <c r="H4260" i="24"/>
  <c r="H4199" i="24"/>
  <c r="H4121" i="24"/>
  <c r="H4058" i="24"/>
  <c r="H3992" i="24"/>
  <c r="H3927" i="24"/>
  <c r="H3839" i="24"/>
  <c r="H3770" i="24"/>
  <c r="H3695" i="24"/>
  <c r="H3618" i="24"/>
  <c r="H3542" i="24"/>
  <c r="H3433" i="24"/>
  <c r="H3349" i="24"/>
  <c r="H3267" i="24"/>
  <c r="H3180" i="24"/>
  <c r="H3074" i="24"/>
  <c r="H2991" i="24"/>
  <c r="H2905" i="24"/>
  <c r="H2819" i="24"/>
  <c r="H2738" i="24"/>
  <c r="H2628" i="24"/>
  <c r="H2543" i="24"/>
  <c r="H2434" i="24"/>
  <c r="H2343" i="24"/>
  <c r="H2229" i="24"/>
  <c r="H2141" i="24"/>
  <c r="H2027" i="24"/>
  <c r="H1930" i="24"/>
  <c r="H1810" i="24"/>
  <c r="H1715" i="24"/>
  <c r="H1572" i="24"/>
  <c r="H1461" i="24"/>
  <c r="H1313" i="24"/>
  <c r="H1193" i="24"/>
  <c r="H1048" i="24"/>
  <c r="H938" i="24"/>
  <c r="H782" i="24"/>
  <c r="H657" i="24"/>
  <c r="H502" i="24"/>
  <c r="H381" i="24"/>
  <c r="H225" i="24"/>
  <c r="H4322" i="24"/>
  <c r="H4259" i="24"/>
  <c r="H4183" i="24"/>
  <c r="H4119" i="24"/>
  <c r="H4055" i="24"/>
  <c r="H3990" i="24"/>
  <c r="H3923" i="24"/>
  <c r="H3838" i="24"/>
  <c r="H3769" i="24"/>
  <c r="H3694" i="24"/>
  <c r="H3615" i="24"/>
  <c r="H3519" i="24"/>
  <c r="H3430" i="24"/>
  <c r="H3348" i="24"/>
  <c r="H3266" i="24"/>
  <c r="H3178" i="24"/>
  <c r="H3071" i="24"/>
  <c r="H2990" i="24"/>
  <c r="H2904" i="24"/>
  <c r="H2818" i="24"/>
  <c r="H2712" i="24"/>
  <c r="H2627" i="24"/>
  <c r="H2541" i="24"/>
  <c r="H2431" i="24"/>
  <c r="H2340" i="24"/>
  <c r="H2228" i="24"/>
  <c r="H2140" i="24"/>
  <c r="H2019" i="24"/>
  <c r="H1927" i="24"/>
  <c r="H1809" i="24"/>
  <c r="H1709" i="24"/>
  <c r="H1571" i="24"/>
  <c r="H1460" i="24"/>
  <c r="H1309" i="24"/>
  <c r="H1192" i="24"/>
  <c r="H1044" i="24"/>
  <c r="H932" i="24"/>
  <c r="H779" i="24"/>
  <c r="H653" i="24"/>
  <c r="H500" i="24"/>
  <c r="H379" i="24"/>
  <c r="H82" i="24"/>
  <c r="H138" i="24"/>
  <c r="H191" i="24"/>
  <c r="H245" i="24"/>
  <c r="H305" i="24"/>
  <c r="H354" i="24"/>
  <c r="H415" i="24"/>
  <c r="H471" i="24"/>
  <c r="H523" i="24"/>
  <c r="H584" i="24"/>
  <c r="H636" i="24"/>
  <c r="H695" i="24"/>
  <c r="H747" i="24"/>
  <c r="H799" i="24"/>
  <c r="H859" i="24"/>
  <c r="H913" i="24"/>
  <c r="H971" i="24"/>
  <c r="H1024" i="24"/>
  <c r="H1074" i="24"/>
  <c r="H1123" i="24"/>
  <c r="H1181" i="24"/>
  <c r="H1229" i="24"/>
  <c r="H1279" i="24"/>
  <c r="H1332" i="24"/>
  <c r="H1385" i="24"/>
  <c r="H1441" i="24"/>
  <c r="H1494" i="24"/>
  <c r="H1546" i="24"/>
  <c r="H1595" i="24"/>
  <c r="H1651" i="24"/>
  <c r="H1698" i="24"/>
  <c r="H1741" i="24"/>
  <c r="H1784" i="24"/>
  <c r="H1830" i="24"/>
  <c r="H1873" i="24"/>
  <c r="H1914" i="24"/>
  <c r="H1960" i="24"/>
  <c r="H2000" i="24"/>
  <c r="H2040" i="24"/>
  <c r="H2083" i="24"/>
  <c r="H2127" i="24"/>
  <c r="H2166" i="24"/>
  <c r="H2205" i="24"/>
  <c r="H2251" i="24"/>
  <c r="H2289" i="24"/>
  <c r="H2327" i="24"/>
  <c r="H2369" i="24"/>
  <c r="H2409" i="24"/>
  <c r="H2448" i="24"/>
  <c r="H2488" i="24"/>
  <c r="H2528" i="24"/>
  <c r="H2567" i="24"/>
  <c r="H2611" i="24"/>
  <c r="H2651" i="24"/>
  <c r="H2690" i="24"/>
  <c r="H2732" i="24"/>
  <c r="H2772" i="24"/>
  <c r="H2810" i="24"/>
  <c r="H2848" i="24"/>
  <c r="H2892" i="24"/>
  <c r="H2929" i="24"/>
  <c r="H2971" i="24"/>
  <c r="H3015" i="24"/>
  <c r="H3053" i="24"/>
  <c r="H3092" i="24"/>
  <c r="H3133" i="24"/>
  <c r="H3173" i="24"/>
  <c r="H3213" i="24"/>
  <c r="H3249" i="24"/>
  <c r="H3292" i="24"/>
  <c r="H3335" i="24"/>
  <c r="H3372" i="24"/>
  <c r="H3415" i="24"/>
  <c r="H3454" i="24"/>
  <c r="H3493" i="24"/>
  <c r="H3535" i="24"/>
  <c r="H3574" i="24"/>
  <c r="H3609" i="24"/>
  <c r="H3644" i="24"/>
  <c r="H3682" i="24"/>
  <c r="H3718" i="24"/>
  <c r="H3754" i="24"/>
  <c r="H3789" i="24"/>
  <c r="H3823" i="24"/>
  <c r="H3857" i="24"/>
  <c r="H3887" i="24"/>
  <c r="H3920" i="24"/>
  <c r="H3954" i="24"/>
  <c r="H3984" i="24"/>
  <c r="H4014" i="24"/>
  <c r="H4044" i="24"/>
  <c r="H4074" i="24"/>
  <c r="H4107" i="24"/>
  <c r="H4137" i="24"/>
  <c r="H4165" i="24"/>
  <c r="H4193" i="24"/>
  <c r="H4224" i="24"/>
  <c r="H4253" i="24"/>
  <c r="H4282" i="24"/>
  <c r="H4310" i="24"/>
  <c r="H4340" i="24"/>
  <c r="H4371" i="24"/>
  <c r="H83" i="24"/>
  <c r="H140" i="24"/>
  <c r="H193" i="24"/>
  <c r="H252" i="24"/>
  <c r="H306" i="24"/>
  <c r="H356" i="24"/>
  <c r="H420" i="24"/>
  <c r="H474" i="24"/>
  <c r="H534" i="24"/>
  <c r="H585" i="24"/>
  <c r="H639" i="24"/>
  <c r="H697" i="24"/>
  <c r="H748" i="24"/>
  <c r="H800" i="24"/>
  <c r="H862" i="24"/>
  <c r="H918" i="24"/>
  <c r="H973" i="24"/>
  <c r="H1026" i="24"/>
  <c r="H1076" i="24"/>
  <c r="H1129" i="24"/>
  <c r="H1183" i="24"/>
  <c r="H1234" i="24"/>
  <c r="H1281" i="24"/>
  <c r="H1338" i="24"/>
  <c r="H1393" i="24"/>
  <c r="H1442" i="24"/>
  <c r="H1497" i="24"/>
  <c r="H1547" i="24"/>
  <c r="H1599" i="24"/>
  <c r="H1652" i="24"/>
  <c r="H1700" i="24"/>
  <c r="H1742" i="24"/>
  <c r="H1785" i="24"/>
  <c r="H1834" i="24"/>
  <c r="H1874" i="24"/>
  <c r="H1915" i="24"/>
  <c r="H1961" i="24"/>
  <c r="H2002" i="24"/>
  <c r="H2042" i="24"/>
  <c r="H2086" i="24"/>
  <c r="H2128" i="24"/>
  <c r="H2167" i="24"/>
  <c r="H2212" i="24"/>
  <c r="H2252" i="24"/>
  <c r="H2290" i="24"/>
  <c r="H2331" i="24"/>
  <c r="H2371" i="24"/>
  <c r="H2410" i="24"/>
  <c r="H2449" i="24"/>
  <c r="H2491" i="24"/>
  <c r="H2529" i="24"/>
  <c r="H2572" i="24"/>
  <c r="H2614" i="24"/>
  <c r="H2653" i="24"/>
  <c r="H2691" i="24"/>
  <c r="H2733" i="24"/>
  <c r="H2773" i="24"/>
  <c r="H2811" i="24"/>
  <c r="H2849" i="24"/>
  <c r="H2893" i="24"/>
  <c r="H2934" i="24"/>
  <c r="H2972" i="24"/>
  <c r="H3017" i="24"/>
  <c r="H3054" i="24"/>
  <c r="H3093" i="24"/>
  <c r="H3134" i="24"/>
  <c r="H3175" i="24"/>
  <c r="H3214" i="24"/>
  <c r="H3255" i="24"/>
  <c r="H3299" i="24"/>
  <c r="H3337" i="24"/>
  <c r="H3378" i="24"/>
  <c r="H3419" i="24"/>
  <c r="H3458" i="24"/>
  <c r="H3495" i="24"/>
  <c r="H3538" i="24"/>
  <c r="H3575" i="24"/>
  <c r="H3610" i="24"/>
  <c r="H3645" i="24"/>
  <c r="H3684" i="24"/>
  <c r="H3722" i="24"/>
  <c r="H3756" i="24"/>
  <c r="H3790" i="24"/>
  <c r="H3824" i="24"/>
  <c r="H3858" i="24"/>
  <c r="H3889" i="24"/>
  <c r="H3921" i="24"/>
  <c r="H3955" i="24"/>
  <c r="H3985" i="24"/>
  <c r="H4016" i="24"/>
  <c r="H4045" i="24"/>
  <c r="H4077" i="24"/>
  <c r="H4108" i="24"/>
  <c r="H4138" i="24"/>
  <c r="H4167" i="24"/>
  <c r="H4194" i="24"/>
  <c r="H4227" i="24"/>
  <c r="H4254" i="24"/>
  <c r="H4283" i="24"/>
  <c r="H4311" i="24"/>
  <c r="H4344" i="24"/>
  <c r="H4372" i="24"/>
  <c r="H195" i="24"/>
  <c r="H146" i="24"/>
  <c r="H254" i="24"/>
  <c r="H307" i="24"/>
  <c r="H359" i="24"/>
  <c r="H422" i="24"/>
  <c r="H476" i="24"/>
  <c r="H535" i="24"/>
  <c r="H586" i="24"/>
  <c r="H640" i="24"/>
  <c r="H699" i="24"/>
  <c r="H754" i="24"/>
  <c r="H802" i="24"/>
  <c r="H863" i="24"/>
  <c r="H922" i="24"/>
  <c r="H979" i="24"/>
  <c r="H1027" i="24"/>
  <c r="H1077" i="24"/>
  <c r="H1132" i="24"/>
  <c r="H1184" i="24"/>
  <c r="H1235" i="24"/>
  <c r="H1283" i="24"/>
  <c r="H1340" i="24"/>
  <c r="H1394" i="24"/>
  <c r="H1443" i="24"/>
  <c r="H1499" i="24"/>
  <c r="H1548" i="24"/>
  <c r="H1600" i="24"/>
  <c r="H1653" i="24"/>
  <c r="H1701" i="24"/>
  <c r="H1744" i="24"/>
  <c r="H1790" i="24"/>
  <c r="H1835" i="24"/>
  <c r="H1877" i="24"/>
  <c r="H1921" i="24"/>
  <c r="H1962" i="24"/>
  <c r="H2004" i="24"/>
  <c r="H2043" i="24"/>
  <c r="H2088" i="24"/>
  <c r="H2129" i="24"/>
  <c r="H2168" i="24"/>
  <c r="H2214" i="24"/>
  <c r="H2254" i="24"/>
  <c r="H2291" i="24"/>
  <c r="H2333" i="24"/>
  <c r="H2374" i="24"/>
  <c r="H2411" i="24"/>
  <c r="H2450" i="24"/>
  <c r="H2492" i="24"/>
  <c r="H2532" i="24"/>
  <c r="H2573" i="24"/>
  <c r="H2615" i="24"/>
  <c r="H2655" i="24"/>
  <c r="H2694" i="24"/>
  <c r="H2734" i="24"/>
  <c r="H2774" i="24"/>
  <c r="H2813" i="24"/>
  <c r="H2855" i="24"/>
  <c r="H2894" i="24"/>
  <c r="H2935" i="24"/>
  <c r="H2978" i="24"/>
  <c r="H3018" i="24"/>
  <c r="H3057" i="24"/>
  <c r="H3094" i="24"/>
  <c r="H3139" i="24"/>
  <c r="H3177" i="24"/>
  <c r="H3215" i="24"/>
  <c r="H3257" i="24"/>
  <c r="H3300" i="24"/>
  <c r="H3338" i="24"/>
  <c r="H3379" i="24"/>
  <c r="H3420" i="24"/>
  <c r="H3459" i="24"/>
  <c r="H3497" i="24"/>
  <c r="H3540" i="24"/>
  <c r="H3577" i="24"/>
  <c r="H3612" i="24"/>
  <c r="H3647" i="24"/>
  <c r="H3686" i="24"/>
  <c r="H3724" i="24"/>
  <c r="H3757" i="24"/>
  <c r="H3792" i="24"/>
  <c r="H3827" i="24"/>
  <c r="H3859" i="24"/>
  <c r="H3890" i="24"/>
  <c r="H3922" i="24"/>
  <c r="H3956" i="24"/>
  <c r="H3986" i="24"/>
  <c r="H4017" i="24"/>
  <c r="H4046" i="24"/>
  <c r="H4079" i="24"/>
  <c r="H4109" i="24"/>
  <c r="H4139" i="24"/>
  <c r="H4168" i="24"/>
  <c r="H4198" i="24"/>
  <c r="H4228" i="24"/>
  <c r="H4256" i="24"/>
  <c r="H4284" i="24"/>
  <c r="H4316" i="24"/>
  <c r="H4345" i="24"/>
  <c r="H4373" i="24"/>
  <c r="H147" i="24"/>
  <c r="H258" i="24"/>
  <c r="H311" i="24"/>
  <c r="H373" i="24"/>
  <c r="H423" i="24"/>
  <c r="H479" i="24"/>
  <c r="H537" i="24"/>
  <c r="H587" i="24"/>
  <c r="H642" i="24"/>
  <c r="H702" i="24"/>
  <c r="H755" i="24"/>
  <c r="H812" i="24"/>
  <c r="H868" i="24"/>
  <c r="H923" i="24"/>
  <c r="H980" i="24"/>
  <c r="H1028" i="24"/>
  <c r="H1081" i="24"/>
  <c r="H1133" i="24"/>
  <c r="H1186" i="24"/>
  <c r="H1237" i="24"/>
  <c r="H1288" i="24"/>
  <c r="H1345" i="24"/>
  <c r="H1397" i="24"/>
  <c r="H1448" i="24"/>
  <c r="H1503" i="24"/>
  <c r="H1555" i="24"/>
  <c r="H1602" i="24"/>
  <c r="H1656" i="24"/>
  <c r="H1702" i="24"/>
  <c r="H1746" i="24"/>
  <c r="H1797" i="24"/>
  <c r="H1837" i="24"/>
  <c r="H1879" i="24"/>
  <c r="H1923" i="24"/>
  <c r="H1964" i="24"/>
  <c r="H2005" i="24"/>
  <c r="H2044" i="24"/>
  <c r="H2090" i="24"/>
  <c r="H2130" i="24"/>
  <c r="H2172" i="24"/>
  <c r="H2215" i="24"/>
  <c r="H2255" i="24"/>
  <c r="H2293" i="24"/>
  <c r="H2335" i="24"/>
  <c r="H2375" i="24"/>
  <c r="H2413" i="24"/>
  <c r="H2455" i="24"/>
  <c r="H2493" i="24"/>
  <c r="H2535" i="24"/>
  <c r="H2578" i="24"/>
  <c r="H26" i="24"/>
  <c r="H32" i="24"/>
  <c r="H33" i="24"/>
  <c r="H85" i="24"/>
  <c r="H34" i="24"/>
  <c r="H92" i="24"/>
  <c r="H36" i="24"/>
  <c r="H94" i="24"/>
  <c r="H37" i="24"/>
  <c r="H97" i="24"/>
  <c r="H40" i="24"/>
  <c r="H98" i="24"/>
  <c r="H41" i="24"/>
  <c r="H101" i="24"/>
  <c r="H43" i="24"/>
  <c r="H105" i="24"/>
  <c r="H54" i="24"/>
  <c r="H106" i="24"/>
  <c r="H55" i="24"/>
  <c r="H107" i="24"/>
  <c r="H59" i="24"/>
  <c r="H108" i="24"/>
  <c r="H123" i="24"/>
  <c r="H184" i="24"/>
  <c r="H235" i="24"/>
  <c r="H293" i="24"/>
  <c r="H347" i="24"/>
  <c r="H402" i="24"/>
  <c r="H460" i="24"/>
  <c r="H511" i="24"/>
  <c r="H576" i="24"/>
  <c r="H628" i="24"/>
  <c r="H679" i="24"/>
  <c r="H740" i="24"/>
  <c r="H793" i="24"/>
  <c r="H842" i="24"/>
  <c r="H903" i="24"/>
  <c r="H955" i="24"/>
  <c r="H1012" i="24"/>
  <c r="H1066" i="24"/>
  <c r="H1116" i="24"/>
  <c r="H1171" i="24"/>
  <c r="H1220" i="24"/>
  <c r="H1274" i="24"/>
  <c r="H1322" i="24"/>
  <c r="H1377" i="24"/>
  <c r="H1429" i="24"/>
  <c r="H1477" i="24"/>
  <c r="H1537" i="24"/>
  <c r="H1588" i="24"/>
  <c r="H1636" i="24"/>
  <c r="H1687" i="24"/>
  <c r="H1737" i="24"/>
  <c r="H1776" i="24"/>
  <c r="H1819" i="24"/>
  <c r="H1863" i="24"/>
  <c r="H1904" i="24"/>
  <c r="H1948" i="24"/>
  <c r="H1993" i="24"/>
  <c r="H2034" i="24"/>
  <c r="H2077" i="24"/>
  <c r="H2117" i="24"/>
  <c r="H2159" i="24"/>
  <c r="H2197" i="24"/>
  <c r="H2239" i="24"/>
  <c r="H2280" i="24"/>
  <c r="H2321" i="24"/>
  <c r="H2362" i="24"/>
  <c r="H2403" i="24"/>
  <c r="H2441" i="24"/>
  <c r="H2480" i="24"/>
  <c r="H2524" i="24"/>
  <c r="H2561" i="24"/>
  <c r="H2600" i="24"/>
  <c r="H2640" i="24"/>
  <c r="H2683" i="24"/>
  <c r="H2723" i="24"/>
  <c r="H2764" i="24"/>
  <c r="H2804" i="24"/>
  <c r="H2844" i="24"/>
  <c r="H2881" i="24"/>
  <c r="H2924" i="24"/>
  <c r="H2962" i="24"/>
  <c r="H3001" i="24"/>
  <c r="H3047" i="24"/>
  <c r="H3084" i="24"/>
  <c r="H3124" i="24"/>
  <c r="H3166" i="24"/>
  <c r="H3205" i="24"/>
  <c r="H3244" i="24"/>
  <c r="H3287" i="24"/>
  <c r="H3325" i="24"/>
  <c r="H3365" i="24"/>
  <c r="H3410" i="24"/>
  <c r="H3448" i="24"/>
  <c r="H3488" i="24"/>
  <c r="H3525" i="24"/>
  <c r="H3566" i="24"/>
  <c r="H3605" i="24"/>
  <c r="H3639" i="24"/>
  <c r="H3675" i="24"/>
  <c r="H3712" i="24"/>
  <c r="H3748" i="24"/>
  <c r="H3780" i="24"/>
  <c r="H3815" i="24"/>
  <c r="H3848" i="24"/>
  <c r="H3881" i="24"/>
  <c r="H3914" i="24"/>
  <c r="H3946" i="24"/>
  <c r="H3979" i="24"/>
  <c r="H4009" i="24"/>
  <c r="H4039" i="24"/>
  <c r="H4068" i="24"/>
  <c r="H4098" i="24"/>
  <c r="H4132" i="24"/>
  <c r="H4160" i="24"/>
  <c r="H4189" i="24"/>
  <c r="H4217" i="24"/>
  <c r="H4248" i="24"/>
  <c r="H4277" i="24"/>
  <c r="H4305" i="24"/>
  <c r="H4333" i="24"/>
  <c r="H4364" i="24"/>
  <c r="H72" i="24"/>
  <c r="H4353" i="24"/>
  <c r="H4293" i="24"/>
  <c r="H4232" i="24"/>
  <c r="H4169" i="24"/>
  <c r="H4090" i="24"/>
  <c r="H4024" i="24"/>
  <c r="H3962" i="24"/>
  <c r="H3893" i="24"/>
  <c r="H3807" i="24"/>
  <c r="H3734" i="24"/>
  <c r="H3661" i="24"/>
  <c r="H3582" i="24"/>
  <c r="H3501" i="24"/>
  <c r="H3393" i="24"/>
  <c r="H3310" i="24"/>
  <c r="H3226" i="24"/>
  <c r="H3142" i="24"/>
  <c r="H3032" i="24"/>
  <c r="H2950" i="24"/>
  <c r="H2868" i="24"/>
  <c r="H2780" i="24"/>
  <c r="H2695" i="24"/>
  <c r="H2590" i="24"/>
  <c r="H2503" i="24"/>
  <c r="H2385" i="24"/>
  <c r="H2302" i="24"/>
  <c r="H2189" i="24"/>
  <c r="H2094" i="24"/>
  <c r="H1975" i="24"/>
  <c r="H1882" i="24"/>
  <c r="H1766" i="24"/>
  <c r="H1662" i="24"/>
  <c r="H1515" i="24"/>
  <c r="H1401" i="24"/>
  <c r="H1259" i="24"/>
  <c r="H1142" i="24"/>
  <c r="H994" i="24"/>
  <c r="H876" i="24"/>
  <c r="H721" i="24"/>
  <c r="H598" i="24"/>
  <c r="H440" i="24"/>
  <c r="H320" i="24"/>
  <c r="H172" i="24"/>
  <c r="H4352" i="24"/>
  <c r="H4292" i="24"/>
  <c r="H4230" i="24"/>
  <c r="H4153" i="24"/>
  <c r="H4088" i="24"/>
  <c r="H4023" i="24"/>
  <c r="H3961" i="24"/>
  <c r="H3892" i="24"/>
  <c r="H3806" i="24"/>
  <c r="H3733" i="24"/>
  <c r="H3659" i="24"/>
  <c r="H3581" i="24"/>
  <c r="H3479" i="24"/>
  <c r="H3391" i="24"/>
  <c r="H3306" i="24"/>
  <c r="H3225" i="24"/>
  <c r="H3141" i="24"/>
  <c r="H3030" i="24"/>
  <c r="H2948" i="24"/>
  <c r="H2867" i="24"/>
  <c r="H2779" i="24"/>
  <c r="H2672" i="24"/>
  <c r="H2589" i="24"/>
  <c r="H2502" i="24"/>
  <c r="H2384" i="24"/>
  <c r="H2295" i="24"/>
  <c r="H2188" i="24"/>
  <c r="H2093" i="24"/>
  <c r="H1974" i="24"/>
  <c r="H1881" i="24"/>
  <c r="H1765" i="24"/>
  <c r="H1660" i="24"/>
  <c r="H1514" i="24"/>
  <c r="H1400" i="24"/>
  <c r="H1258" i="24"/>
  <c r="H1141" i="24"/>
  <c r="H992" i="24"/>
  <c r="H874" i="24"/>
  <c r="H717" i="24"/>
  <c r="H597" i="24"/>
  <c r="H438" i="24"/>
  <c r="H319" i="24"/>
  <c r="H160" i="24"/>
  <c r="H4351" i="24"/>
  <c r="H4289" i="24"/>
  <c r="H4229" i="24"/>
  <c r="H4152" i="24"/>
  <c r="H4087" i="24"/>
  <c r="H4022" i="24"/>
  <c r="H3960" i="24"/>
  <c r="H3870" i="24"/>
  <c r="H3805" i="24"/>
  <c r="H3732" i="24"/>
  <c r="H3657" i="24"/>
  <c r="H3578" i="24"/>
  <c r="H3473" i="24"/>
  <c r="H3390" i="24"/>
  <c r="H3305" i="24"/>
  <c r="H3218" i="24"/>
  <c r="H3117" i="24"/>
  <c r="H3028" i="24"/>
  <c r="H2947" i="24"/>
  <c r="H2863" i="24"/>
  <c r="H2777" i="24"/>
  <c r="H2671" i="24"/>
  <c r="H2587" i="24"/>
  <c r="H2499" i="24"/>
  <c r="H2382" i="24"/>
  <c r="H2294" i="24"/>
  <c r="H2185" i="24"/>
  <c r="H2091" i="24"/>
  <c r="H1973" i="24"/>
  <c r="H1880" i="24"/>
  <c r="H1764" i="24"/>
  <c r="H1658" i="24"/>
  <c r="H1512" i="24"/>
  <c r="H1399" i="24"/>
  <c r="H1254" i="24"/>
  <c r="H1140" i="24"/>
  <c r="H989" i="24"/>
  <c r="H873" i="24"/>
  <c r="H712" i="24"/>
  <c r="H593" i="24"/>
  <c r="H437" i="24"/>
  <c r="H312" i="24"/>
  <c r="H159" i="24"/>
  <c r="H4350" i="24"/>
  <c r="H4288" i="24"/>
  <c r="H4211" i="24"/>
  <c r="H4151" i="24"/>
  <c r="H4086" i="24"/>
  <c r="H4021" i="24"/>
  <c r="H3959" i="24"/>
  <c r="H3869" i="24"/>
  <c r="H3803" i="24"/>
  <c r="H3728" i="24"/>
  <c r="H3655" i="24"/>
  <c r="H3557" i="24"/>
  <c r="H3471" i="24"/>
  <c r="H3389" i="24"/>
  <c r="H3304" i="24"/>
  <c r="H3217" i="24"/>
  <c r="H3113" i="24"/>
  <c r="H3027" i="24"/>
  <c r="H2944" i="24"/>
  <c r="H2858" i="24"/>
  <c r="H2754" i="24"/>
  <c r="H2666" i="24"/>
  <c r="H2585" i="24"/>
  <c r="H2472" i="24"/>
  <c r="H2381" i="24"/>
  <c r="H2270" i="24"/>
  <c r="H2184" i="24"/>
  <c r="H2065" i="24"/>
  <c r="H1972" i="24"/>
  <c r="H1850" i="24"/>
  <c r="H1760" i="24"/>
  <c r="H1628" i="24"/>
  <c r="H1508" i="24"/>
  <c r="H1363" i="24"/>
  <c r="H1252" i="24"/>
  <c r="H1099" i="24"/>
  <c r="H987" i="24"/>
  <c r="H835" i="24"/>
  <c r="H708" i="24"/>
  <c r="H553" i="24"/>
  <c r="H436" i="24"/>
  <c r="H278" i="24"/>
  <c r="H156" i="24"/>
  <c r="H60" i="24"/>
  <c r="H4349" i="24"/>
  <c r="H4287" i="24"/>
  <c r="H4210" i="24"/>
  <c r="H4148" i="24"/>
  <c r="H4085" i="24"/>
  <c r="H4019" i="24"/>
  <c r="H3939" i="24"/>
  <c r="H3868" i="24"/>
  <c r="H3801" i="24"/>
  <c r="H3727" i="24"/>
  <c r="H3653" i="24"/>
  <c r="H3553" i="24"/>
  <c r="H3470" i="24"/>
  <c r="H3388" i="24"/>
  <c r="H3303" i="24"/>
  <c r="H3198" i="24"/>
  <c r="H3110" i="24"/>
  <c r="H3026" i="24"/>
  <c r="H2943" i="24"/>
  <c r="H2857" i="24"/>
  <c r="H2748" i="24"/>
  <c r="H2663" i="24"/>
  <c r="H2584" i="24"/>
  <c r="H2469" i="24"/>
  <c r="H2380" i="24"/>
  <c r="H2264" i="24"/>
  <c r="H2182" i="24"/>
  <c r="H2064" i="24"/>
  <c r="H1967" i="24"/>
  <c r="H1849" i="24"/>
  <c r="H1759" i="24"/>
  <c r="H1622" i="24"/>
  <c r="H1507" i="24"/>
  <c r="H1362" i="24"/>
  <c r="H1240" i="24"/>
  <c r="H1098" i="24"/>
  <c r="H986" i="24"/>
  <c r="H833" i="24"/>
  <c r="H707" i="24"/>
  <c r="H552" i="24"/>
  <c r="H435" i="24"/>
  <c r="H277" i="24"/>
  <c r="H153" i="24"/>
  <c r="H4348" i="24"/>
  <c r="H4270" i="24"/>
  <c r="H4209" i="24"/>
  <c r="H4145" i="24"/>
  <c r="H4084" i="24"/>
  <c r="H4018" i="24"/>
  <c r="H3938" i="24"/>
  <c r="H3866" i="24"/>
  <c r="H3800" i="24"/>
  <c r="H3726" i="24"/>
  <c r="H3632" i="24"/>
  <c r="H3552" i="24"/>
  <c r="H3466" i="24"/>
  <c r="H3387" i="24"/>
  <c r="H3301" i="24"/>
  <c r="H3194" i="24"/>
  <c r="H3109" i="24"/>
  <c r="H3025" i="24"/>
  <c r="H2942" i="24"/>
  <c r="H2835" i="24"/>
  <c r="H2747" i="24"/>
  <c r="H2662" i="24"/>
  <c r="H2582" i="24"/>
  <c r="H2468" i="24"/>
  <c r="H2379" i="24"/>
  <c r="H2263" i="24"/>
  <c r="H2180" i="24"/>
  <c r="H2063" i="24"/>
  <c r="H1966" i="24"/>
  <c r="H1848" i="24"/>
  <c r="H1756" i="24"/>
  <c r="H1621" i="24"/>
  <c r="H1506" i="24"/>
  <c r="H1356" i="24"/>
  <c r="H1239" i="24"/>
  <c r="H1097" i="24"/>
  <c r="H984" i="24"/>
  <c r="H832" i="24"/>
  <c r="H706" i="24"/>
  <c r="H549" i="24"/>
  <c r="H429" i="24"/>
  <c r="H276" i="24"/>
  <c r="H152" i="24"/>
  <c r="H4347" i="24"/>
  <c r="H4269" i="24"/>
  <c r="H4208" i="24"/>
  <c r="H4144" i="24"/>
  <c r="H4082" i="24"/>
  <c r="H3998" i="24"/>
  <c r="H3935" i="24"/>
  <c r="H3865" i="24"/>
  <c r="H3798" i="24"/>
  <c r="H3725" i="24"/>
  <c r="H3630" i="24"/>
  <c r="H3550" i="24"/>
  <c r="H3464" i="24"/>
  <c r="H3386" i="24"/>
  <c r="H3274" i="24"/>
  <c r="H3193" i="24"/>
  <c r="H3106" i="24"/>
  <c r="H3022" i="24"/>
  <c r="H2937" i="24"/>
  <c r="H2832" i="24"/>
  <c r="H2746" i="24"/>
  <c r="H2660" i="24"/>
  <c r="H2579" i="24"/>
  <c r="H2467" i="24"/>
  <c r="H2378" i="24"/>
  <c r="H2262" i="24"/>
  <c r="H2179" i="24"/>
  <c r="H2058" i="24"/>
  <c r="H1965" i="24"/>
  <c r="H1847" i="24"/>
  <c r="H1747" i="24"/>
  <c r="H1618" i="24"/>
  <c r="H1505" i="24"/>
  <c r="H1355" i="24"/>
  <c r="H1238" i="24"/>
  <c r="H1094" i="24"/>
  <c r="H982" i="24"/>
  <c r="H826" i="24"/>
  <c r="H703" i="24"/>
  <c r="H548" i="24"/>
  <c r="H425" i="24"/>
  <c r="H275" i="24"/>
  <c r="H149" i="24"/>
  <c r="H4328" i="24"/>
  <c r="H4265" i="24"/>
  <c r="H4207" i="24"/>
  <c r="H4143" i="24"/>
  <c r="H4080" i="24"/>
  <c r="H3997" i="24"/>
  <c r="H3934" i="24"/>
  <c r="H3864" i="24"/>
  <c r="H3796" i="24"/>
  <c r="H3702" i="24"/>
  <c r="H3629" i="24"/>
  <c r="H3548" i="24"/>
  <c r="H3463" i="24"/>
  <c r="H3380" i="24"/>
  <c r="H3273" i="24"/>
  <c r="H3189" i="24"/>
  <c r="H3103" i="24"/>
  <c r="H3021" i="24"/>
  <c r="H2911" i="24"/>
  <c r="H2831" i="24"/>
  <c r="H2745" i="24"/>
  <c r="H2659" i="24"/>
  <c r="H2552" i="24"/>
  <c r="H2466" i="24"/>
  <c r="H2350" i="24"/>
  <c r="H2261" i="24"/>
  <c r="H2149" i="24"/>
  <c r="H2057" i="24"/>
  <c r="H1937" i="24"/>
  <c r="H1845" i="24"/>
  <c r="H1723" i="24"/>
  <c r="H1613" i="24"/>
  <c r="H1467" i="24"/>
  <c r="H1353" i="24"/>
  <c r="H1211" i="24"/>
  <c r="H1091" i="24"/>
  <c r="H947" i="24"/>
  <c r="H824" i="24"/>
  <c r="H669" i="24"/>
  <c r="H546" i="24"/>
  <c r="H391" i="24"/>
  <c r="H268" i="24"/>
  <c r="H148" i="24"/>
  <c r="H4363" i="24"/>
  <c r="H4332" i="24"/>
  <c r="H4304" i="24"/>
  <c r="H4276" i="24"/>
  <c r="H4247" i="24"/>
  <c r="H4216" i="24"/>
  <c r="H4188" i="24"/>
  <c r="H4159" i="24"/>
  <c r="H4129" i="24"/>
  <c r="H4097" i="24"/>
  <c r="H4067" i="24"/>
  <c r="H4038" i="24"/>
  <c r="H4007" i="24"/>
  <c r="H3975" i="24"/>
  <c r="H3944" i="24"/>
  <c r="H3912" i="24"/>
  <c r="H3880" i="24"/>
  <c r="H3844" i="24"/>
  <c r="H3814" i="24"/>
  <c r="H3779" i="24"/>
  <c r="H3747" i="24"/>
  <c r="H3710" i="24"/>
  <c r="H3672" i="24"/>
  <c r="H3638" i="24"/>
  <c r="H3601" i="24"/>
  <c r="H3564" i="24"/>
  <c r="H3524" i="24"/>
  <c r="H3487" i="24"/>
  <c r="H3447" i="24"/>
  <c r="H3404" i="24"/>
  <c r="H3364" i="24"/>
  <c r="H3324" i="24"/>
  <c r="H3281" i="24"/>
  <c r="H3243" i="24"/>
  <c r="H3204" i="24"/>
  <c r="H3165" i="24"/>
  <c r="H3123" i="24"/>
  <c r="H3083" i="24"/>
  <c r="H3046" i="24"/>
  <c r="H3000" i="24"/>
  <c r="H2961" i="24"/>
  <c r="H2923" i="24"/>
  <c r="H2880" i="24"/>
  <c r="H2843" i="24"/>
  <c r="H2803" i="24"/>
  <c r="H2762" i="24"/>
  <c r="H2722" i="24"/>
  <c r="H2682" i="24"/>
  <c r="H2639" i="24"/>
  <c r="H2599" i="24"/>
  <c r="H2559" i="24"/>
  <c r="H2519" i="24"/>
  <c r="H2479" i="24"/>
  <c r="H2439" i="24"/>
  <c r="H2402" i="24"/>
  <c r="H2358" i="24"/>
  <c r="H2319" i="24"/>
  <c r="H2279" i="24"/>
  <c r="H2234" i="24"/>
  <c r="H2195" i="24"/>
  <c r="H2158" i="24"/>
  <c r="H2115" i="24"/>
  <c r="H2071" i="24"/>
  <c r="H2031" i="24"/>
  <c r="H1990" i="24"/>
  <c r="H1947" i="24"/>
  <c r="H1902" i="24"/>
  <c r="H1861" i="24"/>
  <c r="H1818" i="24"/>
  <c r="H1774" i="24"/>
  <c r="H1729" i="24"/>
  <c r="H1686" i="24"/>
  <c r="H1635" i="24"/>
  <c r="H1587" i="24"/>
  <c r="H1534" i="24"/>
  <c r="H1474" i="24"/>
  <c r="H1427" i="24"/>
  <c r="H1374" i="24"/>
  <c r="H1320" i="24"/>
  <c r="H1273" i="24"/>
  <c r="H1219" i="24"/>
  <c r="H1162" i="24"/>
  <c r="H1115" i="24"/>
  <c r="H1065" i="24"/>
  <c r="H1002" i="24"/>
  <c r="H953" i="24"/>
  <c r="H901" i="24"/>
  <c r="H840" i="24"/>
  <c r="H789" i="24"/>
  <c r="H738" i="24"/>
  <c r="H677" i="24"/>
  <c r="H627" i="24"/>
  <c r="H572" i="24"/>
  <c r="H509" i="24"/>
  <c r="H458" i="24"/>
  <c r="H396" i="24"/>
  <c r="H346" i="24"/>
  <c r="H292" i="24"/>
  <c r="H234" i="24"/>
  <c r="H182" i="24"/>
  <c r="H121" i="24"/>
  <c r="H67" i="24"/>
  <c r="H4359" i="24"/>
  <c r="H4331" i="24"/>
  <c r="H4303" i="24"/>
  <c r="H4274" i="24"/>
  <c r="H4245" i="24"/>
  <c r="H4214" i="24"/>
  <c r="H4187" i="24"/>
  <c r="H4158" i="24"/>
  <c r="H4128" i="24"/>
  <c r="H4096" i="24"/>
  <c r="H4066" i="24"/>
  <c r="H4037" i="24"/>
  <c r="H4005" i="24"/>
  <c r="H3974" i="24"/>
  <c r="H3942" i="24"/>
  <c r="H3910" i="24"/>
  <c r="H3878" i="24"/>
  <c r="H3843" i="24"/>
  <c r="H3813" i="24"/>
  <c r="H3778" i="24"/>
  <c r="H3746" i="24"/>
  <c r="H3705" i="24"/>
  <c r="H3670" i="24"/>
  <c r="H3635" i="24"/>
  <c r="H3600" i="24"/>
  <c r="H3563" i="24"/>
  <c r="H3522" i="24"/>
  <c r="H3485" i="24"/>
  <c r="H3446" i="24"/>
  <c r="H3399" i="24"/>
  <c r="H3363" i="24"/>
  <c r="H3323" i="24"/>
  <c r="H3280" i="24"/>
  <c r="H3242" i="24"/>
  <c r="H3202" i="24"/>
  <c r="H3164" i="24"/>
  <c r="H3121" i="24"/>
  <c r="H3082" i="24"/>
  <c r="H3040" i="24"/>
  <c r="H2998" i="24"/>
  <c r="H2959" i="24"/>
  <c r="H2921" i="24"/>
  <c r="H2879" i="24"/>
  <c r="H2839" i="24"/>
  <c r="H2801" i="24"/>
  <c r="H2758" i="24"/>
  <c r="H2721" i="24"/>
  <c r="H2678" i="24"/>
  <c r="H2634" i="24"/>
  <c r="H2597" i="24"/>
  <c r="H2558" i="24"/>
  <c r="H2517" i="24"/>
  <c r="H2478" i="24"/>
  <c r="H2438" i="24"/>
  <c r="H2401" i="24"/>
  <c r="H2357" i="24"/>
  <c r="H2314" i="24"/>
  <c r="H2278" i="24"/>
  <c r="H2233" i="24"/>
  <c r="H2194" i="24"/>
  <c r="H2157" i="24"/>
  <c r="H2114" i="24"/>
  <c r="H2070" i="24"/>
  <c r="H2030" i="24"/>
  <c r="H1987" i="24"/>
  <c r="H1941" i="24"/>
  <c r="H1901" i="24"/>
  <c r="H1858" i="24"/>
  <c r="H1817" i="24"/>
  <c r="H1773" i="24"/>
  <c r="H1728" i="24"/>
  <c r="H1681" i="24"/>
  <c r="H1634" i="24"/>
  <c r="H1586" i="24"/>
  <c r="H1525" i="24"/>
  <c r="H1473" i="24"/>
  <c r="H1426" i="24"/>
  <c r="H1371" i="24"/>
  <c r="H1317" i="24"/>
  <c r="H1271" i="24"/>
  <c r="H1217" i="24"/>
  <c r="H1161" i="24"/>
  <c r="H1112" i="24"/>
  <c r="H1057" i="24"/>
  <c r="H1001" i="24"/>
  <c r="H952" i="24"/>
  <c r="H900" i="24"/>
  <c r="H839" i="24"/>
  <c r="H788" i="24"/>
  <c r="H735" i="24"/>
  <c r="H675" i="24"/>
  <c r="H625" i="24"/>
  <c r="H562" i="24"/>
  <c r="H507" i="24"/>
  <c r="H453" i="24"/>
  <c r="H395" i="24"/>
  <c r="H345" i="24"/>
  <c r="H282" i="24"/>
  <c r="H233" i="24"/>
  <c r="H181" i="24"/>
  <c r="H120" i="24"/>
  <c r="H63" i="24"/>
  <c r="H4358" i="24"/>
  <c r="H4330" i="24"/>
  <c r="H4302" i="24"/>
  <c r="H4273" i="24"/>
  <c r="H4242" i="24"/>
  <c r="H4213" i="24"/>
  <c r="H4185" i="24"/>
  <c r="H4157" i="24"/>
  <c r="H4127" i="24"/>
  <c r="H4095" i="24"/>
  <c r="H4065" i="24"/>
  <c r="H4035" i="24"/>
  <c r="H4004" i="24"/>
  <c r="H3970" i="24"/>
  <c r="H3941" i="24"/>
  <c r="H3908" i="24"/>
  <c r="H3877" i="24"/>
  <c r="H3842" i="24"/>
  <c r="H3812" i="24"/>
  <c r="H3777" i="24"/>
  <c r="H3741" i="24"/>
  <c r="H3704" i="24"/>
  <c r="H3669" i="24"/>
  <c r="H3634" i="24"/>
  <c r="H3599" i="24"/>
  <c r="H3559" i="24"/>
  <c r="H3521" i="24"/>
  <c r="H3483" i="24"/>
  <c r="H3443" i="24"/>
  <c r="H3398" i="24"/>
  <c r="H3361" i="24"/>
  <c r="H3321" i="24"/>
  <c r="H3279" i="24"/>
  <c r="H3240" i="24"/>
  <c r="H3201" i="24"/>
  <c r="H3158" i="24"/>
  <c r="H3120" i="24"/>
  <c r="H3081" i="24"/>
  <c r="H3034" i="24"/>
  <c r="H2995" i="24"/>
  <c r="H2958" i="24"/>
  <c r="H2920" i="24"/>
  <c r="H2878" i="24"/>
  <c r="H2838" i="24"/>
  <c r="H2800" i="24"/>
  <c r="H2757" i="24"/>
  <c r="H2720" i="24"/>
  <c r="H2677" i="24"/>
  <c r="H2633" i="24"/>
  <c r="H2595" i="24"/>
  <c r="H2557" i="24"/>
  <c r="H2515" i="24"/>
  <c r="H2477" i="24"/>
  <c r="H2437" i="24"/>
  <c r="H2395" i="24"/>
  <c r="H2355" i="24"/>
  <c r="H2313" i="24"/>
  <c r="H2272" i="24"/>
  <c r="H2232" i="24"/>
  <c r="H2192" i="24"/>
  <c r="H2155" i="24"/>
  <c r="H2109" i="24"/>
  <c r="H2069" i="24"/>
  <c r="H2029" i="24"/>
  <c r="H1986" i="24"/>
  <c r="H1940" i="24"/>
  <c r="H1900" i="24"/>
  <c r="H1857" i="24"/>
  <c r="H1812" i="24"/>
  <c r="H1770" i="24"/>
  <c r="H1727" i="24"/>
  <c r="H1679" i="24"/>
  <c r="H1633" i="24"/>
  <c r="H1581" i="24"/>
  <c r="H1523" i="24"/>
  <c r="H1472" i="24"/>
  <c r="H1420" i="24"/>
  <c r="H1369" i="24"/>
  <c r="H1316" i="24"/>
  <c r="H1266" i="24"/>
  <c r="H1214" i="24"/>
  <c r="H1160" i="24"/>
  <c r="H1111" i="24"/>
  <c r="H1054" i="24"/>
  <c r="H1000" i="24"/>
  <c r="H951" i="24"/>
  <c r="H899" i="24"/>
  <c r="H837" i="24"/>
  <c r="H787" i="24"/>
  <c r="H731" i="24"/>
  <c r="H674" i="24"/>
  <c r="H622" i="24"/>
  <c r="H556" i="24"/>
  <c r="H506" i="24"/>
  <c r="H452" i="24"/>
  <c r="H394" i="24"/>
  <c r="H342" i="24"/>
  <c r="H281" i="24"/>
  <c r="H229" i="24"/>
  <c r="H179" i="24"/>
  <c r="H119" i="24"/>
  <c r="H62" i="24"/>
  <c r="H4357" i="24"/>
  <c r="H4329" i="24"/>
  <c r="H4300" i="24"/>
  <c r="H4271" i="24"/>
  <c r="H4240" i="24"/>
  <c r="H4212" i="24"/>
  <c r="H4184" i="24"/>
  <c r="H4156" i="24"/>
  <c r="H4123" i="24"/>
  <c r="H4094" i="24"/>
  <c r="H4064" i="24"/>
  <c r="H4034" i="24"/>
  <c r="H4000" i="24"/>
  <c r="H3969" i="24"/>
  <c r="H3940" i="24"/>
  <c r="H3907" i="24"/>
  <c r="H3876" i="24"/>
  <c r="H3841" i="24"/>
  <c r="H3808" i="24"/>
  <c r="H3776" i="24"/>
  <c r="H3740" i="24"/>
  <c r="H3703" i="24"/>
  <c r="H3668" i="24"/>
  <c r="H3633" i="24"/>
  <c r="H3596" i="24"/>
  <c r="H3558" i="24"/>
  <c r="H3520" i="24"/>
  <c r="H3482" i="24"/>
  <c r="H3435" i="24"/>
  <c r="H3397" i="24"/>
  <c r="H3359" i="24"/>
  <c r="H3319" i="24"/>
  <c r="H3277" i="24"/>
  <c r="H3239" i="24"/>
  <c r="H3200" i="24"/>
  <c r="H3157" i="24"/>
  <c r="H3119" i="24"/>
  <c r="H3077" i="24"/>
  <c r="H3033" i="24"/>
  <c r="H2994" i="24"/>
  <c r="H2955" i="24"/>
  <c r="H2917" i="24"/>
  <c r="H2874" i="24"/>
  <c r="H2837" i="24"/>
  <c r="H2797" i="24"/>
  <c r="H2755" i="24"/>
  <c r="H2713" i="24"/>
  <c r="H2673" i="24"/>
  <c r="H2632" i="24"/>
  <c r="H2592" i="24"/>
  <c r="H2554" i="24"/>
  <c r="H2511" i="24"/>
  <c r="H2473" i="24"/>
  <c r="H2435" i="24"/>
  <c r="H2394" i="24"/>
  <c r="H2351" i="24"/>
  <c r="H2312" i="24"/>
  <c r="H2271" i="24"/>
  <c r="H2230" i="24"/>
  <c r="H2191" i="24"/>
  <c r="H2153" i="24"/>
  <c r="H2107" i="24"/>
  <c r="H2068" i="24"/>
  <c r="H2028" i="24"/>
  <c r="H1978" i="24"/>
  <c r="H1939" i="24"/>
  <c r="H1898" i="24"/>
  <c r="H1855" i="24"/>
  <c r="H1811" i="24"/>
  <c r="H1769" i="24"/>
  <c r="H1724" i="24"/>
  <c r="H1678" i="24"/>
  <c r="H1631" i="24"/>
  <c r="H1573" i="24"/>
  <c r="H1520" i="24"/>
  <c r="H1471" i="24"/>
  <c r="H1419" i="24"/>
  <c r="H1365" i="24"/>
  <c r="H1315" i="24"/>
  <c r="H1265" i="24"/>
  <c r="H1212" i="24"/>
  <c r="H1157" i="24"/>
  <c r="H1105" i="24"/>
  <c r="H1052" i="24"/>
  <c r="H997" i="24"/>
  <c r="H949" i="24"/>
  <c r="H896" i="24"/>
  <c r="H836" i="24"/>
  <c r="H786" i="24"/>
  <c r="H725" i="24"/>
  <c r="H672" i="24"/>
  <c r="H613" i="24"/>
  <c r="H555" i="24"/>
  <c r="H504" i="24"/>
  <c r="H442" i="24"/>
  <c r="H393" i="24"/>
  <c r="H341" i="24"/>
  <c r="H279" i="24"/>
  <c r="H226" i="24"/>
  <c r="H173" i="24"/>
  <c r="H114" i="24"/>
  <c r="H10" i="24"/>
  <c r="H30" i="24"/>
  <c r="H50" i="24"/>
  <c r="H70" i="24"/>
  <c r="H90" i="24"/>
  <c r="H110" i="24"/>
  <c r="H130" i="24"/>
  <c r="H150" i="24"/>
  <c r="H170" i="24"/>
  <c r="H190" i="24"/>
  <c r="H210" i="24"/>
  <c r="H230" i="24"/>
  <c r="H250" i="24"/>
  <c r="H270" i="24"/>
  <c r="H290" i="24"/>
  <c r="H310" i="24"/>
  <c r="H330" i="24"/>
  <c r="H350" i="24"/>
  <c r="H370" i="24"/>
  <c r="H390" i="24"/>
  <c r="H410" i="24"/>
  <c r="H430" i="24"/>
  <c r="H450" i="24"/>
  <c r="H470" i="24"/>
  <c r="H490" i="24"/>
  <c r="H510" i="24"/>
  <c r="H530" i="24"/>
  <c r="H550" i="24"/>
  <c r="H570" i="24"/>
  <c r="H590" i="24"/>
  <c r="H610" i="24"/>
  <c r="H630" i="24"/>
  <c r="H650" i="24"/>
  <c r="H670" i="24"/>
  <c r="H690" i="24"/>
  <c r="H710" i="24"/>
  <c r="H730" i="24"/>
  <c r="H750" i="24"/>
  <c r="H770" i="24"/>
  <c r="H790" i="24"/>
  <c r="H810" i="24"/>
  <c r="H830" i="24"/>
  <c r="H850" i="24"/>
  <c r="H870" i="24"/>
  <c r="H890" i="24"/>
  <c r="H910" i="24"/>
  <c r="H930" i="24"/>
  <c r="H950" i="24"/>
  <c r="H970" i="24"/>
  <c r="H990" i="24"/>
  <c r="H1010" i="24"/>
  <c r="H1030" i="24"/>
  <c r="H1050" i="24"/>
  <c r="H1070" i="24"/>
  <c r="H1090" i="24"/>
  <c r="H1110" i="24"/>
  <c r="H1130" i="24"/>
  <c r="H1150" i="24"/>
  <c r="H1170" i="24"/>
  <c r="H1190" i="24"/>
  <c r="H1210" i="24"/>
  <c r="H1230" i="24"/>
  <c r="H1250" i="24"/>
  <c r="H1270" i="24"/>
  <c r="H1290" i="24"/>
  <c r="H1310" i="24"/>
  <c r="H1330" i="24"/>
  <c r="H1350" i="24"/>
  <c r="H1370" i="24"/>
  <c r="H1390" i="24"/>
  <c r="H1410" i="24"/>
  <c r="H1430" i="24"/>
  <c r="H1450" i="24"/>
  <c r="H1470" i="24"/>
  <c r="H1490" i="24"/>
  <c r="H1510" i="24"/>
  <c r="H1530" i="24"/>
  <c r="H1550" i="24"/>
  <c r="H1570" i="24"/>
  <c r="H1590" i="24"/>
  <c r="H1610" i="24"/>
  <c r="H1630" i="24"/>
  <c r="H1650" i="24"/>
  <c r="H1670" i="24"/>
  <c r="H1690" i="24"/>
  <c r="H25" i="24"/>
  <c r="H27" i="24"/>
  <c r="H48" i="24"/>
  <c r="H69" i="24"/>
  <c r="H91" i="24"/>
  <c r="H112" i="24"/>
  <c r="H133" i="24"/>
  <c r="H154" i="24"/>
  <c r="H175" i="24"/>
  <c r="H196" i="24"/>
  <c r="H217" i="24"/>
  <c r="H238" i="24"/>
  <c r="H259" i="24"/>
  <c r="H280" i="24"/>
  <c r="H301" i="24"/>
  <c r="H322" i="24"/>
  <c r="H343" i="24"/>
  <c r="H364" i="24"/>
  <c r="H385" i="24"/>
  <c r="H406" i="24"/>
  <c r="H427" i="24"/>
  <c r="H448" i="24"/>
  <c r="H469" i="24"/>
  <c r="H491" i="24"/>
  <c r="H512" i="24"/>
  <c r="H533" i="24"/>
  <c r="H554" i="24"/>
  <c r="H575" i="24"/>
  <c r="H596" i="24"/>
  <c r="H617" i="24"/>
  <c r="H638" i="24"/>
  <c r="H659" i="24"/>
  <c r="H680" i="24"/>
  <c r="H701" i="24"/>
  <c r="H722" i="24"/>
  <c r="H743" i="24"/>
  <c r="H764" i="24"/>
  <c r="H785" i="24"/>
  <c r="H806" i="24"/>
  <c r="H827" i="24"/>
  <c r="H848" i="24"/>
  <c r="H869" i="24"/>
  <c r="H891" i="24"/>
  <c r="H912" i="24"/>
  <c r="H933" i="24"/>
  <c r="H954" i="24"/>
  <c r="H975" i="24"/>
  <c r="H996" i="24"/>
  <c r="H1017" i="24"/>
  <c r="H1038" i="24"/>
  <c r="H1059" i="24"/>
  <c r="H1080" i="24"/>
  <c r="H1101" i="24"/>
  <c r="H1122" i="24"/>
  <c r="H1143" i="24"/>
  <c r="H1164" i="24"/>
  <c r="H1185" i="24"/>
  <c r="H1206" i="24"/>
  <c r="H1227" i="24"/>
  <c r="H1248" i="24"/>
  <c r="H1269" i="24"/>
  <c r="H1291" i="24"/>
  <c r="H1312" i="24"/>
  <c r="H1333" i="24"/>
  <c r="H1354" i="24"/>
  <c r="H1375" i="24"/>
  <c r="H1396" i="24"/>
  <c r="H1417" i="24"/>
  <c r="H1438" i="24"/>
  <c r="H1459" i="24"/>
  <c r="H1480" i="24"/>
  <c r="H1501" i="24"/>
  <c r="H1522" i="24"/>
  <c r="H1543" i="24"/>
  <c r="H1564" i="24"/>
  <c r="H1585" i="24"/>
  <c r="H1606" i="24"/>
  <c r="H1627" i="24"/>
  <c r="H1648" i="24"/>
  <c r="H1669" i="24"/>
  <c r="H1691" i="24"/>
  <c r="H1711" i="24"/>
  <c r="H1731" i="24"/>
  <c r="H1751" i="24"/>
  <c r="H1771" i="24"/>
  <c r="H1791" i="24"/>
  <c r="H28" i="24"/>
  <c r="H51" i="24"/>
  <c r="H73" i="24"/>
  <c r="H95" i="24"/>
  <c r="H117" i="24"/>
  <c r="H139" i="24"/>
  <c r="H161" i="24"/>
  <c r="H183" i="24"/>
  <c r="H205" i="24"/>
  <c r="H227" i="24"/>
  <c r="H249" i="24"/>
  <c r="H272" i="24"/>
  <c r="H294" i="24"/>
  <c r="H316" i="24"/>
  <c r="H338" i="24"/>
  <c r="H360" i="24"/>
  <c r="H382" i="24"/>
  <c r="H404" i="24"/>
  <c r="H426" i="24"/>
  <c r="H449" i="24"/>
  <c r="H472" i="24"/>
  <c r="H494" i="24"/>
  <c r="H516" i="24"/>
  <c r="H538" i="24"/>
  <c r="H560" i="24"/>
  <c r="H582" i="24"/>
  <c r="H604" i="24"/>
  <c r="H626" i="24"/>
  <c r="H648" i="24"/>
  <c r="H671" i="24"/>
  <c r="H693" i="24"/>
  <c r="H715" i="24"/>
  <c r="H737" i="24"/>
  <c r="H759" i="24"/>
  <c r="H781" i="24"/>
  <c r="H803" i="24"/>
  <c r="H825" i="24"/>
  <c r="H847" i="24"/>
  <c r="H871" i="24"/>
  <c r="H893" i="24"/>
  <c r="H915" i="24"/>
  <c r="H937" i="24"/>
  <c r="H959" i="24"/>
  <c r="H981" i="24"/>
  <c r="H1003" i="24"/>
  <c r="H1025" i="24"/>
  <c r="H1047" i="24"/>
  <c r="H1069" i="24"/>
  <c r="H1092" i="24"/>
  <c r="H1114" i="24"/>
  <c r="H1136" i="24"/>
  <c r="H1158" i="24"/>
  <c r="H1180" i="24"/>
  <c r="H1202" i="24"/>
  <c r="H1224" i="24"/>
  <c r="H1246" i="24"/>
  <c r="H1268" i="24"/>
  <c r="H1292" i="24"/>
  <c r="H1314" i="24"/>
  <c r="H1336" i="24"/>
  <c r="H1358" i="24"/>
  <c r="H1380" i="24"/>
  <c r="H1402" i="24"/>
  <c r="H1424" i="24"/>
  <c r="H1446" i="24"/>
  <c r="H1468" i="24"/>
  <c r="H1491" i="24"/>
  <c r="H1513" i="24"/>
  <c r="H1535" i="24"/>
  <c r="H1557" i="24"/>
  <c r="H1579" i="24"/>
  <c r="H1601" i="24"/>
  <c r="H1623" i="24"/>
  <c r="H1645" i="24"/>
  <c r="H1667" i="24"/>
  <c r="H1689" i="24"/>
  <c r="H1712" i="24"/>
  <c r="H1733" i="24"/>
  <c r="H1754" i="24"/>
  <c r="H1775" i="24"/>
  <c r="H1796" i="24"/>
  <c r="H1816" i="24"/>
  <c r="H1836" i="24"/>
  <c r="H1856" i="24"/>
  <c r="H1876" i="24"/>
  <c r="H1896" i="24"/>
  <c r="H1916" i="24"/>
  <c r="H1936" i="24"/>
  <c r="H1956" i="24"/>
  <c r="H1976" i="24"/>
  <c r="H1996" i="24"/>
  <c r="H2016" i="24"/>
  <c r="H2036" i="24"/>
  <c r="H2056" i="24"/>
  <c r="H2076" i="24"/>
  <c r="H2096" i="24"/>
  <c r="H2116" i="24"/>
  <c r="H2136" i="24"/>
  <c r="H2156" i="24"/>
  <c r="H2176" i="24"/>
  <c r="H2196" i="24"/>
  <c r="H2216" i="24"/>
  <c r="H2236" i="24"/>
  <c r="H2256" i="24"/>
  <c r="H2276" i="24"/>
  <c r="H2296" i="24"/>
  <c r="H2316" i="24"/>
  <c r="H2336" i="24"/>
  <c r="H2356" i="24"/>
  <c r="H2376" i="24"/>
  <c r="H2396" i="24"/>
  <c r="H2416" i="24"/>
  <c r="H2436" i="24"/>
  <c r="H2456" i="24"/>
  <c r="H2476" i="24"/>
  <c r="H2496" i="24"/>
  <c r="H2516" i="24"/>
  <c r="H2536" i="24"/>
  <c r="H2556" i="24"/>
  <c r="H2576" i="24"/>
  <c r="H2596" i="24"/>
  <c r="H2616" i="24"/>
  <c r="H2636" i="24"/>
  <c r="H2656" i="24"/>
  <c r="H2676" i="24"/>
  <c r="H2696" i="24"/>
  <c r="H2716" i="24"/>
  <c r="H2736" i="24"/>
  <c r="H2756" i="24"/>
  <c r="H2776" i="24"/>
  <c r="H2796" i="24"/>
  <c r="H2816" i="24"/>
  <c r="H2836" i="24"/>
  <c r="H2856" i="24"/>
  <c r="H2876" i="24"/>
  <c r="H2896" i="24"/>
  <c r="H2916" i="24"/>
  <c r="H2936" i="24"/>
  <c r="H2956" i="24"/>
  <c r="H2976" i="24"/>
  <c r="H2996" i="24"/>
  <c r="H3016" i="24"/>
  <c r="H3036" i="24"/>
  <c r="H3056" i="24"/>
  <c r="H3076" i="24"/>
  <c r="H3096" i="24"/>
  <c r="H3116" i="24"/>
  <c r="H3136" i="24"/>
  <c r="H3156" i="24"/>
  <c r="H3176" i="24"/>
  <c r="H3196" i="24"/>
  <c r="H3216" i="24"/>
  <c r="H3236" i="24"/>
  <c r="H3256" i="24"/>
  <c r="H3276" i="24"/>
  <c r="H3296" i="24"/>
  <c r="H3316" i="24"/>
  <c r="H3336" i="24"/>
  <c r="H3356" i="24"/>
  <c r="H3376" i="24"/>
  <c r="H3396" i="24"/>
  <c r="H3416" i="24"/>
  <c r="H3436" i="24"/>
  <c r="H3456" i="24"/>
  <c r="H3476" i="24"/>
  <c r="H3496" i="24"/>
  <c r="H3516" i="24"/>
  <c r="H3536" i="24"/>
  <c r="H3556" i="24"/>
  <c r="H3576" i="24"/>
  <c r="H11" i="24"/>
  <c r="H35" i="24"/>
  <c r="H58" i="24"/>
  <c r="H81" i="24"/>
  <c r="H104" i="24"/>
  <c r="H127" i="24"/>
  <c r="H151" i="24"/>
  <c r="H174" i="24"/>
  <c r="H198" i="24"/>
  <c r="H221" i="24"/>
  <c r="H244" i="24"/>
  <c r="H267" i="24"/>
  <c r="H291" i="24"/>
  <c r="H314" i="24"/>
  <c r="H337" i="24"/>
  <c r="H361" i="24"/>
  <c r="H384" i="24"/>
  <c r="H408" i="24"/>
  <c r="H432" i="24"/>
  <c r="H455" i="24"/>
  <c r="H478" i="24"/>
  <c r="H501" i="24"/>
  <c r="H524" i="24"/>
  <c r="H547" i="24"/>
  <c r="H571" i="24"/>
  <c r="H594" i="24"/>
  <c r="H618" i="24"/>
  <c r="H641" i="24"/>
  <c r="H664" i="24"/>
  <c r="H687" i="24"/>
  <c r="H711" i="24"/>
  <c r="H734" i="24"/>
  <c r="H757" i="24"/>
  <c r="H780" i="24"/>
  <c r="H804" i="24"/>
  <c r="H828" i="24"/>
  <c r="H852" i="24"/>
  <c r="H875" i="24"/>
  <c r="H898" i="24"/>
  <c r="H921" i="24"/>
  <c r="H944" i="24"/>
  <c r="H967" i="24"/>
  <c r="H991" i="24"/>
  <c r="H1014" i="24"/>
  <c r="H1037" i="24"/>
  <c r="H1061" i="24"/>
  <c r="H1084" i="24"/>
  <c r="H1107" i="24"/>
  <c r="H1131" i="24"/>
  <c r="H1154" i="24"/>
  <c r="H1177" i="24"/>
  <c r="H1200" i="24"/>
  <c r="H1223" i="24"/>
  <c r="H1247" i="24"/>
  <c r="H1272" i="24"/>
  <c r="H1295" i="24"/>
  <c r="H1318" i="24"/>
  <c r="H1341" i="24"/>
  <c r="H1364" i="24"/>
  <c r="H1387" i="24"/>
  <c r="H1411" i="24"/>
  <c r="H1434" i="24"/>
  <c r="H1457" i="24"/>
  <c r="H1481" i="24"/>
  <c r="H1504" i="24"/>
  <c r="H1527" i="24"/>
  <c r="H1551" i="24"/>
  <c r="H1574" i="24"/>
  <c r="H1597" i="24"/>
  <c r="H1620" i="24"/>
  <c r="H1643" i="24"/>
  <c r="H1666" i="24"/>
  <c r="H1692" i="24"/>
  <c r="H1714" i="24"/>
  <c r="H1736" i="24"/>
  <c r="H1758" i="24"/>
  <c r="H1780" i="24"/>
  <c r="H1802" i="24"/>
  <c r="H1823" i="24"/>
  <c r="H1844" i="24"/>
  <c r="H1865" i="24"/>
  <c r="H1886" i="24"/>
  <c r="H1907" i="24"/>
  <c r="H1928" i="24"/>
  <c r="H1949" i="24"/>
  <c r="H1970" i="24"/>
  <c r="H1991" i="24"/>
  <c r="H2012" i="24"/>
  <c r="H2033" i="24"/>
  <c r="H2054" i="24"/>
  <c r="H2075" i="24"/>
  <c r="H2097" i="24"/>
  <c r="H2118" i="24"/>
  <c r="H2139" i="24"/>
  <c r="H2160" i="24"/>
  <c r="H2181" i="24"/>
  <c r="H2202" i="24"/>
  <c r="H2223" i="24"/>
  <c r="H2244" i="24"/>
  <c r="H2265" i="24"/>
  <c r="H2286" i="24"/>
  <c r="H2307" i="24"/>
  <c r="H2328" i="24"/>
  <c r="H2349" i="24"/>
  <c r="H2370" i="24"/>
  <c r="H2391" i="24"/>
  <c r="H2412" i="24"/>
  <c r="H2433" i="24"/>
  <c r="H2454" i="24"/>
  <c r="H2475" i="24"/>
  <c r="H2497" i="24"/>
  <c r="H2518" i="24"/>
  <c r="H2539" i="24"/>
  <c r="H2560" i="24"/>
  <c r="H2581" i="24"/>
  <c r="H2602" i="24"/>
  <c r="H2623" i="24"/>
  <c r="H2644" i="24"/>
  <c r="H2665" i="24"/>
  <c r="H2686" i="24"/>
  <c r="H2707" i="24"/>
  <c r="H2728" i="24"/>
  <c r="H2749" i="24"/>
  <c r="H2770" i="24"/>
  <c r="H2791" i="24"/>
  <c r="H2812" i="24"/>
  <c r="H2833" i="24"/>
  <c r="H2854" i="24"/>
  <c r="H2875" i="24"/>
  <c r="H2897" i="24"/>
  <c r="H2918" i="24"/>
  <c r="H2939" i="24"/>
  <c r="H2960" i="24"/>
  <c r="H2981" i="24"/>
  <c r="H3002" i="24"/>
  <c r="H3023" i="24"/>
  <c r="H3044" i="24"/>
  <c r="H3065" i="24"/>
  <c r="H3086" i="24"/>
  <c r="H3107" i="24"/>
  <c r="H3128" i="24"/>
  <c r="H3149" i="24"/>
  <c r="H3170" i="24"/>
  <c r="H3191" i="24"/>
  <c r="H3212" i="24"/>
  <c r="H3233" i="24"/>
  <c r="H3254" i="24"/>
  <c r="H3275" i="24"/>
  <c r="H3297" i="24"/>
  <c r="H3318" i="24"/>
  <c r="H3339" i="24"/>
  <c r="H3360" i="24"/>
  <c r="H3381" i="24"/>
  <c r="H3402" i="24"/>
  <c r="H3423" i="24"/>
  <c r="H3444" i="24"/>
  <c r="H3465" i="24"/>
  <c r="H3486" i="24"/>
  <c r="H3507" i="24"/>
  <c r="H3528" i="24"/>
  <c r="H3549" i="24"/>
  <c r="H3570" i="24"/>
  <c r="H3591" i="24"/>
  <c r="H3611" i="24"/>
  <c r="H3631" i="24"/>
  <c r="H3651" i="24"/>
  <c r="H3671" i="24"/>
  <c r="H3691" i="24"/>
  <c r="H3711" i="24"/>
  <c r="H3731" i="24"/>
  <c r="H20" i="24"/>
  <c r="H29" i="24"/>
  <c r="H53" i="24"/>
  <c r="H76" i="24"/>
  <c r="H99" i="24"/>
  <c r="H122" i="24"/>
  <c r="H145" i="24"/>
  <c r="H168" i="24"/>
  <c r="H192" i="24"/>
  <c r="H215" i="24"/>
  <c r="H239" i="24"/>
  <c r="H262" i="24"/>
  <c r="H285" i="24"/>
  <c r="H308" i="24"/>
  <c r="H332" i="24"/>
  <c r="H355" i="24"/>
  <c r="H378" i="24"/>
  <c r="H401" i="24"/>
  <c r="H424" i="24"/>
  <c r="H447" i="24"/>
  <c r="H473" i="24"/>
  <c r="H496" i="24"/>
  <c r="H519" i="24"/>
  <c r="H542" i="24"/>
  <c r="H565" i="24"/>
  <c r="H588" i="24"/>
  <c r="H612" i="24"/>
  <c r="H635" i="24"/>
  <c r="H658" i="24"/>
  <c r="H682" i="24"/>
  <c r="H705" i="24"/>
  <c r="H728" i="24"/>
  <c r="H752" i="24"/>
  <c r="H775" i="24"/>
  <c r="H798" i="24"/>
  <c r="H821" i="24"/>
  <c r="H844" i="24"/>
  <c r="H867" i="24"/>
  <c r="H892" i="24"/>
  <c r="H916" i="24"/>
  <c r="H939" i="24"/>
  <c r="H962" i="24"/>
  <c r="H985" i="24"/>
  <c r="H1008" i="24"/>
  <c r="H1032" i="24"/>
  <c r="H1055" i="24"/>
  <c r="H1078" i="24"/>
  <c r="H1102" i="24"/>
  <c r="H1125" i="24"/>
  <c r="H1148" i="24"/>
  <c r="H1172" i="24"/>
  <c r="H1195" i="24"/>
  <c r="H1218" i="24"/>
  <c r="H1241" i="24"/>
  <c r="H1264" i="24"/>
  <c r="H1287" i="24"/>
  <c r="H1311" i="24"/>
  <c r="H1335" i="24"/>
  <c r="H1359" i="24"/>
  <c r="H1382" i="24"/>
  <c r="H1405" i="24"/>
  <c r="H1428" i="24"/>
  <c r="H1452" i="24"/>
  <c r="H1475" i="24"/>
  <c r="H1498" i="24"/>
  <c r="H1521" i="24"/>
  <c r="H1545" i="24"/>
  <c r="H1568" i="24"/>
  <c r="H1592" i="24"/>
  <c r="H1615" i="24"/>
  <c r="H1638" i="24"/>
  <c r="H1661" i="24"/>
  <c r="H1684" i="24"/>
  <c r="H12" i="24"/>
  <c r="H39" i="24"/>
  <c r="H64" i="24"/>
  <c r="H89" i="24"/>
  <c r="H116" i="24"/>
  <c r="H142" i="24"/>
  <c r="H167" i="24"/>
  <c r="H194" i="24"/>
  <c r="H220" i="24"/>
  <c r="H246" i="24"/>
  <c r="H273" i="24"/>
  <c r="H298" i="24"/>
  <c r="H324" i="24"/>
  <c r="H349" i="24"/>
  <c r="H375" i="24"/>
  <c r="H400" i="24"/>
  <c r="H428" i="24"/>
  <c r="H454" i="24"/>
  <c r="H480" i="24"/>
  <c r="H505" i="24"/>
  <c r="H531" i="24"/>
  <c r="H557" i="24"/>
  <c r="H583" i="24"/>
  <c r="H608" i="24"/>
  <c r="H634" i="24"/>
  <c r="H661" i="24"/>
  <c r="H686" i="24"/>
  <c r="H713" i="24"/>
  <c r="H739" i="24"/>
  <c r="H765" i="24"/>
  <c r="H791" i="24"/>
  <c r="H816" i="24"/>
  <c r="H841" i="24"/>
  <c r="H866" i="24"/>
  <c r="H895" i="24"/>
  <c r="H920" i="24"/>
  <c r="H946" i="24"/>
  <c r="H972" i="24"/>
  <c r="H998" i="24"/>
  <c r="H1023" i="24"/>
  <c r="H1049" i="24"/>
  <c r="H1075" i="24"/>
  <c r="H1100" i="24"/>
  <c r="H1127" i="24"/>
  <c r="H1153" i="24"/>
  <c r="H1179" i="24"/>
  <c r="H1205" i="24"/>
  <c r="H1232" i="24"/>
  <c r="H1257" i="24"/>
  <c r="H1282" i="24"/>
  <c r="H1307" i="24"/>
  <c r="H1334" i="24"/>
  <c r="H1361" i="24"/>
  <c r="H1386" i="24"/>
  <c r="H1413" i="24"/>
  <c r="H1439" i="24"/>
  <c r="H1464" i="24"/>
  <c r="H1489" i="24"/>
  <c r="H1516" i="24"/>
  <c r="H1541" i="24"/>
  <c r="H1567" i="24"/>
  <c r="H1594" i="24"/>
  <c r="H1619" i="24"/>
  <c r="H22" i="24"/>
  <c r="H49" i="24"/>
  <c r="H77" i="24"/>
  <c r="H102" i="24"/>
  <c r="H128" i="24"/>
  <c r="H155" i="24"/>
  <c r="H180" i="24"/>
  <c r="H206" i="24"/>
  <c r="H232" i="24"/>
  <c r="H257" i="24"/>
  <c r="H283" i="24"/>
  <c r="H309" i="24"/>
  <c r="H335" i="24"/>
  <c r="H362" i="24"/>
  <c r="H388" i="24"/>
  <c r="H414" i="24"/>
  <c r="H439" i="24"/>
  <c r="H464" i="24"/>
  <c r="H489" i="24"/>
  <c r="H517" i="24"/>
  <c r="H543" i="24"/>
  <c r="H568" i="24"/>
  <c r="H595" i="24"/>
  <c r="H621" i="24"/>
  <c r="H646" i="24"/>
  <c r="H673" i="24"/>
  <c r="H698" i="24"/>
  <c r="H724" i="24"/>
  <c r="H749" i="24"/>
  <c r="H776" i="24"/>
  <c r="H801" i="24"/>
  <c r="H829" i="24"/>
  <c r="H855" i="24"/>
  <c r="H880" i="24"/>
  <c r="H905" i="24"/>
  <c r="H931" i="24"/>
  <c r="H957" i="24"/>
  <c r="H983" i="24"/>
  <c r="H1009" i="24"/>
  <c r="H1035" i="24"/>
  <c r="H1062" i="24"/>
  <c r="H1087" i="24"/>
  <c r="H1113" i="24"/>
  <c r="H1139" i="24"/>
  <c r="H1165" i="24"/>
  <c r="H1191" i="24"/>
  <c r="H1216" i="24"/>
  <c r="H1242" i="24"/>
  <c r="H1267" i="24"/>
  <c r="H1296" i="24"/>
  <c r="H1321" i="24"/>
  <c r="H1346" i="24"/>
  <c r="H1372" i="24"/>
  <c r="H1398" i="24"/>
  <c r="H1423" i="24"/>
  <c r="H1449" i="24"/>
  <c r="H1476" i="24"/>
  <c r="H1502" i="24"/>
  <c r="H1528" i="24"/>
  <c r="H1554" i="24"/>
  <c r="H1580" i="24"/>
  <c r="H1605" i="24"/>
  <c r="H1632" i="24"/>
  <c r="H1657" i="24"/>
  <c r="H1682" i="24"/>
  <c r="H1707" i="24"/>
  <c r="H1730" i="24"/>
  <c r="H1755" i="24"/>
  <c r="H1778" i="24"/>
  <c r="H1801" i="24"/>
  <c r="H1824" i="24"/>
  <c r="H1846" i="24"/>
  <c r="H1868" i="24"/>
  <c r="H1890" i="24"/>
  <c r="H1912" i="24"/>
  <c r="H1934" i="24"/>
  <c r="H1957" i="24"/>
  <c r="H1979" i="24"/>
  <c r="H2001" i="24"/>
  <c r="H2023" i="24"/>
  <c r="H2045" i="24"/>
  <c r="H2067" i="24"/>
  <c r="H2089" i="24"/>
  <c r="H2111" i="24"/>
  <c r="H2133" i="24"/>
  <c r="H13" i="24"/>
  <c r="H42" i="24"/>
  <c r="H71" i="24"/>
  <c r="H100" i="24"/>
  <c r="H129" i="24"/>
  <c r="H158" i="24"/>
  <c r="H186" i="24"/>
  <c r="H214" i="24"/>
  <c r="H243" i="24"/>
  <c r="H274" i="24"/>
  <c r="H302" i="24"/>
  <c r="H329" i="24"/>
  <c r="H358" i="24"/>
  <c r="H389" i="24"/>
  <c r="H417" i="24"/>
  <c r="H444" i="24"/>
  <c r="H475" i="24"/>
  <c r="H503" i="24"/>
  <c r="H532" i="24"/>
  <c r="H561" i="24"/>
  <c r="H589" i="24"/>
  <c r="H619" i="24"/>
  <c r="H647" i="24"/>
  <c r="H676" i="24"/>
  <c r="H704" i="24"/>
  <c r="H733" i="24"/>
  <c r="H762" i="24"/>
  <c r="H792" i="24"/>
  <c r="H819" i="24"/>
  <c r="H849" i="24"/>
  <c r="H878" i="24"/>
  <c r="H906" i="24"/>
  <c r="H935" i="24"/>
  <c r="H964" i="24"/>
  <c r="H993" i="24"/>
  <c r="H1021" i="24"/>
  <c r="H1051" i="24"/>
  <c r="H1079" i="24"/>
  <c r="H1108" i="24"/>
  <c r="H1137" i="24"/>
  <c r="H1166" i="24"/>
  <c r="H1194" i="24"/>
  <c r="H1222" i="24"/>
  <c r="H1253" i="24"/>
  <c r="H1280" i="24"/>
  <c r="H1308" i="24"/>
  <c r="H1339" i="24"/>
  <c r="H1367" i="24"/>
  <c r="H1395" i="24"/>
  <c r="H1425" i="24"/>
  <c r="H1454" i="24"/>
  <c r="H1483" i="24"/>
  <c r="H1511" i="24"/>
  <c r="H1539" i="24"/>
  <c r="H1569" i="24"/>
  <c r="H1598" i="24"/>
  <c r="H1626" i="24"/>
  <c r="H1654" i="24"/>
  <c r="H1680" i="24"/>
  <c r="H1706" i="24"/>
  <c r="H1732" i="24"/>
  <c r="H1757" i="24"/>
  <c r="H1782" i="24"/>
  <c r="H1806" i="24"/>
  <c r="H1829" i="24"/>
  <c r="H1852" i="24"/>
  <c r="H1875" i="24"/>
  <c r="H1899" i="24"/>
  <c r="H1922" i="24"/>
  <c r="H1945" i="24"/>
  <c r="H1968" i="24"/>
  <c r="H1992" i="24"/>
  <c r="H2015" i="24"/>
  <c r="H2039" i="24"/>
  <c r="H2062" i="24"/>
  <c r="H2085" i="24"/>
  <c r="H2108" i="24"/>
  <c r="H2131" i="24"/>
  <c r="H2154" i="24"/>
  <c r="H2177" i="24"/>
  <c r="H2199" i="24"/>
  <c r="H2221" i="24"/>
  <c r="H2243" i="24"/>
  <c r="H2266" i="24"/>
  <c r="H2288" i="24"/>
  <c r="H2310" i="24"/>
  <c r="H2332" i="24"/>
  <c r="H2354" i="24"/>
  <c r="H2377" i="24"/>
  <c r="H2399" i="24"/>
  <c r="H2421" i="24"/>
  <c r="H2443" i="24"/>
  <c r="H2465" i="24"/>
  <c r="H2487" i="24"/>
  <c r="H2509" i="24"/>
  <c r="H2531" i="24"/>
  <c r="H2553" i="24"/>
  <c r="H2575" i="24"/>
  <c r="H2598" i="24"/>
  <c r="H2620" i="24"/>
  <c r="H2642" i="24"/>
  <c r="H2664" i="24"/>
  <c r="H2687" i="24"/>
  <c r="H2709" i="24"/>
  <c r="H2731" i="24"/>
  <c r="H2753" i="24"/>
  <c r="H2775" i="24"/>
  <c r="H2798" i="24"/>
  <c r="H2820" i="24"/>
  <c r="H2842" i="24"/>
  <c r="H2864" i="24"/>
  <c r="H2886" i="24"/>
  <c r="H2908" i="24"/>
  <c r="H2930" i="24"/>
  <c r="H2952" i="24"/>
  <c r="H2974" i="24"/>
  <c r="H2997" i="24"/>
  <c r="H3019" i="24"/>
  <c r="H3041" i="24"/>
  <c r="H3063" i="24"/>
  <c r="H3085" i="24"/>
  <c r="H3108" i="24"/>
  <c r="H3130" i="24"/>
  <c r="H3152" i="24"/>
  <c r="H3174" i="24"/>
  <c r="H3197" i="24"/>
  <c r="H3219" i="24"/>
  <c r="H3241" i="24"/>
  <c r="H3263" i="24"/>
  <c r="H3285" i="24"/>
  <c r="H3307" i="24"/>
  <c r="H3329" i="24"/>
  <c r="H3351" i="24"/>
  <c r="H3373" i="24"/>
  <c r="H3395" i="24"/>
  <c r="H3418" i="24"/>
  <c r="H3440" i="24"/>
  <c r="H3462" i="24"/>
  <c r="H3484" i="24"/>
  <c r="H3506" i="24"/>
  <c r="H3529" i="24"/>
  <c r="H3551" i="24"/>
  <c r="H3573" i="24"/>
  <c r="H3595" i="24"/>
  <c r="H3616" i="24"/>
  <c r="H3637" i="24"/>
  <c r="H3658" i="24"/>
  <c r="H3679" i="24"/>
  <c r="H3700" i="24"/>
  <c r="H3721" i="24"/>
  <c r="H3742" i="24"/>
  <c r="H3762" i="24"/>
  <c r="H3782" i="24"/>
  <c r="H3802" i="24"/>
  <c r="H24" i="24"/>
  <c r="H56" i="24"/>
  <c r="H84" i="24"/>
  <c r="H113" i="24"/>
  <c r="H141" i="24"/>
  <c r="H171" i="24"/>
  <c r="H200" i="24"/>
  <c r="H228" i="24"/>
  <c r="H256" i="24"/>
  <c r="H286" i="24"/>
  <c r="H315" i="24"/>
  <c r="H344" i="24"/>
  <c r="H372" i="24"/>
  <c r="H399" i="24"/>
  <c r="H431" i="24"/>
  <c r="H459" i="24"/>
  <c r="H486" i="24"/>
  <c r="H515" i="24"/>
  <c r="H545" i="24"/>
  <c r="H574" i="24"/>
  <c r="H602" i="24"/>
  <c r="H631" i="24"/>
  <c r="H660" i="24"/>
  <c r="H689" i="24"/>
  <c r="H718" i="24"/>
  <c r="H746" i="24"/>
  <c r="H774" i="24"/>
  <c r="H805" i="24"/>
  <c r="H834" i="24"/>
  <c r="H861" i="24"/>
  <c r="H888" i="24"/>
  <c r="H919" i="24"/>
  <c r="H948" i="24"/>
  <c r="H977" i="24"/>
  <c r="H1005" i="24"/>
  <c r="H1034" i="24"/>
  <c r="H1064" i="24"/>
  <c r="H1093" i="24"/>
  <c r="H1120" i="24"/>
  <c r="H1149" i="24"/>
  <c r="H1178" i="24"/>
  <c r="H1208" i="24"/>
  <c r="H1236" i="24"/>
  <c r="H1263" i="24"/>
  <c r="H1294" i="24"/>
  <c r="H1323" i="24"/>
  <c r="H1351" i="24"/>
  <c r="H1379" i="24"/>
  <c r="H1408" i="24"/>
  <c r="H1437" i="24"/>
  <c r="H1466" i="24"/>
  <c r="H1495" i="24"/>
  <c r="H1524" i="24"/>
  <c r="H1553" i="24"/>
  <c r="H1582" i="24"/>
  <c r="H1611" i="24"/>
  <c r="H1639" i="24"/>
  <c r="H1665" i="24"/>
  <c r="H1695" i="24"/>
  <c r="H1719" i="24"/>
  <c r="H1743" i="24"/>
  <c r="H1767" i="24"/>
  <c r="H1792" i="24"/>
  <c r="H1815" i="24"/>
  <c r="H1839" i="24"/>
  <c r="H1862" i="24"/>
  <c r="H1885" i="24"/>
  <c r="H1909" i="24"/>
  <c r="H1932" i="24"/>
  <c r="H1955" i="24"/>
  <c r="H1980" i="24"/>
  <c r="H2003" i="24"/>
  <c r="H2026" i="24"/>
  <c r="H2049" i="24"/>
  <c r="H2072" i="24"/>
  <c r="H2095" i="24"/>
  <c r="H2120" i="24"/>
  <c r="H2143" i="24"/>
  <c r="H2165" i="24"/>
  <c r="H2187" i="24"/>
  <c r="H2209" i="24"/>
  <c r="H2231" i="24"/>
  <c r="H2253" i="24"/>
  <c r="H2275" i="24"/>
  <c r="H2298" i="24"/>
  <c r="H2320" i="24"/>
  <c r="H2342" i="24"/>
  <c r="H2364" i="24"/>
  <c r="H2386" i="24"/>
  <c r="H2408" i="24"/>
  <c r="H2430" i="24"/>
  <c r="H2452" i="24"/>
  <c r="H2474" i="24"/>
  <c r="H2498" i="24"/>
  <c r="H2520" i="24"/>
  <c r="H2542" i="24"/>
  <c r="H2564" i="24"/>
  <c r="H2586" i="24"/>
  <c r="H2608" i="24"/>
  <c r="H2630" i="24"/>
  <c r="H2652" i="24"/>
  <c r="H2674" i="24"/>
  <c r="H2697" i="24"/>
  <c r="H2719" i="24"/>
  <c r="H2741" i="24"/>
  <c r="H2763" i="24"/>
  <c r="H2785" i="24"/>
  <c r="H2807" i="24"/>
  <c r="H2829" i="24"/>
  <c r="H2851" i="24"/>
  <c r="H2873" i="24"/>
  <c r="H2895" i="24"/>
  <c r="H2919" i="24"/>
  <c r="H2941" i="24"/>
  <c r="H2963" i="24"/>
  <c r="H2985" i="24"/>
  <c r="H3007" i="24"/>
  <c r="H3029" i="24"/>
  <c r="H3051" i="24"/>
  <c r="H3073" i="24"/>
  <c r="H3095" i="24"/>
  <c r="H3118" i="24"/>
  <c r="H3140" i="24"/>
  <c r="H3162" i="24"/>
  <c r="H3184" i="24"/>
  <c r="H3206" i="24"/>
  <c r="H3228" i="24"/>
  <c r="H3250" i="24"/>
  <c r="H3272" i="24"/>
  <c r="H3294" i="24"/>
  <c r="H3317" i="24"/>
  <c r="H3340" i="24"/>
  <c r="H3362" i="24"/>
  <c r="H3384" i="24"/>
  <c r="H3406" i="24"/>
  <c r="H3428" i="24"/>
  <c r="H3450" i="24"/>
  <c r="H3472" i="24"/>
  <c r="H3494" i="24"/>
  <c r="H3517" i="24"/>
  <c r="H3539" i="24"/>
  <c r="H3561" i="24"/>
  <c r="H3583" i="24"/>
  <c r="H3604" i="24"/>
  <c r="H3625" i="24"/>
  <c r="H3646" i="24"/>
  <c r="H3667" i="24"/>
  <c r="H3688" i="24"/>
  <c r="H3709" i="24"/>
  <c r="H3730" i="24"/>
  <c r="H3751" i="24"/>
  <c r="H3771" i="24"/>
  <c r="H3791" i="24"/>
  <c r="H3811" i="24"/>
  <c r="H3831" i="24"/>
  <c r="H3851" i="24"/>
  <c r="H3871" i="24"/>
  <c r="H3891" i="24"/>
  <c r="H3911" i="24"/>
  <c r="H3931" i="24"/>
  <c r="H3951" i="24"/>
  <c r="H3971" i="24"/>
  <c r="H3991" i="24"/>
  <c r="H4011" i="24"/>
  <c r="H4031" i="24"/>
  <c r="H4051" i="24"/>
  <c r="H4071" i="24"/>
  <c r="H4091" i="24"/>
  <c r="H4111" i="24"/>
  <c r="H4131" i="24"/>
  <c r="H14" i="24"/>
  <c r="H45" i="24"/>
  <c r="H79" i="24"/>
  <c r="H109" i="24"/>
  <c r="H143" i="24"/>
  <c r="H176" i="24"/>
  <c r="H207" i="24"/>
  <c r="H237" i="24"/>
  <c r="H269" i="24"/>
  <c r="H303" i="24"/>
  <c r="H334" i="24"/>
  <c r="H367" i="24"/>
  <c r="H397" i="24"/>
  <c r="H433" i="24"/>
  <c r="H462" i="24"/>
  <c r="H495" i="24"/>
  <c r="H526" i="24"/>
  <c r="H558" i="24"/>
  <c r="H591" i="24"/>
  <c r="H623" i="24"/>
  <c r="H654" i="24"/>
  <c r="H685" i="24"/>
  <c r="H719" i="24"/>
  <c r="H751" i="24"/>
  <c r="H783" i="24"/>
  <c r="H814" i="24"/>
  <c r="H845" i="24"/>
  <c r="H879" i="24"/>
  <c r="H909" i="24"/>
  <c r="H942" i="24"/>
  <c r="H974" i="24"/>
  <c r="H1006" i="24"/>
  <c r="H1040" i="24"/>
  <c r="H1071" i="24"/>
  <c r="H1103" i="24"/>
  <c r="H1134" i="24"/>
  <c r="H1167" i="24"/>
  <c r="H1198" i="24"/>
  <c r="H1231" i="24"/>
  <c r="H1261" i="24"/>
  <c r="H1297" i="24"/>
  <c r="H1326" i="24"/>
  <c r="H1357" i="24"/>
  <c r="H1391" i="24"/>
  <c r="H1421" i="24"/>
  <c r="H1455" i="24"/>
  <c r="H1486" i="24"/>
  <c r="H1518" i="24"/>
  <c r="H1549" i="24"/>
  <c r="H1583" i="24"/>
  <c r="H1614" i="24"/>
  <c r="H1646" i="24"/>
  <c r="H1676" i="24"/>
  <c r="H1704" i="24"/>
  <c r="H1734" i="24"/>
  <c r="H1761" i="24"/>
  <c r="H1787" i="24"/>
  <c r="H1813" i="24"/>
  <c r="H1840" i="24"/>
  <c r="H1866" i="24"/>
  <c r="H1892" i="24"/>
  <c r="H1918" i="24"/>
  <c r="H1943" i="24"/>
  <c r="H1969" i="24"/>
  <c r="H1995" i="24"/>
  <c r="H2021" i="24"/>
  <c r="H2047" i="24"/>
  <c r="H2073" i="24"/>
  <c r="H2100" i="24"/>
  <c r="H2125" i="24"/>
  <c r="H2150" i="24"/>
  <c r="H2174" i="24"/>
  <c r="H2200" i="24"/>
  <c r="H2225" i="24"/>
  <c r="H2249" i="24"/>
  <c r="H2273" i="24"/>
  <c r="H2299" i="24"/>
  <c r="H2323" i="24"/>
  <c r="H2347" i="24"/>
  <c r="H2372" i="24"/>
  <c r="H2397" i="24"/>
  <c r="H2422" i="24"/>
  <c r="H2446" i="24"/>
  <c r="H2470" i="24"/>
  <c r="H2494" i="24"/>
  <c r="H2521" i="24"/>
  <c r="H2545" i="24"/>
  <c r="H2569" i="24"/>
  <c r="H2593" i="24"/>
  <c r="H2618" i="24"/>
  <c r="H2643" i="24"/>
  <c r="H2668" i="24"/>
  <c r="H2692" i="24"/>
  <c r="H2717" i="24"/>
  <c r="H2742" i="24"/>
  <c r="H2766" i="24"/>
  <c r="H2790" i="24"/>
  <c r="H2815" i="24"/>
  <c r="H2840" i="24"/>
  <c r="H2865" i="24"/>
  <c r="H2889" i="24"/>
  <c r="H2913" i="24"/>
  <c r="H2938" i="24"/>
  <c r="H2964" i="24"/>
  <c r="H2988" i="24"/>
  <c r="H3012" i="24"/>
  <c r="H3037" i="24"/>
  <c r="H3061" i="24"/>
  <c r="H3087" i="24"/>
  <c r="H3111" i="24"/>
  <c r="H3135" i="24"/>
  <c r="H3160" i="24"/>
  <c r="H3185" i="24"/>
  <c r="H3209" i="24"/>
  <c r="H3234" i="24"/>
  <c r="H3259" i="24"/>
  <c r="H3283" i="24"/>
  <c r="H3308" i="24"/>
  <c r="H3332" i="24"/>
  <c r="H3357" i="24"/>
  <c r="H3382" i="24"/>
  <c r="H3407" i="24"/>
  <c r="H3431" i="24"/>
  <c r="H3455" i="24"/>
  <c r="H3480" i="24"/>
  <c r="H3504" i="24"/>
  <c r="H3530" i="24"/>
  <c r="H3554" i="24"/>
  <c r="H3579" i="24"/>
  <c r="H3602" i="24"/>
  <c r="H3626" i="24"/>
  <c r="H3649" i="24"/>
  <c r="H3673" i="24"/>
  <c r="H3696" i="24"/>
  <c r="H3719" i="24"/>
  <c r="H3743" i="24"/>
  <c r="H3765" i="24"/>
  <c r="H3787" i="24"/>
  <c r="H3809" i="24"/>
  <c r="H3830" i="24"/>
  <c r="H3852" i="24"/>
  <c r="H3873" i="24"/>
  <c r="H3894" i="24"/>
  <c r="H3915" i="24"/>
  <c r="H3936" i="24"/>
  <c r="H3957" i="24"/>
  <c r="H3978" i="24"/>
  <c r="H3999" i="24"/>
  <c r="H4020" i="24"/>
  <c r="H4041" i="24"/>
  <c r="H4062" i="24"/>
  <c r="H4083" i="24"/>
  <c r="H4104" i="24"/>
  <c r="H4125" i="24"/>
  <c r="H4146" i="24"/>
  <c r="H4166" i="24"/>
  <c r="H4186" i="24"/>
  <c r="H4206" i="24"/>
  <c r="H4226" i="24"/>
  <c r="H4246" i="24"/>
  <c r="H4266" i="24"/>
  <c r="H4286" i="24"/>
  <c r="H4306" i="24"/>
  <c r="H4326" i="24"/>
  <c r="H4346" i="24"/>
  <c r="H4366" i="24"/>
  <c r="H15" i="24"/>
  <c r="H46" i="24"/>
  <c r="H80" i="24"/>
  <c r="H111" i="24"/>
  <c r="H144" i="24"/>
  <c r="H177" i="24"/>
  <c r="H208" i="24"/>
  <c r="H240" i="24"/>
  <c r="H271" i="24"/>
  <c r="H304" i="24"/>
  <c r="H336" i="24"/>
  <c r="H368" i="24"/>
  <c r="H398" i="24"/>
  <c r="H434" i="24"/>
  <c r="H463" i="24"/>
  <c r="H497" i="24"/>
  <c r="H527" i="24"/>
  <c r="H559" i="24"/>
  <c r="H592" i="24"/>
  <c r="H624" i="24"/>
  <c r="H655" i="24"/>
  <c r="H688" i="24"/>
  <c r="H720" i="24"/>
  <c r="H753" i="24"/>
  <c r="H784" i="24"/>
  <c r="H815" i="24"/>
  <c r="H846" i="24"/>
  <c r="H881" i="24"/>
  <c r="H911" i="24"/>
  <c r="H943" i="24"/>
  <c r="H976" i="24"/>
  <c r="H1007" i="24"/>
  <c r="H1041" i="24"/>
  <c r="H1072" i="24"/>
  <c r="H1104" i="24"/>
  <c r="H1135" i="24"/>
  <c r="H1168" i="24"/>
  <c r="H1199" i="24"/>
  <c r="H1233" i="24"/>
  <c r="H1262" i="24"/>
  <c r="H1298" i="24"/>
  <c r="H1327" i="24"/>
  <c r="H1360" i="24"/>
  <c r="H1392" i="24"/>
  <c r="H1422" i="24"/>
  <c r="H1456" i="24"/>
  <c r="H1487" i="24"/>
  <c r="H1519" i="24"/>
  <c r="H1552" i="24"/>
  <c r="H1584" i="24"/>
  <c r="H1616" i="24"/>
  <c r="H1647" i="24"/>
  <c r="H1677" i="24"/>
  <c r="H1705" i="24"/>
  <c r="H1735" i="24"/>
  <c r="H1762" i="24"/>
  <c r="H1788" i="24"/>
  <c r="H1814" i="24"/>
  <c r="H1841" i="24"/>
  <c r="H1867" i="24"/>
  <c r="H1893" i="24"/>
  <c r="H1919" i="24"/>
  <c r="H1944" i="24"/>
  <c r="H1971" i="24"/>
  <c r="H1997" i="24"/>
  <c r="H2022" i="24"/>
  <c r="H2048" i="24"/>
  <c r="H2074" i="24"/>
  <c r="H2101" i="24"/>
  <c r="H2126" i="24"/>
  <c r="H2151" i="24"/>
  <c r="H2175" i="24"/>
  <c r="H2201" i="24"/>
  <c r="H2226" i="24"/>
  <c r="H2250" i="24"/>
  <c r="H2274" i="24"/>
  <c r="H2300" i="24"/>
  <c r="H2324" i="24"/>
  <c r="H2348" i="24"/>
  <c r="H2373" i="24"/>
  <c r="H2398" i="24"/>
  <c r="H2423" i="24"/>
  <c r="H2447" i="24"/>
  <c r="H2471" i="24"/>
  <c r="H2495" i="24"/>
  <c r="H2522" i="24"/>
  <c r="H2546" i="24"/>
  <c r="H2570" i="24"/>
  <c r="H2594" i="24"/>
  <c r="H2619" i="24"/>
  <c r="H2645" i="24"/>
  <c r="H2669" i="24"/>
  <c r="H2693" i="24"/>
  <c r="H2718" i="24"/>
  <c r="H2743" i="24"/>
  <c r="H2767" i="24"/>
  <c r="H2792" i="24"/>
  <c r="H2817" i="24"/>
  <c r="H2841" i="24"/>
  <c r="H2866" i="24"/>
  <c r="H2890" i="24"/>
  <c r="H2914" i="24"/>
  <c r="H2940" i="24"/>
  <c r="H2965" i="24"/>
  <c r="H2989" i="24"/>
  <c r="H3013" i="24"/>
  <c r="H3038" i="24"/>
  <c r="H3062" i="24"/>
  <c r="H3088" i="24"/>
  <c r="H3112" i="24"/>
  <c r="H3137" i="24"/>
  <c r="H3161" i="24"/>
  <c r="H3186" i="24"/>
  <c r="H3210" i="24"/>
  <c r="H3235" i="24"/>
  <c r="H3260" i="24"/>
  <c r="H3284" i="24"/>
  <c r="H3309" i="24"/>
  <c r="H3333" i="24"/>
  <c r="H3358" i="24"/>
  <c r="H3383" i="24"/>
  <c r="H3408" i="24"/>
  <c r="H3432" i="24"/>
  <c r="H3457" i="24"/>
  <c r="H3481" i="24"/>
  <c r="H3505" i="24"/>
  <c r="H3531" i="24"/>
  <c r="H3555" i="24"/>
  <c r="H3580" i="24"/>
  <c r="H3603" i="24"/>
  <c r="H3627" i="24"/>
  <c r="H3650" i="24"/>
  <c r="H3674" i="24"/>
  <c r="H3697" i="24"/>
  <c r="H3720" i="24"/>
  <c r="H3744" i="24"/>
  <c r="H3766" i="24"/>
  <c r="H3788" i="24"/>
  <c r="H3810" i="24"/>
  <c r="H3832" i="24"/>
  <c r="H3853" i="24"/>
  <c r="H3874" i="24"/>
  <c r="H3895" i="24"/>
  <c r="H3916" i="24"/>
  <c r="H3937" i="24"/>
  <c r="H31" i="24"/>
  <c r="H61" i="24"/>
  <c r="H93" i="24"/>
  <c r="H124" i="24"/>
  <c r="H157" i="24"/>
  <c r="H188" i="24"/>
  <c r="H222" i="24"/>
  <c r="H253" i="24"/>
  <c r="H284" i="24"/>
  <c r="H318" i="24"/>
  <c r="H348" i="24"/>
  <c r="H380" i="24"/>
  <c r="H413" i="24"/>
  <c r="H443" i="24"/>
  <c r="H477" i="24"/>
  <c r="H508" i="24"/>
  <c r="H540" i="24"/>
  <c r="H573" i="24"/>
  <c r="H605" i="24"/>
  <c r="H637" i="24"/>
  <c r="H668" i="24"/>
  <c r="H700" i="24"/>
  <c r="H732" i="24"/>
  <c r="H766" i="24"/>
  <c r="H796" i="24"/>
  <c r="H831" i="24"/>
  <c r="H860" i="24"/>
  <c r="H894" i="24"/>
  <c r="H925" i="24"/>
  <c r="H956" i="24"/>
  <c r="H988" i="24"/>
  <c r="H1020" i="24"/>
  <c r="H1053" i="24"/>
  <c r="H1085" i="24"/>
  <c r="H1117" i="24"/>
  <c r="H1147" i="24"/>
  <c r="H1182" i="24"/>
  <c r="H1213" i="24"/>
  <c r="H1244" i="24"/>
  <c r="H1277" i="24"/>
  <c r="H1306" i="24"/>
  <c r="H1342" i="24"/>
  <c r="H1373" i="24"/>
  <c r="H1404" i="24"/>
  <c r="H1436" i="24"/>
  <c r="H1469" i="24"/>
  <c r="H1500" i="24"/>
  <c r="H1533" i="24"/>
  <c r="H1563" i="24"/>
  <c r="H1596" i="24"/>
  <c r="H1629" i="24"/>
  <c r="H1659" i="24"/>
  <c r="H1688" i="24"/>
  <c r="H1718" i="24"/>
  <c r="H1745" i="24"/>
  <c r="H1772" i="24"/>
  <c r="H1799" i="24"/>
  <c r="H1826" i="24"/>
  <c r="H1851" i="24"/>
  <c r="H1878" i="24"/>
  <c r="H1903" i="24"/>
  <c r="H1929" i="24"/>
  <c r="H1954" i="24"/>
  <c r="H1982" i="24"/>
  <c r="H2007" i="24"/>
  <c r="H2032" i="24"/>
  <c r="H2059" i="24"/>
  <c r="H2084" i="24"/>
  <c r="H2110" i="24"/>
  <c r="H2137" i="24"/>
  <c r="H2162" i="24"/>
  <c r="H2186" i="24"/>
  <c r="H2211" i="24"/>
  <c r="H2235" i="24"/>
  <c r="H2260" i="24"/>
  <c r="H2284" i="24"/>
  <c r="H2309" i="24"/>
  <c r="H2334" i="24"/>
  <c r="H2359" i="24"/>
  <c r="H2383" i="24"/>
  <c r="H2407" i="24"/>
  <c r="H2432" i="24"/>
  <c r="H2458" i="24"/>
  <c r="H2482" i="24"/>
  <c r="H2506" i="24"/>
  <c r="H2530" i="24"/>
  <c r="H2555" i="24"/>
  <c r="H2580" i="24"/>
  <c r="H2605" i="24"/>
  <c r="H2629" i="24"/>
  <c r="H2654" i="24"/>
  <c r="H2679" i="24"/>
  <c r="H2703" i="24"/>
  <c r="H2727" i="24"/>
  <c r="H2752" i="24"/>
  <c r="H2778" i="24"/>
  <c r="H2802" i="24"/>
  <c r="H2826" i="24"/>
  <c r="H2850" i="24"/>
  <c r="H2877" i="24"/>
  <c r="H2901" i="24"/>
  <c r="H2925" i="24"/>
  <c r="H2949" i="24"/>
  <c r="H2973" i="24"/>
  <c r="H2999" i="24"/>
  <c r="H3024" i="24"/>
  <c r="H3048" i="24"/>
  <c r="H3072" i="24"/>
  <c r="H3098" i="24"/>
  <c r="H3122" i="24"/>
  <c r="H3146" i="24"/>
  <c r="H3171" i="24"/>
  <c r="H3195" i="24"/>
  <c r="H3221" i="24"/>
  <c r="H3245" i="24"/>
  <c r="H3269" i="24"/>
  <c r="H3293" i="24"/>
  <c r="H3320" i="24"/>
  <c r="H3344" i="24"/>
  <c r="H3368" i="24"/>
  <c r="H3392" i="24"/>
  <c r="H3417" i="24"/>
  <c r="H3442" i="24"/>
  <c r="H3467" i="24"/>
  <c r="H3491" i="24"/>
  <c r="H3515" i="24"/>
  <c r="H3541" i="24"/>
  <c r="H3565" i="24"/>
  <c r="H3589" i="24"/>
  <c r="H3613" i="24"/>
  <c r="H3636" i="24"/>
  <c r="H3660" i="24"/>
  <c r="H3683" i="24"/>
  <c r="H3706" i="24"/>
  <c r="H3729" i="24"/>
  <c r="H3753" i="24"/>
  <c r="H3775" i="24"/>
  <c r="H3797" i="24"/>
  <c r="H3819" i="24"/>
  <c r="H3840" i="24"/>
  <c r="H3861" i="24"/>
  <c r="H3882" i="24"/>
  <c r="H3903" i="24"/>
  <c r="H3924" i="24"/>
  <c r="H3945" i="24"/>
  <c r="H3966" i="24"/>
  <c r="H3987" i="24"/>
  <c r="H4008" i="24"/>
  <c r="H4029" i="24"/>
  <c r="H4050" i="24"/>
  <c r="H4072" i="24"/>
  <c r="H4093" i="24"/>
  <c r="H4114" i="24"/>
  <c r="H4135" i="24"/>
  <c r="H4155" i="24"/>
  <c r="H4175" i="24"/>
  <c r="H4195" i="24"/>
  <c r="H4215" i="24"/>
  <c r="H4235" i="24"/>
  <c r="H4255" i="24"/>
  <c r="H4275" i="24"/>
  <c r="H4295" i="24"/>
  <c r="H4315" i="24"/>
  <c r="H4335" i="24"/>
  <c r="H4355" i="24"/>
  <c r="H4375" i="24"/>
  <c r="H38" i="24"/>
  <c r="H68" i="24"/>
  <c r="H103" i="24"/>
  <c r="H135" i="24"/>
  <c r="H165" i="24"/>
  <c r="H199" i="24"/>
  <c r="H231" i="24"/>
  <c r="H263" i="24"/>
  <c r="H295" i="24"/>
  <c r="H326" i="24"/>
  <c r="H357" i="24"/>
  <c r="H392" i="24"/>
  <c r="H421" i="24"/>
  <c r="H456" i="24"/>
  <c r="H485" i="24"/>
  <c r="H520" i="24"/>
  <c r="H551" i="24"/>
  <c r="H581" i="24"/>
  <c r="H614" i="24"/>
  <c r="H645" i="24"/>
  <c r="H678" i="24"/>
  <c r="H709" i="24"/>
  <c r="H742" i="24"/>
  <c r="H773" i="24"/>
  <c r="H808" i="24"/>
  <c r="H838" i="24"/>
  <c r="H872" i="24"/>
  <c r="H902" i="24"/>
  <c r="H934" i="24"/>
  <c r="H966" i="24"/>
  <c r="H999" i="24"/>
  <c r="H1029" i="24"/>
  <c r="H1063" i="24"/>
  <c r="H1095" i="24"/>
  <c r="H1126" i="24"/>
  <c r="H1159" i="24"/>
  <c r="H1189" i="24"/>
  <c r="H1221" i="24"/>
  <c r="H1255" i="24"/>
  <c r="H1285" i="24"/>
  <c r="H1319" i="24"/>
  <c r="H1349" i="24"/>
  <c r="H1383" i="24"/>
  <c r="H1415" i="24"/>
  <c r="H1445" i="24"/>
  <c r="H1478" i="24"/>
  <c r="H1509" i="24"/>
  <c r="H1542" i="24"/>
  <c r="H1575" i="24"/>
  <c r="H1607" i="24"/>
  <c r="H1637" i="24"/>
  <c r="H1671" i="24"/>
  <c r="H1699" i="24"/>
  <c r="H1725" i="24"/>
  <c r="H1752" i="24"/>
  <c r="H1781" i="24"/>
  <c r="H1808" i="24"/>
  <c r="H1833" i="24"/>
  <c r="H1859" i="24"/>
  <c r="H1884" i="24"/>
  <c r="H1911" i="24"/>
  <c r="H1938" i="24"/>
  <c r="H1963" i="24"/>
  <c r="H1988" i="24"/>
  <c r="H2014" i="24"/>
  <c r="H2041" i="24"/>
  <c r="H2066" i="24"/>
  <c r="H2092" i="24"/>
  <c r="H2119" i="24"/>
  <c r="H2145" i="24"/>
  <c r="H2169" i="24"/>
  <c r="H2193" i="24"/>
  <c r="H2218" i="24"/>
  <c r="H2242" i="24"/>
  <c r="H2268" i="24"/>
  <c r="H2292" i="24"/>
  <c r="H2317" i="24"/>
  <c r="H2341" i="24"/>
  <c r="H2366" i="24"/>
  <c r="H2390" i="24"/>
  <c r="H2415" i="24"/>
  <c r="H2440" i="24"/>
  <c r="H2464" i="24"/>
  <c r="H2489" i="24"/>
  <c r="H2513" i="24"/>
  <c r="H2538" i="24"/>
  <c r="H2563" i="24"/>
  <c r="H2588" i="24"/>
  <c r="H2612" i="24"/>
  <c r="H2637" i="24"/>
  <c r="H2661" i="24"/>
  <c r="H2685" i="24"/>
  <c r="H2711" i="24"/>
  <c r="H2735" i="24"/>
  <c r="H2760" i="24"/>
  <c r="H2784" i="24"/>
  <c r="H2809" i="24"/>
  <c r="H2834" i="24"/>
  <c r="H2859" i="24"/>
  <c r="H2883" i="24"/>
  <c r="H2907" i="24"/>
  <c r="H2932" i="24"/>
  <c r="H2957" i="24"/>
  <c r="H2982" i="24"/>
  <c r="H3006" i="24"/>
  <c r="H3031" i="24"/>
  <c r="H3055" i="24"/>
  <c r="H3080" i="24"/>
  <c r="H3104" i="24"/>
  <c r="H3129" i="24"/>
  <c r="H3154" i="24"/>
  <c r="H3179" i="24"/>
  <c r="H3203" i="24"/>
  <c r="H3227" i="24"/>
  <c r="H3252" i="24"/>
  <c r="H3278" i="24"/>
  <c r="H3302" i="24"/>
  <c r="H3326" i="24"/>
  <c r="H3350" i="24"/>
  <c r="H3375" i="24"/>
  <c r="H3400" i="24"/>
  <c r="H3425" i="24"/>
  <c r="H3449" i="24"/>
  <c r="H3474" i="24"/>
  <c r="H3499" i="24"/>
  <c r="H3523" i="24"/>
  <c r="H3547" i="24"/>
  <c r="H3572" i="24"/>
  <c r="H3597" i="24"/>
  <c r="H3620" i="24"/>
  <c r="H3643" i="24"/>
  <c r="H3666" i="24"/>
  <c r="H3690" i="24"/>
  <c r="H3714" i="24"/>
  <c r="H3737" i="24"/>
  <c r="H3759" i="24"/>
  <c r="H3781" i="24"/>
  <c r="H3804" i="24"/>
  <c r="H3825" i="24"/>
  <c r="H3846" i="24"/>
  <c r="H3867" i="24"/>
  <c r="H3888" i="24"/>
  <c r="H3909" i="24"/>
  <c r="H3930" i="24"/>
  <c r="H3952" i="24"/>
  <c r="H3973" i="24"/>
  <c r="H3994" i="24"/>
  <c r="H4015" i="24"/>
  <c r="H4036" i="24"/>
  <c r="H4057" i="24"/>
  <c r="H4078" i="24"/>
  <c r="H4099" i="24"/>
  <c r="H4120" i="24"/>
  <c r="H4141" i="24"/>
  <c r="H4161" i="24"/>
  <c r="H4181" i="24"/>
  <c r="H4201" i="24"/>
  <c r="H4221" i="24"/>
  <c r="H4241" i="24"/>
  <c r="H4261" i="24"/>
  <c r="H4281" i="24"/>
  <c r="H4301" i="24"/>
  <c r="H4321" i="24"/>
  <c r="H4341" i="24"/>
  <c r="H4361" i="24"/>
  <c r="H16" i="24"/>
  <c r="H57" i="24"/>
  <c r="H96" i="24"/>
  <c r="H136" i="24"/>
  <c r="H178" i="24"/>
  <c r="H216" i="24"/>
  <c r="H255" i="24"/>
  <c r="H296" i="24"/>
  <c r="H339" i="24"/>
  <c r="H376" i="24"/>
  <c r="H416" i="24"/>
  <c r="H457" i="24"/>
  <c r="H498" i="24"/>
  <c r="H536" i="24"/>
  <c r="H577" i="24"/>
  <c r="H615" i="24"/>
  <c r="H656" i="24"/>
  <c r="H696" i="24"/>
  <c r="H736" i="24"/>
  <c r="H777" i="24"/>
  <c r="H817" i="24"/>
  <c r="H857" i="24"/>
  <c r="H897" i="24"/>
  <c r="H936" i="24"/>
  <c r="H978" i="24"/>
  <c r="H1016" i="24"/>
  <c r="H1056" i="24"/>
  <c r="H1096" i="24"/>
  <c r="H1138" i="24"/>
  <c r="H1175" i="24"/>
  <c r="H1215" i="24"/>
  <c r="H1256" i="24"/>
  <c r="H1299" i="24"/>
  <c r="H1337" i="24"/>
  <c r="H1376" i="24"/>
  <c r="H1416" i="24"/>
  <c r="H1458" i="24"/>
  <c r="H1496" i="24"/>
  <c r="H1536" i="24"/>
  <c r="H1576" i="24"/>
  <c r="H1617" i="24"/>
  <c r="H1655" i="24"/>
  <c r="H1694" i="24"/>
  <c r="H1726" i="24"/>
  <c r="H1763" i="24"/>
  <c r="H1795" i="24"/>
  <c r="H1828" i="24"/>
  <c r="H1860" i="24"/>
  <c r="H1894" i="24"/>
  <c r="H1925" i="24"/>
  <c r="H1959" i="24"/>
  <c r="H1989" i="24"/>
  <c r="H2024" i="24"/>
  <c r="H2055" i="24"/>
  <c r="H2087" i="24"/>
  <c r="H2121" i="24"/>
  <c r="H2152" i="24"/>
  <c r="H2183" i="24"/>
  <c r="H2213" i="24"/>
  <c r="H2245" i="24"/>
  <c r="H2277" i="24"/>
  <c r="H2305" i="24"/>
  <c r="H2337" i="24"/>
  <c r="H2367" i="24"/>
  <c r="H2400" i="24"/>
  <c r="H2428" i="24"/>
  <c r="H2460" i="24"/>
  <c r="H2490" i="24"/>
  <c r="H2523" i="24"/>
  <c r="H2551" i="24"/>
  <c r="H2583" i="24"/>
  <c r="H2613" i="24"/>
  <c r="H2646" i="24"/>
  <c r="H2675" i="24"/>
  <c r="H2705" i="24"/>
  <c r="H2737" i="24"/>
  <c r="H2768" i="24"/>
  <c r="H2799" i="24"/>
  <c r="H2828" i="24"/>
  <c r="H2860" i="24"/>
  <c r="H2891" i="24"/>
  <c r="H2922" i="24"/>
  <c r="H2951" i="24"/>
  <c r="H2983" i="24"/>
  <c r="H3014" i="24"/>
  <c r="H3045" i="24"/>
  <c r="H3075" i="24"/>
  <c r="H3105" i="24"/>
  <c r="H3138" i="24"/>
  <c r="H3167" i="24"/>
  <c r="H3199" i="24"/>
  <c r="H3229" i="24"/>
  <c r="H3261" i="24"/>
  <c r="H3290" i="24"/>
  <c r="H3322" i="24"/>
  <c r="H3352" i="24"/>
  <c r="H3385" i="24"/>
  <c r="H3413" i="24"/>
  <c r="H3445" i="24"/>
  <c r="H3475" i="24"/>
  <c r="H3508" i="24"/>
  <c r="H3537" i="24"/>
  <c r="H3567" i="24"/>
  <c r="H3598" i="24"/>
  <c r="H3628" i="24"/>
  <c r="H3656" i="24"/>
  <c r="H3685" i="24"/>
  <c r="H3715" i="24"/>
  <c r="H3745" i="24"/>
  <c r="H3772" i="24"/>
  <c r="H3799" i="24"/>
  <c r="H3826" i="24"/>
  <c r="H3854" i="24"/>
  <c r="H3879" i="24"/>
  <c r="H3905" i="24"/>
  <c r="H3932" i="24"/>
  <c r="H3958" i="24"/>
  <c r="H3982" i="24"/>
  <c r="H4006" i="24"/>
  <c r="H4032" i="24"/>
  <c r="H4056" i="24"/>
  <c r="H4081" i="24"/>
  <c r="H4106" i="24"/>
  <c r="H4130" i="24"/>
  <c r="H4154" i="24"/>
  <c r="H4178" i="24"/>
  <c r="H4202" i="24"/>
  <c r="H4225" i="24"/>
  <c r="H4249" i="24"/>
  <c r="H4272" i="24"/>
  <c r="H4296" i="24"/>
  <c r="H4319" i="24"/>
  <c r="H4343" i="24"/>
  <c r="H4367" i="24"/>
  <c r="H44" i="24"/>
  <c r="H86" i="24"/>
  <c r="H125" i="24"/>
  <c r="H164" i="24"/>
  <c r="H204" i="24"/>
  <c r="H247" i="24"/>
  <c r="H287" i="24"/>
  <c r="H325" i="24"/>
  <c r="H366" i="24"/>
  <c r="H407" i="24"/>
  <c r="H445" i="24"/>
  <c r="H484" i="24"/>
  <c r="H525" i="24"/>
  <c r="H566" i="24"/>
  <c r="H606" i="24"/>
  <c r="H644" i="24"/>
  <c r="H684" i="24"/>
  <c r="H726" i="24"/>
  <c r="H767" i="24"/>
  <c r="H807" i="24"/>
  <c r="H843" i="24"/>
  <c r="H885" i="24"/>
  <c r="H926" i="24"/>
  <c r="H965" i="24"/>
  <c r="H1004" i="24"/>
  <c r="H1045" i="24"/>
  <c r="H1086" i="24"/>
  <c r="H1124" i="24"/>
  <c r="H1163" i="24"/>
  <c r="H1207" i="24"/>
  <c r="H1245" i="24"/>
  <c r="H1284" i="24"/>
  <c r="H1325" i="24"/>
  <c r="H1366" i="24"/>
  <c r="H1406" i="24"/>
  <c r="H1444" i="24"/>
  <c r="H1485" i="24"/>
  <c r="H1526" i="24"/>
  <c r="H1565" i="24"/>
  <c r="H1604" i="24"/>
  <c r="H1644" i="24"/>
  <c r="H1683" i="24"/>
  <c r="H1720" i="24"/>
  <c r="H1750" i="24"/>
  <c r="H1786" i="24"/>
  <c r="H1820" i="24"/>
  <c r="H1853" i="24"/>
  <c r="H1883" i="24"/>
  <c r="H1917" i="24"/>
  <c r="H1950" i="24"/>
  <c r="H1983" i="24"/>
  <c r="H2013" i="24"/>
  <c r="H2046" i="24"/>
  <c r="H2080" i="24"/>
  <c r="H2112" i="24"/>
  <c r="H2144" i="24"/>
  <c r="H2173" i="24"/>
  <c r="H2206" i="24"/>
  <c r="H2237" i="24"/>
  <c r="H2267" i="24"/>
  <c r="H2297" i="24"/>
  <c r="H2329" i="24"/>
  <c r="H2360" i="24"/>
  <c r="H2389" i="24"/>
  <c r="H2420" i="24"/>
  <c r="H2451" i="24"/>
  <c r="H2483" i="24"/>
  <c r="H2512" i="24"/>
  <c r="H2544" i="24"/>
  <c r="H2574" i="24"/>
  <c r="H2606" i="24"/>
  <c r="H2635" i="24"/>
  <c r="H2667" i="24"/>
  <c r="H2699" i="24"/>
  <c r="H2729" i="24"/>
  <c r="H2759" i="24"/>
  <c r="H2789" i="24"/>
  <c r="H2822" i="24"/>
  <c r="H2852" i="24"/>
  <c r="H2882" i="24"/>
  <c r="H2912" i="24"/>
  <c r="H2945" i="24"/>
  <c r="H2975" i="24"/>
  <c r="H3005" i="24"/>
  <c r="H3035" i="24"/>
  <c r="H3068" i="24"/>
  <c r="H3099" i="24"/>
  <c r="H3127" i="24"/>
  <c r="H3159" i="24"/>
  <c r="H3190" i="24"/>
  <c r="H3222" i="24"/>
  <c r="H3251" i="24"/>
  <c r="H3282" i="24"/>
  <c r="H3313" i="24"/>
  <c r="H3345" i="24"/>
  <c r="H3374" i="24"/>
  <c r="H3405" i="24"/>
  <c r="H3437" i="24"/>
  <c r="H3468" i="24"/>
  <c r="H3498" i="24"/>
  <c r="H3527" i="24"/>
  <c r="H3560" i="24"/>
  <c r="H3590" i="24"/>
  <c r="H3619" i="24"/>
  <c r="H3648" i="24"/>
  <c r="H3678" i="24"/>
  <c r="H3707" i="24"/>
  <c r="H3736" i="24"/>
  <c r="H3764" i="24"/>
  <c r="H3793" i="24"/>
  <c r="H3820" i="24"/>
  <c r="H3845" i="24"/>
  <c r="H3872" i="24"/>
  <c r="H3899" i="24"/>
  <c r="H3925" i="24"/>
  <c r="H3950" i="24"/>
  <c r="H3976" i="24"/>
  <c r="H4001" i="24"/>
  <c r="H4025" i="24"/>
  <c r="H4049" i="24"/>
  <c r="H4075" i="24"/>
  <c r="H4100" i="24"/>
  <c r="H4124" i="24"/>
  <c r="H4149" i="24"/>
  <c r="H4172" i="24"/>
  <c r="H4196" i="24"/>
  <c r="H4219" i="24"/>
  <c r="H4243" i="24"/>
  <c r="H4267" i="24"/>
  <c r="H4290" i="24"/>
  <c r="H4313" i="24"/>
  <c r="H4337" i="24"/>
  <c r="H4360" i="24"/>
  <c r="H47" i="24"/>
  <c r="H87" i="24"/>
  <c r="H126" i="24"/>
  <c r="H166" i="24"/>
  <c r="H209" i="24"/>
  <c r="H248" i="24"/>
  <c r="H288" i="24"/>
  <c r="H327" i="24"/>
  <c r="H369" i="24"/>
  <c r="H409" i="24"/>
  <c r="H446" i="24"/>
  <c r="H487" i="24"/>
  <c r="H528" i="24"/>
  <c r="H567" i="24"/>
  <c r="H607" i="24"/>
  <c r="H649" i="24"/>
  <c r="H691" i="24"/>
  <c r="H727" i="24"/>
  <c r="H768" i="24"/>
  <c r="H809" i="24"/>
  <c r="H851" i="24"/>
  <c r="H886" i="24"/>
  <c r="H927" i="24"/>
  <c r="H968" i="24"/>
  <c r="H1011" i="24"/>
  <c r="H1046" i="24"/>
  <c r="H1088" i="24"/>
  <c r="H1128" i="24"/>
  <c r="H1169" i="24"/>
  <c r="H1209" i="24"/>
  <c r="H1249" i="24"/>
  <c r="H1286" i="24"/>
  <c r="H1328" i="24"/>
  <c r="H1368" i="24"/>
  <c r="H1407" i="24"/>
  <c r="H1447" i="24"/>
  <c r="H1488" i="24"/>
  <c r="H1529" i="24"/>
  <c r="H1566" i="24"/>
  <c r="H1608" i="24"/>
  <c r="H1649" i="24"/>
  <c r="H1685" i="24"/>
  <c r="H1721" i="24"/>
  <c r="H1753" i="24"/>
  <c r="H1789" i="24"/>
  <c r="H1821" i="24"/>
  <c r="H1854" i="24"/>
  <c r="H1887" i="24"/>
  <c r="H1920" i="24"/>
  <c r="H1951" i="24"/>
  <c r="H1984" i="24"/>
  <c r="H2017" i="24"/>
  <c r="H2050" i="24"/>
  <c r="H2081" i="24"/>
  <c r="H2113" i="24"/>
  <c r="H2146" i="24"/>
  <c r="H2178" i="24"/>
  <c r="H2207" i="24"/>
  <c r="H2238" i="24"/>
  <c r="H2269" i="24"/>
  <c r="H2301" i="24"/>
  <c r="H2330" i="24"/>
  <c r="H2361" i="24"/>
  <c r="H2392" i="24"/>
  <c r="H2424" i="24"/>
  <c r="H2453" i="24"/>
  <c r="H2484" i="24"/>
  <c r="H2514" i="24"/>
  <c r="H2547" i="24"/>
  <c r="H2577" i="24"/>
  <c r="H2607" i="24"/>
  <c r="H2638" i="24"/>
  <c r="H2670" i="24"/>
  <c r="H2700" i="24"/>
  <c r="H2730" i="24"/>
  <c r="H2761" i="24"/>
  <c r="H2793" i="24"/>
  <c r="H2823" i="24"/>
  <c r="H2853" i="24"/>
  <c r="H2884" i="24"/>
  <c r="H2915" i="24"/>
  <c r="H2946" i="24"/>
  <c r="H2977" i="24"/>
  <c r="H3008" i="24"/>
  <c r="H3039" i="24"/>
  <c r="H3069" i="24"/>
  <c r="H3100" i="24"/>
  <c r="H3131" i="24"/>
  <c r="H3163" i="24"/>
  <c r="H3192" i="24"/>
  <c r="H3223" i="24"/>
  <c r="H3253" i="24"/>
  <c r="H3286" i="24"/>
  <c r="H3314" i="24"/>
  <c r="H3346" i="24"/>
  <c r="H3377" i="24"/>
  <c r="H3409" i="24"/>
  <c r="H3438" i="24"/>
  <c r="H3469" i="24"/>
  <c r="H3500" i="24"/>
  <c r="H3532" i="24"/>
  <c r="H3562" i="24"/>
  <c r="H3592" i="24"/>
  <c r="H3621" i="24"/>
  <c r="H3652" i="24"/>
  <c r="H3680" i="24"/>
  <c r="H3708" i="24"/>
  <c r="H3738" i="24"/>
  <c r="H3767" i="24"/>
  <c r="H3794" i="24"/>
  <c r="H3821" i="24"/>
  <c r="H3847" i="24"/>
  <c r="H3875" i="24"/>
  <c r="H3900" i="24"/>
  <c r="H3926" i="24"/>
  <c r="H3953" i="24"/>
  <c r="H3977" i="24"/>
  <c r="H4002" i="24"/>
  <c r="H4026" i="24"/>
  <c r="H4052" i="24"/>
  <c r="H4076" i="24"/>
  <c r="H4101" i="24"/>
  <c r="H4126" i="24"/>
  <c r="H4150" i="24"/>
  <c r="H4173" i="24"/>
  <c r="H4197" i="24"/>
  <c r="H4220" i="24"/>
  <c r="H4244" i="24"/>
  <c r="H4268" i="24"/>
  <c r="H4291" i="24"/>
  <c r="H4314" i="24"/>
  <c r="H4338" i="24"/>
  <c r="H4362" i="24"/>
  <c r="H9" i="24"/>
  <c r="H52" i="24"/>
  <c r="H88" i="24"/>
  <c r="H131" i="24"/>
  <c r="H169" i="24"/>
  <c r="H211" i="24"/>
  <c r="H251" i="24"/>
  <c r="H289" i="24"/>
  <c r="H328" i="24"/>
  <c r="H371" i="24"/>
  <c r="H411" i="24"/>
  <c r="H451" i="24"/>
  <c r="H488" i="24"/>
  <c r="H529" i="24"/>
  <c r="H569" i="24"/>
  <c r="H609" i="24"/>
  <c r="H651" i="24"/>
  <c r="H692" i="24"/>
  <c r="H729" i="24"/>
  <c r="H769" i="24"/>
  <c r="H811" i="24"/>
  <c r="H853" i="24"/>
  <c r="H887" i="24"/>
  <c r="H928" i="24"/>
  <c r="H17" i="24"/>
  <c r="H65" i="24"/>
  <c r="H115" i="24"/>
  <c r="H162" i="24"/>
  <c r="H218" i="24"/>
  <c r="H265" i="24"/>
  <c r="H313" i="24"/>
  <c r="H363" i="24"/>
  <c r="H418" i="24"/>
  <c r="H466" i="24"/>
  <c r="H513" i="24"/>
  <c r="H563" i="24"/>
  <c r="H616" i="24"/>
  <c r="H666" i="24"/>
  <c r="H714" i="24"/>
  <c r="H761" i="24"/>
  <c r="H818" i="24"/>
  <c r="H864" i="24"/>
  <c r="H914" i="24"/>
  <c r="H961" i="24"/>
  <c r="H1013" i="24"/>
  <c r="H1058" i="24"/>
  <c r="H1106" i="24"/>
  <c r="H1152" i="24"/>
  <c r="H1197" i="24"/>
  <c r="H1243" i="24"/>
  <c r="H1293" i="24"/>
  <c r="H1343" i="24"/>
  <c r="H1388" i="24"/>
  <c r="H1433" i="24"/>
  <c r="H1479" i="24"/>
  <c r="H1531" i="24"/>
  <c r="H1577" i="24"/>
  <c r="H1624" i="24"/>
  <c r="H1668" i="24"/>
  <c r="H1710" i="24"/>
  <c r="H1748" i="24"/>
  <c r="H1793" i="24"/>
  <c r="H1831" i="24"/>
  <c r="H1870" i="24"/>
  <c r="H1905" i="24"/>
  <c r="H1942" i="24"/>
  <c r="H1981" i="24"/>
  <c r="H2020" i="24"/>
  <c r="H2060" i="24"/>
  <c r="H2098" i="24"/>
  <c r="H2134" i="24"/>
  <c r="H2170" i="24"/>
  <c r="H2208" i="24"/>
  <c r="H2246" i="24"/>
  <c r="H2281" i="24"/>
  <c r="H2315" i="24"/>
  <c r="H2352" i="24"/>
  <c r="H2387" i="24"/>
  <c r="H2426" i="24"/>
  <c r="H2462" i="24"/>
  <c r="H2500" i="24"/>
  <c r="H2533" i="24"/>
  <c r="H2568" i="24"/>
  <c r="H2604" i="24"/>
  <c r="H2641" i="24"/>
  <c r="H2680" i="24"/>
  <c r="H2714" i="24"/>
  <c r="H2750" i="24"/>
  <c r="H2786" i="24"/>
  <c r="H2824" i="24"/>
  <c r="H2861" i="24"/>
  <c r="H2898" i="24"/>
  <c r="H2931" i="24"/>
  <c r="H2968" i="24"/>
  <c r="H3003" i="24"/>
  <c r="H3042" i="24"/>
  <c r="H3078" i="24"/>
  <c r="H3114" i="24"/>
  <c r="H3148" i="24"/>
  <c r="H3183" i="24"/>
  <c r="H3220" i="24"/>
  <c r="H3258" i="24"/>
  <c r="H3295" i="24"/>
  <c r="H3330" i="24"/>
  <c r="H3366" i="24"/>
  <c r="H3401" i="24"/>
  <c r="H3439" i="24"/>
  <c r="H3477" i="24"/>
  <c r="H3512" i="24"/>
  <c r="H3546" i="24"/>
  <c r="H3584" i="24"/>
  <c r="H3617" i="24"/>
  <c r="H3654" i="24"/>
  <c r="H3687" i="24"/>
  <c r="H3723" i="24"/>
  <c r="H3755" i="24"/>
  <c r="H3786" i="24"/>
  <c r="H3818" i="24"/>
  <c r="H3850" i="24"/>
  <c r="H3883" i="24"/>
  <c r="H3913" i="24"/>
  <c r="H3943" i="24"/>
  <c r="H3972" i="24"/>
  <c r="H4003" i="24"/>
  <c r="H4033" i="24"/>
  <c r="H4061" i="24"/>
  <c r="H4089" i="24"/>
  <c r="H4118" i="24"/>
  <c r="H4147" i="24"/>
  <c r="H4176" i="24"/>
  <c r="H4204" i="24"/>
  <c r="H4231" i="24"/>
  <c r="H4258" i="24"/>
  <c r="H4285" i="24"/>
  <c r="H4312" i="24"/>
  <c r="H4342" i="24"/>
  <c r="H4370" i="24"/>
  <c r="H18" i="24"/>
  <c r="H66" i="24"/>
  <c r="H118" i="24"/>
  <c r="H163" i="24"/>
  <c r="H219" i="24"/>
  <c r="H266" i="24"/>
  <c r="H317" i="24"/>
  <c r="H365" i="24"/>
  <c r="H419" i="24"/>
  <c r="H467" i="24"/>
  <c r="H514" i="24"/>
  <c r="H564" i="24"/>
  <c r="H620" i="24"/>
  <c r="H667" i="24"/>
  <c r="H716" i="24"/>
  <c r="H763" i="24"/>
  <c r="H820" i="24"/>
  <c r="H865" i="24"/>
  <c r="H917" i="24"/>
  <c r="H963" i="24"/>
  <c r="H1015" i="24"/>
  <c r="H1060" i="24"/>
  <c r="H1109" i="24"/>
  <c r="H1155" i="24"/>
  <c r="H1201" i="24"/>
  <c r="H1251" i="24"/>
  <c r="H1300" i="24"/>
  <c r="H1344" i="24"/>
  <c r="H1389" i="24"/>
  <c r="H1435" i="24"/>
  <c r="H1482" i="24"/>
  <c r="H1532" i="24"/>
  <c r="H1578" i="24"/>
  <c r="H1625" i="24"/>
  <c r="H1672" i="24"/>
  <c r="H1713" i="24"/>
  <c r="H1749" i="24"/>
  <c r="H1794" i="24"/>
  <c r="H1832" i="24"/>
  <c r="H1871" i="24"/>
  <c r="H1906" i="24"/>
  <c r="H1946" i="24"/>
  <c r="H1985" i="24"/>
  <c r="H2025" i="24"/>
  <c r="H2061" i="24"/>
  <c r="H2099" i="24"/>
  <c r="H2135" i="24"/>
  <c r="H2171" i="24"/>
  <c r="H2210" i="24"/>
  <c r="H2247" i="24"/>
  <c r="H2282" i="24"/>
  <c r="H2318" i="24"/>
  <c r="H2353" i="24"/>
  <c r="H2388" i="24"/>
  <c r="H2427" i="24"/>
  <c r="H2463" i="24"/>
  <c r="H2501" i="24"/>
  <c r="H2534" i="24"/>
  <c r="H2571" i="24"/>
  <c r="H2609" i="24"/>
  <c r="H2647" i="24"/>
  <c r="H2681" i="24"/>
  <c r="H2715" i="24"/>
  <c r="H2751" i="24"/>
  <c r="H2787" i="24"/>
  <c r="H2825" i="24"/>
  <c r="H2862" i="24"/>
  <c r="H2899" i="24"/>
  <c r="H2933" i="24"/>
  <c r="H2969" i="24"/>
  <c r="H3004" i="24"/>
  <c r="H3043" i="24"/>
  <c r="H3079" i="24"/>
  <c r="H3115" i="24"/>
  <c r="H3150" i="24"/>
  <c r="H3187" i="24"/>
  <c r="H3224" i="24"/>
  <c r="H3262" i="24"/>
  <c r="H3298" i="24"/>
  <c r="H3331" i="24"/>
  <c r="H3367" i="24"/>
  <c r="H3403" i="24"/>
  <c r="H3441" i="24"/>
  <c r="H3478" i="24"/>
  <c r="H3513" i="24"/>
  <c r="H4369" i="24"/>
  <c r="H4339" i="24"/>
  <c r="H4309" i="24"/>
  <c r="H4280" i="24"/>
  <c r="H4252" i="24"/>
  <c r="H4223" i="24"/>
  <c r="H4192" i="24"/>
  <c r="H4164" i="24"/>
  <c r="H4136" i="24"/>
  <c r="H4105" i="24"/>
  <c r="H4073" i="24"/>
  <c r="H4043" i="24"/>
  <c r="H4013" i="24"/>
  <c r="H3983" i="24"/>
  <c r="H3949" i="24"/>
  <c r="H3919" i="24"/>
  <c r="H3886" i="24"/>
  <c r="H3856" i="24"/>
  <c r="H3822" i="24"/>
  <c r="H3785" i="24"/>
  <c r="H3752" i="24"/>
  <c r="H3717" i="24"/>
  <c r="H3681" i="24"/>
  <c r="H3642" i="24"/>
  <c r="H3608" i="24"/>
  <c r="H3571" i="24"/>
  <c r="H3534" i="24"/>
  <c r="H3492" i="24"/>
  <c r="H3453" i="24"/>
  <c r="H3414" i="24"/>
  <c r="H3371" i="24"/>
  <c r="H3334" i="24"/>
  <c r="H3291" i="24"/>
  <c r="H3248" i="24"/>
  <c r="H3211" i="24"/>
  <c r="H3172" i="24"/>
  <c r="H3132" i="24"/>
  <c r="H3091" i="24"/>
  <c r="H3052" i="24"/>
  <c r="H3011" i="24"/>
  <c r="H2970" i="24"/>
  <c r="H2928" i="24"/>
  <c r="H2888" i="24"/>
  <c r="H2847" i="24"/>
  <c r="H2808" i="24"/>
  <c r="H2771" i="24"/>
  <c r="H2726" i="24"/>
  <c r="H2689" i="24"/>
  <c r="H2650" i="24"/>
  <c r="H2610" i="24"/>
  <c r="H2566" i="24"/>
  <c r="H2527" i="24"/>
  <c r="H2486" i="24"/>
  <c r="H2445" i="24"/>
  <c r="H2406" i="24"/>
  <c r="H2368" i="24"/>
  <c r="H2326" i="24"/>
  <c r="H2287" i="24"/>
  <c r="H2248" i="24"/>
  <c r="H2204" i="24"/>
  <c r="H2164" i="24"/>
  <c r="H2124" i="24"/>
  <c r="H2082" i="24"/>
  <c r="H2038" i="24"/>
  <c r="H1999" i="24"/>
  <c r="H1958" i="24"/>
  <c r="H1913" i="24"/>
  <c r="H1872" i="24"/>
  <c r="H1827" i="24"/>
  <c r="H1783" i="24"/>
  <c r="H1740" i="24"/>
  <c r="H1697" i="24"/>
  <c r="H1642" i="24"/>
  <c r="H1593" i="24"/>
  <c r="H1544" i="24"/>
  <c r="H1493" i="24"/>
  <c r="H1440" i="24"/>
  <c r="H1384" i="24"/>
  <c r="H1331" i="24"/>
  <c r="H1278" i="24"/>
  <c r="H1228" i="24"/>
  <c r="H1176" i="24"/>
  <c r="H1121" i="24"/>
  <c r="H1073" i="24"/>
  <c r="H1022" i="24"/>
  <c r="H969" i="24"/>
  <c r="H908" i="24"/>
  <c r="H858" i="24"/>
  <c r="H797" i="24"/>
  <c r="H745" i="24"/>
  <c r="H694" i="24"/>
  <c r="H633" i="24"/>
  <c r="H580" i="24"/>
  <c r="H522" i="24"/>
  <c r="H468" i="24"/>
  <c r="H412" i="24"/>
  <c r="H353" i="24"/>
  <c r="H300" i="24"/>
  <c r="H242" i="24"/>
  <c r="H189" i="24"/>
  <c r="H137" i="24"/>
  <c r="H78" i="24"/>
  <c r="H23" i="24"/>
  <c r="H4368" i="24"/>
  <c r="H4336" i="24"/>
  <c r="H4308" i="24"/>
  <c r="H4279" i="24"/>
  <c r="H4251" i="24"/>
  <c r="H4222" i="24"/>
  <c r="H4191" i="24"/>
  <c r="H4163" i="24"/>
  <c r="H4134" i="24"/>
  <c r="H4103" i="24"/>
  <c r="H4070" i="24"/>
  <c r="H4042" i="24"/>
  <c r="H4012" i="24"/>
  <c r="H3981" i="24"/>
  <c r="H3948" i="24"/>
  <c r="H3918" i="24"/>
  <c r="H3885" i="24"/>
  <c r="H3855" i="24"/>
  <c r="H3817" i="24"/>
  <c r="H3784" i="24"/>
  <c r="H3750" i="24"/>
  <c r="H3716" i="24"/>
  <c r="H3677" i="24"/>
  <c r="H3641" i="24"/>
  <c r="H3607" i="24"/>
  <c r="H3569" i="24"/>
  <c r="H3533" i="24"/>
  <c r="H3490" i="24"/>
  <c r="H3452" i="24"/>
  <c r="H3412" i="24"/>
  <c r="H3370" i="24"/>
  <c r="H3328" i="24"/>
  <c r="H3289" i="24"/>
  <c r="H3247" i="24"/>
  <c r="H3208" i="24"/>
  <c r="H3169" i="24"/>
  <c r="H3126" i="24"/>
  <c r="H3090" i="24"/>
  <c r="H3050" i="24"/>
  <c r="H3010" i="24"/>
  <c r="H2967" i="24"/>
  <c r="H2927" i="24"/>
  <c r="H2887" i="24"/>
  <c r="H2846" i="24"/>
  <c r="H2806" i="24"/>
  <c r="H2769" i="24"/>
  <c r="H2725" i="24"/>
  <c r="H2688" i="24"/>
  <c r="H2649" i="24"/>
  <c r="H2603" i="24"/>
  <c r="H2565" i="24"/>
  <c r="H2526" i="24"/>
  <c r="H2485" i="24"/>
  <c r="H2444" i="24"/>
  <c r="H2405" i="24"/>
  <c r="H2365" i="24"/>
  <c r="H2325" i="24"/>
  <c r="H2285" i="24"/>
  <c r="H2241" i="24"/>
  <c r="H2203" i="24"/>
  <c r="H2163" i="24"/>
  <c r="H2123" i="24"/>
  <c r="H2079" i="24"/>
  <c r="H2037" i="24"/>
  <c r="H1998" i="24"/>
  <c r="H1953" i="24"/>
  <c r="H1910" i="24"/>
  <c r="H1869" i="24"/>
  <c r="H1825" i="24"/>
  <c r="H1779" i="24"/>
  <c r="H1739" i="24"/>
  <c r="H1696" i="24"/>
  <c r="H1641" i="24"/>
  <c r="H1591" i="24"/>
  <c r="H1540" i="24"/>
  <c r="H1492" i="24"/>
  <c r="H1432" i="24"/>
  <c r="H1381" i="24"/>
  <c r="H1329" i="24"/>
  <c r="H1276" i="24"/>
  <c r="H1226" i="24"/>
  <c r="H1174" i="24"/>
  <c r="H1119" i="24"/>
  <c r="H1068" i="24"/>
  <c r="H1019" i="24"/>
  <c r="H960" i="24"/>
  <c r="H907" i="24"/>
  <c r="H856" i="24"/>
  <c r="H795" i="24"/>
  <c r="H744" i="24"/>
  <c r="H683" i="24"/>
  <c r="H632" i="24"/>
  <c r="H579" i="24"/>
  <c r="H521" i="24"/>
  <c r="H465" i="24"/>
  <c r="H405" i="24"/>
  <c r="H352" i="24"/>
  <c r="H299" i="24"/>
  <c r="H241" i="24"/>
  <c r="H187" i="24"/>
  <c r="H134" i="24"/>
  <c r="H75" i="24"/>
  <c r="H21" i="24"/>
  <c r="H4365" i="24"/>
  <c r="H4334" i="24"/>
  <c r="H4307" i="24"/>
  <c r="H4278" i="24"/>
  <c r="H4250" i="24"/>
  <c r="H4218" i="24"/>
  <c r="H4190" i="24"/>
  <c r="H4162" i="24"/>
  <c r="H4133" i="24"/>
  <c r="H4102" i="24"/>
  <c r="H4069" i="24"/>
  <c r="H4040" i="24"/>
  <c r="H4010" i="24"/>
  <c r="H3980" i="24"/>
  <c r="H3947" i="24"/>
  <c r="H3917" i="24"/>
  <c r="H3884" i="24"/>
  <c r="H3849" i="24"/>
  <c r="H3816" i="24"/>
  <c r="H3783" i="24"/>
  <c r="H3749" i="24"/>
  <c r="H3713" i="24"/>
  <c r="H3676" i="24"/>
  <c r="H3640" i="24"/>
  <c r="H3606" i="24"/>
  <c r="H3568" i="24"/>
  <c r="H3526" i="24"/>
  <c r="H3489" i="24"/>
  <c r="H3451" i="24"/>
  <c r="H3411" i="24"/>
  <c r="H3369" i="24"/>
  <c r="H3327" i="24"/>
  <c r="H3288" i="24"/>
  <c r="H3246" i="24"/>
  <c r="H3207" i="24"/>
  <c r="H3168" i="24"/>
  <c r="H3125" i="24"/>
  <c r="H3089" i="24"/>
  <c r="H3049" i="24"/>
  <c r="H3009" i="24"/>
  <c r="H2966" i="24"/>
  <c r="H2926" i="24"/>
  <c r="H2885" i="24"/>
  <c r="H2845" i="24"/>
  <c r="H2805" i="24"/>
  <c r="H2765" i="24"/>
  <c r="H2724" i="24"/>
  <c r="H2684" i="24"/>
  <c r="H2648" i="24"/>
  <c r="H2601" i="24"/>
  <c r="H2562" i="24"/>
  <c r="H2525" i="24"/>
  <c r="H2481" i="24"/>
  <c r="H2442" i="24"/>
  <c r="H2404" i="24"/>
  <c r="H2363" i="24"/>
  <c r="H2322" i="24"/>
  <c r="H2283" i="24"/>
  <c r="H2240" i="24"/>
  <c r="H2198" i="24"/>
  <c r="H2161" i="24"/>
  <c r="H2122" i="24"/>
  <c r="H2078" i="24"/>
  <c r="H2035" i="24"/>
  <c r="H1994" i="24"/>
  <c r="H1952" i="24"/>
  <c r="H1908" i="24"/>
  <c r="H1864" i="24"/>
  <c r="H1822" i="24"/>
  <c r="H1777" i="24"/>
  <c r="H1738" i="24"/>
  <c r="H1693" i="24"/>
  <c r="H1640" i="24"/>
  <c r="H1589" i="24"/>
  <c r="H1538" i="24"/>
  <c r="H1484" i="24"/>
  <c r="H1431" i="24"/>
  <c r="H1378" i="24"/>
  <c r="H1324" i="24"/>
  <c r="H1275" i="24"/>
  <c r="H1225" i="24"/>
  <c r="H1173" i="24"/>
  <c r="H1118" i="24"/>
  <c r="H1067" i="24"/>
  <c r="H1018" i="24"/>
  <c r="H958" i="24"/>
  <c r="H904" i="24"/>
  <c r="H854" i="24"/>
  <c r="H794" i="24"/>
  <c r="H741" i="24"/>
  <c r="H681" i="24"/>
  <c r="H629" i="24"/>
  <c r="H578" i="24"/>
  <c r="H518" i="24"/>
  <c r="H461" i="24"/>
  <c r="H403" i="24"/>
  <c r="H351" i="24"/>
  <c r="H297" i="24"/>
  <c r="H236" i="24"/>
  <c r="H185" i="24"/>
  <c r="H132" i="24"/>
  <c r="H74" i="24"/>
  <c r="H19" i="24"/>
  <c r="J11" i="20"/>
  <c r="J17" i="20" s="1"/>
  <c r="I13" i="13" s="1"/>
  <c r="AB11" i="20"/>
  <c r="AB17" i="20" s="1"/>
  <c r="AH11" i="20"/>
  <c r="P11" i="20"/>
  <c r="P17" i="20" s="1"/>
  <c r="I14" i="13" s="1"/>
  <c r="V11" i="20"/>
  <c r="V17" i="20" s="1"/>
  <c r="I15" i="13" s="1"/>
  <c r="P18" i="22"/>
  <c r="J36" i="13"/>
  <c r="H17" i="13"/>
  <c r="H16" i="13"/>
  <c r="H15" i="13"/>
  <c r="H14" i="13"/>
  <c r="H13" i="13"/>
  <c r="G17" i="13"/>
  <c r="G16" i="13"/>
  <c r="G15" i="13"/>
  <c r="G14" i="13"/>
  <c r="G13" i="13"/>
  <c r="D7" i="17"/>
  <c r="E7" i="17" s="1"/>
  <c r="F7" i="17" s="1"/>
  <c r="G7" i="17" s="1"/>
  <c r="B60" i="16"/>
  <c r="B29" i="17" s="1"/>
  <c r="B27" i="16"/>
  <c r="B25" i="17" s="1"/>
  <c r="B73" i="16"/>
  <c r="B34" i="17" s="1"/>
  <c r="B71" i="16"/>
  <c r="B32" i="17" s="1"/>
  <c r="B69" i="16"/>
  <c r="B30" i="17" s="1"/>
  <c r="B50" i="16"/>
  <c r="B28" i="17" s="1"/>
  <c r="B38" i="16"/>
  <c r="B27" i="17" s="1"/>
  <c r="B23" i="16"/>
  <c r="B23" i="17" s="1"/>
  <c r="B22" i="16"/>
  <c r="B20" i="17" s="1"/>
  <c r="B21" i="16"/>
  <c r="B19" i="17" s="1"/>
  <c r="B20" i="16"/>
  <c r="B18" i="17" s="1"/>
  <c r="B19" i="16"/>
  <c r="B17" i="17" s="1"/>
  <c r="B17" i="16"/>
  <c r="B15" i="17" s="1"/>
  <c r="B16" i="16"/>
  <c r="B14" i="17" s="1"/>
  <c r="B15" i="16"/>
  <c r="B13" i="17" s="1"/>
  <c r="B14" i="16"/>
  <c r="B12" i="17" s="1"/>
  <c r="B13" i="16"/>
  <c r="B11" i="17" s="1"/>
  <c r="B11" i="16"/>
  <c r="B9" i="17" s="1"/>
  <c r="D7" i="16"/>
  <c r="E7" i="16" s="1"/>
  <c r="F7" i="16" s="1"/>
  <c r="G7" i="16" s="1"/>
  <c r="D7" i="4"/>
  <c r="E7" i="4" s="1"/>
  <c r="F7" i="4" s="1"/>
  <c r="G7" i="4" s="1"/>
  <c r="F72" i="3"/>
  <c r="E72" i="3"/>
  <c r="D72" i="3"/>
  <c r="C72" i="3"/>
  <c r="F63" i="3"/>
  <c r="G30" i="17" s="1"/>
  <c r="E63" i="3"/>
  <c r="E25" i="7" s="1"/>
  <c r="D63" i="3"/>
  <c r="D25" i="7" s="1"/>
  <c r="C63" i="3"/>
  <c r="F22" i="3"/>
  <c r="G27" i="17" s="1"/>
  <c r="E22" i="3"/>
  <c r="E38" i="3" s="1"/>
  <c r="D22" i="3"/>
  <c r="C22" i="3"/>
  <c r="D7" i="2"/>
  <c r="E7" i="2" s="1"/>
  <c r="F7" i="2" s="1"/>
  <c r="F97" i="83" l="1"/>
  <c r="L97" i="83" s="1"/>
  <c r="L96" i="83"/>
  <c r="D96" i="83"/>
  <c r="J92" i="83"/>
  <c r="J26" i="83"/>
  <c r="F34" i="83"/>
  <c r="L30" i="83"/>
  <c r="J30" i="83"/>
  <c r="D34" i="83"/>
  <c r="R28" i="61"/>
  <c r="R24" i="61"/>
  <c r="R16" i="61"/>
  <c r="R12" i="61"/>
  <c r="R22" i="61"/>
  <c r="J22" i="61"/>
  <c r="J24" i="61"/>
  <c r="J16" i="61"/>
  <c r="J12" i="61"/>
  <c r="J28" i="61"/>
  <c r="X19" i="66"/>
  <c r="X16" i="68" s="1"/>
  <c r="J19" i="66"/>
  <c r="J16" i="68" s="1"/>
  <c r="R43" i="59"/>
  <c r="R19" i="66"/>
  <c r="Q19" i="66"/>
  <c r="J58" i="3"/>
  <c r="F30" i="66"/>
  <c r="X18" i="68"/>
  <c r="Q31" i="67"/>
  <c r="Q30" i="67" s="1"/>
  <c r="J19" i="3"/>
  <c r="G30" i="66"/>
  <c r="E30" i="66"/>
  <c r="J18" i="3"/>
  <c r="E52" i="66"/>
  <c r="F52" i="66"/>
  <c r="Q40" i="66"/>
  <c r="U40" i="66" s="1"/>
  <c r="T5" i="63"/>
  <c r="T18" i="63" s="1"/>
  <c r="X52" i="67"/>
  <c r="D30" i="66"/>
  <c r="Q45" i="66"/>
  <c r="T45" i="66" s="1"/>
  <c r="Q28" i="66"/>
  <c r="Q27" i="66" s="1"/>
  <c r="J20" i="3" s="1"/>
  <c r="G52" i="66"/>
  <c r="G54" i="66" s="1"/>
  <c r="Q40" i="67"/>
  <c r="S40" i="67" s="1"/>
  <c r="D52" i="66"/>
  <c r="Q37" i="66"/>
  <c r="J31" i="63"/>
  <c r="J35" i="63" s="1"/>
  <c r="K25" i="63"/>
  <c r="K29" i="63" s="1"/>
  <c r="L25" i="63" s="1"/>
  <c r="L29" i="63" s="1"/>
  <c r="J37" i="67"/>
  <c r="J52" i="67" s="1"/>
  <c r="C50" i="73"/>
  <c r="C40" i="36"/>
  <c r="C42" i="36" s="1"/>
  <c r="C27" i="1" s="1"/>
  <c r="F50" i="73"/>
  <c r="F12" i="6"/>
  <c r="F29" i="6" s="1"/>
  <c r="G34" i="17"/>
  <c r="G12" i="6"/>
  <c r="G29" i="6" s="1"/>
  <c r="D50" i="73"/>
  <c r="D12" i="6"/>
  <c r="D29" i="6" s="1"/>
  <c r="D40" i="36"/>
  <c r="D42" i="36" s="1"/>
  <c r="D27" i="1" s="1"/>
  <c r="E50" i="73"/>
  <c r="E12" i="6"/>
  <c r="E29" i="6" s="1"/>
  <c r="E40" i="36"/>
  <c r="E42" i="36" s="1"/>
  <c r="E27" i="1" s="1"/>
  <c r="J32" i="3"/>
  <c r="C52" i="66"/>
  <c r="C54" i="66" s="1"/>
  <c r="J72" i="3"/>
  <c r="S25" i="67"/>
  <c r="G74" i="3"/>
  <c r="G76" i="3" s="1"/>
  <c r="E24" i="6"/>
  <c r="T25" i="67"/>
  <c r="K18" i="68"/>
  <c r="J33" i="4"/>
  <c r="R25" i="67"/>
  <c r="K32" i="3" s="1"/>
  <c r="G12" i="7"/>
  <c r="G12" i="1"/>
  <c r="G9" i="5"/>
  <c r="G34" i="2"/>
  <c r="M46" i="74"/>
  <c r="J4" i="23"/>
  <c r="G16" i="16"/>
  <c r="G25" i="36"/>
  <c r="K11" i="22"/>
  <c r="G13" i="1"/>
  <c r="G16" i="5"/>
  <c r="J56" i="3"/>
  <c r="Q37" i="67"/>
  <c r="K50" i="73"/>
  <c r="K41" i="63"/>
  <c r="R25" i="63"/>
  <c r="R29" i="63" s="1"/>
  <c r="J39" i="59"/>
  <c r="J47" i="59"/>
  <c r="G21" i="13"/>
  <c r="G20" i="13"/>
  <c r="H21" i="13"/>
  <c r="H20" i="13"/>
  <c r="D37" i="36"/>
  <c r="D28" i="1" s="1"/>
  <c r="G37" i="36"/>
  <c r="G28" i="1" s="1"/>
  <c r="E37" i="36"/>
  <c r="E28" i="1" s="1"/>
  <c r="F37" i="36"/>
  <c r="F28" i="1" s="1"/>
  <c r="AA27" i="68"/>
  <c r="Z27" i="68"/>
  <c r="L41" i="63"/>
  <c r="S41" i="63"/>
  <c r="U46" i="67"/>
  <c r="R46" i="67"/>
  <c r="S46" i="67"/>
  <c r="T46" i="67"/>
  <c r="Q45" i="67"/>
  <c r="U28" i="67"/>
  <c r="T28" i="67"/>
  <c r="S28" i="67"/>
  <c r="R28" i="67"/>
  <c r="Q27" i="67"/>
  <c r="T31" i="67"/>
  <c r="S31" i="67"/>
  <c r="R31" i="67"/>
  <c r="R30" i="67" s="1"/>
  <c r="U31" i="67"/>
  <c r="U23" i="67"/>
  <c r="T23" i="67"/>
  <c r="S23" i="67"/>
  <c r="R23" i="67"/>
  <c r="R22" i="67" s="1"/>
  <c r="R18" i="63"/>
  <c r="U5" i="63"/>
  <c r="Z23" i="64"/>
  <c r="Z25" i="64" s="1"/>
  <c r="Z48" i="67" s="1"/>
  <c r="N23" i="64"/>
  <c r="N25" i="64" s="1"/>
  <c r="M23" i="64"/>
  <c r="M25" i="64" s="1"/>
  <c r="M48" i="67" s="1"/>
  <c r="U50" i="66"/>
  <c r="T50" i="66"/>
  <c r="S50" i="66"/>
  <c r="R50" i="66"/>
  <c r="Q49" i="66"/>
  <c r="R49" i="66" s="1"/>
  <c r="J34" i="3"/>
  <c r="D54" i="67"/>
  <c r="T29" i="68"/>
  <c r="E21" i="65"/>
  <c r="E25" i="65" s="1"/>
  <c r="L69" i="3" s="1"/>
  <c r="K15" i="63"/>
  <c r="K17" i="63" s="1"/>
  <c r="K21" i="63" s="1"/>
  <c r="L25" i="64"/>
  <c r="L48" i="67" s="1"/>
  <c r="K60" i="3"/>
  <c r="AB15" i="64"/>
  <c r="AA15" i="64"/>
  <c r="U13" i="64"/>
  <c r="U15" i="64" s="1"/>
  <c r="U25" i="64" s="1"/>
  <c r="U48" i="67" s="1"/>
  <c r="T15" i="64"/>
  <c r="T25" i="64" s="1"/>
  <c r="T48" i="67" s="1"/>
  <c r="T41" i="63"/>
  <c r="R41" i="63"/>
  <c r="R15" i="63"/>
  <c r="R32" i="61"/>
  <c r="R33" i="61" s="1"/>
  <c r="J31" i="59"/>
  <c r="J35" i="59"/>
  <c r="J43" i="59"/>
  <c r="R35" i="59"/>
  <c r="J51" i="59"/>
  <c r="R31" i="59"/>
  <c r="J55" i="59"/>
  <c r="R47" i="59"/>
  <c r="R21" i="59"/>
  <c r="R23" i="59" s="1"/>
  <c r="R55" i="59"/>
  <c r="J21" i="59"/>
  <c r="J23" i="59" s="1"/>
  <c r="R51" i="59"/>
  <c r="R39" i="59"/>
  <c r="J61" i="3"/>
  <c r="J11" i="2"/>
  <c r="J14" i="2" s="1"/>
  <c r="E54" i="67"/>
  <c r="J30" i="3"/>
  <c r="J31" i="3"/>
  <c r="J29" i="3"/>
  <c r="F54" i="67"/>
  <c r="U29" i="68"/>
  <c r="F45" i="63"/>
  <c r="F46" i="63" s="1"/>
  <c r="C54" i="67"/>
  <c r="M21" i="65"/>
  <c r="M25" i="65" s="1"/>
  <c r="M22" i="65" s="1"/>
  <c r="E55" i="16"/>
  <c r="E47" i="16"/>
  <c r="E67" i="16"/>
  <c r="E54" i="16"/>
  <c r="E33" i="16"/>
  <c r="E42" i="16"/>
  <c r="E66" i="16"/>
  <c r="E53" i="16"/>
  <c r="E41" i="16"/>
  <c r="E58" i="16"/>
  <c r="E36" i="16"/>
  <c r="E52" i="16"/>
  <c r="E46" i="16"/>
  <c r="E30" i="16"/>
  <c r="E64" i="16"/>
  <c r="E32" i="16"/>
  <c r="E29" i="16"/>
  <c r="E31" i="16"/>
  <c r="E62" i="16"/>
  <c r="E34" i="16"/>
  <c r="E40" i="16"/>
  <c r="E45" i="16"/>
  <c r="E43" i="16"/>
  <c r="E48" i="16"/>
  <c r="E35" i="16"/>
  <c r="E44" i="16"/>
  <c r="E56" i="16"/>
  <c r="E57" i="16"/>
  <c r="E65" i="16"/>
  <c r="L29" i="64"/>
  <c r="K47" i="66"/>
  <c r="J18" i="68"/>
  <c r="L18" i="68"/>
  <c r="R29" i="68"/>
  <c r="S29" i="68"/>
  <c r="R34" i="66"/>
  <c r="R11" i="66"/>
  <c r="J34" i="66"/>
  <c r="J11" i="66"/>
  <c r="X21" i="59"/>
  <c r="X23" i="59" s="1"/>
  <c r="X47" i="59"/>
  <c r="X43" i="59"/>
  <c r="X39" i="59"/>
  <c r="X35" i="59"/>
  <c r="X31" i="59"/>
  <c r="X55" i="59"/>
  <c r="X51" i="59"/>
  <c r="Q55" i="59"/>
  <c r="Q47" i="59"/>
  <c r="Q51" i="59"/>
  <c r="Q39" i="59"/>
  <c r="Q43" i="59"/>
  <c r="Q35" i="59"/>
  <c r="Q31" i="59"/>
  <c r="Q16" i="68"/>
  <c r="J9" i="73"/>
  <c r="Q21" i="59"/>
  <c r="K29" i="3"/>
  <c r="K61" i="3"/>
  <c r="D46" i="63"/>
  <c r="Y31" i="63"/>
  <c r="Y35" i="63" s="1"/>
  <c r="Y15" i="63"/>
  <c r="Y17" i="63" s="1"/>
  <c r="Y21" i="63" s="1"/>
  <c r="Q39" i="63"/>
  <c r="Q43" i="63" s="1"/>
  <c r="J39" i="63"/>
  <c r="X39" i="63"/>
  <c r="X43" i="63" s="1"/>
  <c r="G45" i="63"/>
  <c r="G46" i="63" s="1"/>
  <c r="AB40" i="63"/>
  <c r="AA40" i="63"/>
  <c r="M40" i="63"/>
  <c r="M41" i="63"/>
  <c r="Z25" i="63"/>
  <c r="Z29" i="63" s="1"/>
  <c r="Y37" i="67"/>
  <c r="Y52" i="67" s="1"/>
  <c r="U41" i="63"/>
  <c r="U40" i="63"/>
  <c r="Z47" i="66"/>
  <c r="K70" i="3"/>
  <c r="K72" i="3" s="1"/>
  <c r="M37" i="65"/>
  <c r="M41" i="65" s="1"/>
  <c r="L38" i="65"/>
  <c r="M29" i="65"/>
  <c r="M33" i="65" s="1"/>
  <c r="L30" i="65"/>
  <c r="J39" i="61"/>
  <c r="J35" i="61"/>
  <c r="S11" i="59"/>
  <c r="S13" i="59" s="1"/>
  <c r="S32" i="61" s="1"/>
  <c r="K11" i="59"/>
  <c r="K13" i="59" s="1"/>
  <c r="R10" i="61"/>
  <c r="J10" i="61"/>
  <c r="J33" i="61"/>
  <c r="Q9" i="61"/>
  <c r="Q32" i="61"/>
  <c r="X9" i="61"/>
  <c r="X32" i="61"/>
  <c r="Y11" i="59"/>
  <c r="Y13" i="59" s="1"/>
  <c r="AA19" i="59"/>
  <c r="Z11" i="59"/>
  <c r="Z13" i="59" s="1"/>
  <c r="M19" i="59"/>
  <c r="L11" i="59"/>
  <c r="L13" i="59" s="1"/>
  <c r="U19" i="59"/>
  <c r="U11" i="59" s="1"/>
  <c r="U13" i="59" s="1"/>
  <c r="T11" i="59"/>
  <c r="T13" i="59" s="1"/>
  <c r="D12" i="17"/>
  <c r="C36" i="5"/>
  <c r="D36" i="5"/>
  <c r="E36" i="5"/>
  <c r="F40" i="36"/>
  <c r="F42" i="36" s="1"/>
  <c r="F27" i="1" s="1"/>
  <c r="F36" i="5"/>
  <c r="C25" i="7"/>
  <c r="E12" i="17"/>
  <c r="E30" i="2"/>
  <c r="D14" i="16"/>
  <c r="D13" i="1" s="1"/>
  <c r="D30" i="2"/>
  <c r="C34" i="36"/>
  <c r="C25" i="1"/>
  <c r="F30" i="2"/>
  <c r="G14" i="17" s="1"/>
  <c r="G10" i="5" s="1"/>
  <c r="F12" i="17"/>
  <c r="C30" i="2"/>
  <c r="N18" i="22"/>
  <c r="C38" i="3"/>
  <c r="F38" i="3"/>
  <c r="D38" i="3"/>
  <c r="E13" i="16"/>
  <c r="P17" i="22"/>
  <c r="P16" i="22"/>
  <c r="P15" i="22"/>
  <c r="P14" i="22"/>
  <c r="P13" i="22"/>
  <c r="D34" i="17"/>
  <c r="E34" i="17"/>
  <c r="F34" i="17"/>
  <c r="D29" i="17"/>
  <c r="E29" i="17"/>
  <c r="F29" i="17"/>
  <c r="E28" i="17"/>
  <c r="F28" i="17"/>
  <c r="F25" i="7"/>
  <c r="E30" i="17"/>
  <c r="F30" i="17"/>
  <c r="J12" i="18"/>
  <c r="J15" i="18" s="1"/>
  <c r="D30" i="17"/>
  <c r="D28" i="17"/>
  <c r="D27" i="17"/>
  <c r="E27" i="17"/>
  <c r="F9" i="7"/>
  <c r="F34" i="10"/>
  <c r="E34" i="10"/>
  <c r="E9" i="7"/>
  <c r="F27" i="17"/>
  <c r="D34" i="10"/>
  <c r="D9" i="7"/>
  <c r="C9" i="7"/>
  <c r="C34" i="10"/>
  <c r="C54" i="10" s="1"/>
  <c r="F17" i="16"/>
  <c r="F23" i="5" s="1"/>
  <c r="E19" i="16"/>
  <c r="C19" i="16"/>
  <c r="K42" i="5"/>
  <c r="L42" i="5"/>
  <c r="L39" i="5"/>
  <c r="K39" i="5"/>
  <c r="L27" i="24"/>
  <c r="M27" i="24" s="1"/>
  <c r="N27" i="24" s="1"/>
  <c r="L26" i="24"/>
  <c r="M26" i="24" s="1"/>
  <c r="N26" i="24" s="1"/>
  <c r="L25" i="24"/>
  <c r="M25" i="24" s="1"/>
  <c r="N25" i="24" s="1"/>
  <c r="L24" i="24"/>
  <c r="M24" i="24" s="1"/>
  <c r="N24" i="24" s="1"/>
  <c r="N17" i="24"/>
  <c r="N20" i="24"/>
  <c r="N19" i="24"/>
  <c r="N18" i="24"/>
  <c r="J15" i="13"/>
  <c r="AH17" i="20"/>
  <c r="I17" i="13" s="1"/>
  <c r="J17" i="13" s="1"/>
  <c r="I16" i="13"/>
  <c r="J16" i="13" s="1"/>
  <c r="J14" i="13"/>
  <c r="J11" i="18"/>
  <c r="F15" i="16"/>
  <c r="F22" i="5" s="1"/>
  <c r="C11" i="16"/>
  <c r="F11" i="16"/>
  <c r="C17" i="16"/>
  <c r="C23" i="5" s="1"/>
  <c r="D23" i="5"/>
  <c r="C13" i="16"/>
  <c r="F13" i="16"/>
  <c r="F14" i="16"/>
  <c r="F13" i="1" s="1"/>
  <c r="C15" i="16"/>
  <c r="C22" i="5" s="1"/>
  <c r="E15" i="16"/>
  <c r="E22" i="5" s="1"/>
  <c r="D22" i="5"/>
  <c r="E11" i="16"/>
  <c r="E17" i="16"/>
  <c r="E23" i="5" s="1"/>
  <c r="F19" i="16"/>
  <c r="I42" i="13"/>
  <c r="F65" i="3"/>
  <c r="G32" i="17" s="1"/>
  <c r="E65" i="3"/>
  <c r="E74" i="3" s="1"/>
  <c r="D65" i="3"/>
  <c r="C65" i="3"/>
  <c r="D97" i="83" l="1"/>
  <c r="J97" i="83" s="1"/>
  <c r="J96" i="83"/>
  <c r="L34" i="83"/>
  <c r="F35" i="83"/>
  <c r="L35" i="83" s="1"/>
  <c r="J34" i="83"/>
  <c r="D35" i="83"/>
  <c r="I21" i="13"/>
  <c r="I20" i="13"/>
  <c r="Q18" i="63"/>
  <c r="Q21" i="63" s="1"/>
  <c r="U18" i="63"/>
  <c r="J21" i="4"/>
  <c r="X28" i="61"/>
  <c r="X22" i="61"/>
  <c r="X24" i="61"/>
  <c r="X16" i="61"/>
  <c r="X12" i="61"/>
  <c r="Q28" i="61"/>
  <c r="Q22" i="61"/>
  <c r="Q24" i="61"/>
  <c r="Q16" i="61"/>
  <c r="Q12" i="61"/>
  <c r="Q23" i="59"/>
  <c r="R35" i="61"/>
  <c r="R39" i="61"/>
  <c r="K56" i="3"/>
  <c r="J31" i="4"/>
  <c r="C37" i="62"/>
  <c r="D31" i="62" s="1"/>
  <c r="J12" i="4"/>
  <c r="J32" i="2"/>
  <c r="Z19" i="66"/>
  <c r="Y19" i="66"/>
  <c r="Y16" i="68" s="1"/>
  <c r="C47" i="62"/>
  <c r="K9" i="73"/>
  <c r="L19" i="66"/>
  <c r="C27" i="62"/>
  <c r="T19" i="66"/>
  <c r="U19" i="66"/>
  <c r="S9" i="61"/>
  <c r="S19" i="66"/>
  <c r="S16" i="68" s="1"/>
  <c r="T40" i="66"/>
  <c r="E54" i="66"/>
  <c r="S45" i="66"/>
  <c r="S18" i="63"/>
  <c r="Q39" i="66"/>
  <c r="J48" i="3" s="1"/>
  <c r="F54" i="66"/>
  <c r="G56" i="66" s="1"/>
  <c r="K19" i="3"/>
  <c r="K18" i="3"/>
  <c r="AB27" i="68"/>
  <c r="Y27" i="68"/>
  <c r="K33" i="4" s="1"/>
  <c r="R45" i="66"/>
  <c r="R40" i="66"/>
  <c r="S40" i="66"/>
  <c r="U45" i="66"/>
  <c r="Q44" i="66"/>
  <c r="R44" i="66" s="1"/>
  <c r="D54" i="66"/>
  <c r="D56" i="66" s="1"/>
  <c r="R45" i="67"/>
  <c r="S45" i="67" s="1"/>
  <c r="T45" i="67" s="1"/>
  <c r="U45" i="67" s="1"/>
  <c r="T28" i="66"/>
  <c r="U28" i="66"/>
  <c r="R28" i="66"/>
  <c r="R27" i="66" s="1"/>
  <c r="K20" i="3" s="1"/>
  <c r="S28" i="66"/>
  <c r="Q18" i="68"/>
  <c r="J23" i="4" s="1"/>
  <c r="Q39" i="67"/>
  <c r="R40" i="67"/>
  <c r="U40" i="67"/>
  <c r="T40" i="67"/>
  <c r="D24" i="6"/>
  <c r="D54" i="10"/>
  <c r="D63" i="10"/>
  <c r="F21" i="65"/>
  <c r="F25" i="65" s="1"/>
  <c r="M69" i="3" s="1"/>
  <c r="E54" i="10"/>
  <c r="E63" i="10"/>
  <c r="F54" i="10"/>
  <c r="F63" i="10"/>
  <c r="G63" i="10"/>
  <c r="F24" i="6"/>
  <c r="G25" i="17"/>
  <c r="G24" i="6"/>
  <c r="Q36" i="66"/>
  <c r="J47" i="3" s="1"/>
  <c r="S37" i="66"/>
  <c r="T37" i="66"/>
  <c r="U37" i="66"/>
  <c r="R37" i="66"/>
  <c r="G14" i="1"/>
  <c r="G17" i="5"/>
  <c r="G38" i="2"/>
  <c r="G18" i="16"/>
  <c r="G30" i="5"/>
  <c r="G55" i="10"/>
  <c r="G19" i="7"/>
  <c r="G22" i="7" s="1"/>
  <c r="L50" i="73"/>
  <c r="R31" i="63"/>
  <c r="K42" i="66"/>
  <c r="J34" i="4"/>
  <c r="L60" i="3"/>
  <c r="K37" i="67"/>
  <c r="K52" i="67" s="1"/>
  <c r="K31" i="59"/>
  <c r="K19" i="66"/>
  <c r="K32" i="61"/>
  <c r="K33" i="61" s="1"/>
  <c r="K34" i="4"/>
  <c r="N34" i="4"/>
  <c r="N30" i="3"/>
  <c r="L11" i="63"/>
  <c r="L15" i="63" s="1"/>
  <c r="K31" i="63"/>
  <c r="K35" i="63" s="1"/>
  <c r="R27" i="67"/>
  <c r="S27" i="67" s="1"/>
  <c r="J33" i="3"/>
  <c r="K30" i="3"/>
  <c r="S22" i="67"/>
  <c r="T22" i="67" s="1"/>
  <c r="U22" i="67" s="1"/>
  <c r="K31" i="3"/>
  <c r="S30" i="67"/>
  <c r="K34" i="3"/>
  <c r="J59" i="3"/>
  <c r="K58" i="3"/>
  <c r="T59" i="63"/>
  <c r="Q32" i="63"/>
  <c r="Q35" i="63" s="1"/>
  <c r="U32" i="63"/>
  <c r="T32" i="63"/>
  <c r="S32" i="63"/>
  <c r="R32" i="63"/>
  <c r="K44" i="3"/>
  <c r="AB23" i="64"/>
  <c r="AB25" i="64" s="1"/>
  <c r="AB48" i="67" s="1"/>
  <c r="AA23" i="64"/>
  <c r="AA25" i="64" s="1"/>
  <c r="AA48" i="67" s="1"/>
  <c r="J49" i="3"/>
  <c r="Q47" i="66"/>
  <c r="K14" i="3"/>
  <c r="J50" i="3"/>
  <c r="S49" i="66"/>
  <c r="T49" i="66" s="1"/>
  <c r="U49" i="66" s="1"/>
  <c r="K50" i="3"/>
  <c r="J14" i="3"/>
  <c r="R37" i="67"/>
  <c r="S25" i="63"/>
  <c r="S29" i="63" s="1"/>
  <c r="T25" i="63" s="1"/>
  <c r="T29" i="63" s="1"/>
  <c r="N60" i="3"/>
  <c r="N48" i="67"/>
  <c r="R42" i="66"/>
  <c r="R17" i="63"/>
  <c r="R21" i="63" s="1"/>
  <c r="S11" i="63"/>
  <c r="K35" i="59"/>
  <c r="K9" i="61"/>
  <c r="K39" i="59"/>
  <c r="M18" i="68"/>
  <c r="K47" i="59"/>
  <c r="Y18" i="68"/>
  <c r="N21" i="65"/>
  <c r="N25" i="65" s="1"/>
  <c r="O21" i="65" s="1"/>
  <c r="O25" i="65" s="1"/>
  <c r="E25" i="36"/>
  <c r="K46" i="74"/>
  <c r="D62" i="16"/>
  <c r="D46" i="16"/>
  <c r="D67" i="16"/>
  <c r="D54" i="16"/>
  <c r="D42" i="16"/>
  <c r="D66" i="16"/>
  <c r="D53" i="16"/>
  <c r="D41" i="16"/>
  <c r="D47" i="16"/>
  <c r="D58" i="16"/>
  <c r="D36" i="16"/>
  <c r="D64" i="16"/>
  <c r="D30" i="16"/>
  <c r="D43" i="16"/>
  <c r="D29" i="16"/>
  <c r="D40" i="16"/>
  <c r="D48" i="16"/>
  <c r="D34" i="16"/>
  <c r="D52" i="16"/>
  <c r="D45" i="16"/>
  <c r="D35" i="16"/>
  <c r="D57" i="16"/>
  <c r="D44" i="16"/>
  <c r="D56" i="16"/>
  <c r="D65" i="16"/>
  <c r="D55" i="16"/>
  <c r="D32" i="16"/>
  <c r="D33" i="16"/>
  <c r="D31" i="16"/>
  <c r="F58" i="16"/>
  <c r="F67" i="16"/>
  <c r="F54" i="16"/>
  <c r="F33" i="16"/>
  <c r="F66" i="16"/>
  <c r="F53" i="16"/>
  <c r="F64" i="16"/>
  <c r="F41" i="16"/>
  <c r="F46" i="16"/>
  <c r="F36" i="16"/>
  <c r="F47" i="16"/>
  <c r="F55" i="16"/>
  <c r="F57" i="16"/>
  <c r="F43" i="16"/>
  <c r="F35" i="16"/>
  <c r="F48" i="16"/>
  <c r="F44" i="16"/>
  <c r="F56" i="16"/>
  <c r="F65" i="16"/>
  <c r="F30" i="16"/>
  <c r="F52" i="16"/>
  <c r="F32" i="16"/>
  <c r="F45" i="16"/>
  <c r="F29" i="16"/>
  <c r="F31" i="16"/>
  <c r="F62" i="16"/>
  <c r="F34" i="16"/>
  <c r="F42" i="16"/>
  <c r="F40" i="16"/>
  <c r="C62" i="16"/>
  <c r="C41" i="16"/>
  <c r="C46" i="16"/>
  <c r="C67" i="16"/>
  <c r="C54" i="16"/>
  <c r="C42" i="16"/>
  <c r="C31" i="16"/>
  <c r="C58" i="16"/>
  <c r="C47" i="16"/>
  <c r="C64" i="16"/>
  <c r="C29" i="16"/>
  <c r="C34" i="16"/>
  <c r="C30" i="16"/>
  <c r="C36" i="16"/>
  <c r="C55" i="16"/>
  <c r="C35" i="16"/>
  <c r="C32" i="16"/>
  <c r="C44" i="16"/>
  <c r="C43" i="16"/>
  <c r="C33" i="16"/>
  <c r="C40" i="16"/>
  <c r="C52" i="16"/>
  <c r="C48" i="16"/>
  <c r="C45" i="16"/>
  <c r="C57" i="16"/>
  <c r="C66" i="16"/>
  <c r="C56" i="16"/>
  <c r="C65" i="16"/>
  <c r="M29" i="64"/>
  <c r="L47" i="66"/>
  <c r="L46" i="74"/>
  <c r="J16" i="3"/>
  <c r="K55" i="59"/>
  <c r="K51" i="59"/>
  <c r="K43" i="59"/>
  <c r="R16" i="68"/>
  <c r="J17" i="68"/>
  <c r="J30" i="66"/>
  <c r="T39" i="59"/>
  <c r="T21" i="59"/>
  <c r="T23" i="59" s="1"/>
  <c r="T47" i="59"/>
  <c r="T43" i="59"/>
  <c r="T55" i="59"/>
  <c r="T31" i="59"/>
  <c r="T35" i="59"/>
  <c r="T51" i="59"/>
  <c r="U39" i="59"/>
  <c r="U21" i="59"/>
  <c r="U23" i="59" s="1"/>
  <c r="U43" i="59"/>
  <c r="U55" i="59"/>
  <c r="U47" i="59"/>
  <c r="U35" i="59"/>
  <c r="U51" i="59"/>
  <c r="U31" i="59"/>
  <c r="Q34" i="66"/>
  <c r="Q11" i="66"/>
  <c r="L21" i="59"/>
  <c r="L23" i="59" s="1"/>
  <c r="J15" i="68"/>
  <c r="J52" i="66"/>
  <c r="Z51" i="59"/>
  <c r="Z55" i="59"/>
  <c r="Z43" i="59"/>
  <c r="Z21" i="59"/>
  <c r="Z23" i="59" s="1"/>
  <c r="Z35" i="59"/>
  <c r="Z47" i="59"/>
  <c r="Z31" i="59"/>
  <c r="Z39" i="59"/>
  <c r="Y31" i="59"/>
  <c r="Y47" i="59"/>
  <c r="Y51" i="59"/>
  <c r="Y35" i="59"/>
  <c r="Y55" i="59"/>
  <c r="Y39" i="59"/>
  <c r="Y43" i="59"/>
  <c r="Y21" i="59"/>
  <c r="Y23" i="59" s="1"/>
  <c r="X39" i="61"/>
  <c r="X35" i="61"/>
  <c r="K21" i="59"/>
  <c r="K23" i="59" s="1"/>
  <c r="X11" i="66"/>
  <c r="X34" i="66"/>
  <c r="S39" i="59"/>
  <c r="S21" i="59"/>
  <c r="S23" i="59" s="1"/>
  <c r="S47" i="59"/>
  <c r="L9" i="73"/>
  <c r="S43" i="59"/>
  <c r="S31" i="59"/>
  <c r="S55" i="59"/>
  <c r="S35" i="59"/>
  <c r="S51" i="59"/>
  <c r="Z18" i="68"/>
  <c r="L61" i="3"/>
  <c r="G21" i="65"/>
  <c r="G25" i="65" s="1"/>
  <c r="N69" i="3" s="1"/>
  <c r="L29" i="3"/>
  <c r="L32" i="3"/>
  <c r="L33" i="4"/>
  <c r="Z31" i="63"/>
  <c r="Z35" i="63" s="1"/>
  <c r="N40" i="63"/>
  <c r="N41" i="63"/>
  <c r="L31" i="63"/>
  <c r="L35" i="63" s="1"/>
  <c r="X45" i="63"/>
  <c r="X49" i="63" s="1"/>
  <c r="Y39" i="63"/>
  <c r="J43" i="63"/>
  <c r="J45" i="63" s="1"/>
  <c r="J49" i="63" s="1"/>
  <c r="Q45" i="63"/>
  <c r="R39" i="63"/>
  <c r="M25" i="63"/>
  <c r="M29" i="63" s="1"/>
  <c r="L37" i="67"/>
  <c r="L52" i="67" s="1"/>
  <c r="Z11" i="63"/>
  <c r="Y42" i="66"/>
  <c r="AA25" i="63"/>
  <c r="AA29" i="63" s="1"/>
  <c r="Z37" i="67"/>
  <c r="Z52" i="67" s="1"/>
  <c r="AA47" i="66"/>
  <c r="M60" i="3"/>
  <c r="L70" i="3"/>
  <c r="L72" i="3" s="1"/>
  <c r="N37" i="65"/>
  <c r="N41" i="65" s="1"/>
  <c r="M38" i="65"/>
  <c r="N29" i="65"/>
  <c r="N33" i="65" s="1"/>
  <c r="M30" i="65"/>
  <c r="S39" i="61"/>
  <c r="S35" i="61"/>
  <c r="J26" i="2"/>
  <c r="J28" i="2" s="1"/>
  <c r="Q35" i="61"/>
  <c r="Q39" i="61"/>
  <c r="U9" i="61"/>
  <c r="U32" i="61"/>
  <c r="Q33" i="61"/>
  <c r="L32" i="61"/>
  <c r="L51" i="59"/>
  <c r="L39" i="59"/>
  <c r="L9" i="61"/>
  <c r="L43" i="59"/>
  <c r="L47" i="59"/>
  <c r="L55" i="59"/>
  <c r="L31" i="59"/>
  <c r="L35" i="59"/>
  <c r="Q10" i="61"/>
  <c r="Z32" i="61"/>
  <c r="Z9" i="61"/>
  <c r="Y32" i="61"/>
  <c r="K26" i="2" s="1"/>
  <c r="K28" i="2" s="1"/>
  <c r="Y9" i="61"/>
  <c r="X33" i="61"/>
  <c r="X10" i="61"/>
  <c r="J18" i="2"/>
  <c r="J20" i="2" s="1"/>
  <c r="J22" i="2" s="1"/>
  <c r="S33" i="61"/>
  <c r="T9" i="61"/>
  <c r="T32" i="61"/>
  <c r="L11" i="2"/>
  <c r="L14" i="2" s="1"/>
  <c r="K11" i="2"/>
  <c r="K14" i="2" s="1"/>
  <c r="AB19" i="59"/>
  <c r="AB11" i="59" s="1"/>
  <c r="AA11" i="59"/>
  <c r="AA13" i="59" s="1"/>
  <c r="N19" i="59"/>
  <c r="N11" i="59" s="1"/>
  <c r="N13" i="59" s="1"/>
  <c r="M11" i="59"/>
  <c r="M13" i="59" s="1"/>
  <c r="E14" i="17"/>
  <c r="E34" i="2"/>
  <c r="E19" i="7" s="1"/>
  <c r="D25" i="36"/>
  <c r="D16" i="16"/>
  <c r="D14" i="1" s="1"/>
  <c r="D34" i="2"/>
  <c r="C34" i="2"/>
  <c r="C25" i="36"/>
  <c r="D14" i="17"/>
  <c r="F34" i="2"/>
  <c r="G16" i="17" s="1"/>
  <c r="G12" i="5" s="1"/>
  <c r="F25" i="36"/>
  <c r="F14" i="17"/>
  <c r="O17" i="22"/>
  <c r="N17" i="22"/>
  <c r="O16" i="22"/>
  <c r="N16" i="22"/>
  <c r="O15" i="22"/>
  <c r="N15" i="22"/>
  <c r="O14" i="22"/>
  <c r="N14" i="22"/>
  <c r="N13" i="22"/>
  <c r="O13" i="22"/>
  <c r="J17" i="18"/>
  <c r="J28" i="13" s="1"/>
  <c r="K36" i="5"/>
  <c r="L36" i="5"/>
  <c r="C74" i="3"/>
  <c r="D74" i="3"/>
  <c r="E76" i="3" s="1"/>
  <c r="D32" i="17"/>
  <c r="E32" i="17"/>
  <c r="K35" i="5"/>
  <c r="L35" i="5"/>
  <c r="F74" i="3"/>
  <c r="F32" i="17"/>
  <c r="F10" i="7"/>
  <c r="F69" i="16"/>
  <c r="F60" i="16"/>
  <c r="F50" i="16"/>
  <c r="F38" i="16"/>
  <c r="F27" i="16"/>
  <c r="F73" i="16"/>
  <c r="F71" i="16"/>
  <c r="E10" i="7"/>
  <c r="E60" i="16"/>
  <c r="E27" i="16"/>
  <c r="F76" i="3"/>
  <c r="E73" i="16"/>
  <c r="F25" i="17"/>
  <c r="E71" i="16"/>
  <c r="E69" i="16"/>
  <c r="E50" i="16"/>
  <c r="E38" i="16"/>
  <c r="D10" i="7"/>
  <c r="D71" i="16"/>
  <c r="D69" i="16"/>
  <c r="D60" i="16"/>
  <c r="D27" i="16"/>
  <c r="D73" i="16"/>
  <c r="E25" i="17"/>
  <c r="D50" i="16"/>
  <c r="D38" i="16"/>
  <c r="C10" i="7"/>
  <c r="C60" i="16"/>
  <c r="C50" i="16"/>
  <c r="D25" i="17"/>
  <c r="C73" i="16"/>
  <c r="C38" i="16"/>
  <c r="C71" i="16"/>
  <c r="C27" i="16"/>
  <c r="C69" i="16"/>
  <c r="F16" i="5"/>
  <c r="D16" i="5"/>
  <c r="L22" i="5"/>
  <c r="K22" i="5"/>
  <c r="L23" i="5"/>
  <c r="K23" i="5"/>
  <c r="D9" i="5"/>
  <c r="F9" i="5"/>
  <c r="E9" i="5"/>
  <c r="E14" i="16"/>
  <c r="E13" i="1" s="1"/>
  <c r="F16" i="16"/>
  <c r="F14" i="1" s="1"/>
  <c r="C14" i="16"/>
  <c r="C13" i="1" s="1"/>
  <c r="J35" i="83" l="1"/>
  <c r="L26" i="2"/>
  <c r="L28" i="2" s="1"/>
  <c r="AB13" i="59"/>
  <c r="N9" i="73" s="1"/>
  <c r="L19" i="3"/>
  <c r="Y28" i="61"/>
  <c r="Y22" i="61"/>
  <c r="Y24" i="61"/>
  <c r="Y16" i="61"/>
  <c r="Y12" i="61"/>
  <c r="S28" i="61"/>
  <c r="S24" i="61"/>
  <c r="S16" i="61"/>
  <c r="S12" i="61"/>
  <c r="S22" i="61"/>
  <c r="Z28" i="61"/>
  <c r="Z22" i="61"/>
  <c r="Z24" i="61"/>
  <c r="Z12" i="61"/>
  <c r="Z16" i="61"/>
  <c r="K34" i="66"/>
  <c r="K15" i="68" s="1"/>
  <c r="K28" i="61"/>
  <c r="K24" i="61"/>
  <c r="K16" i="61"/>
  <c r="K12" i="61"/>
  <c r="K22" i="61"/>
  <c r="L28" i="61"/>
  <c r="L24" i="61"/>
  <c r="L16" i="61"/>
  <c r="L12" i="61"/>
  <c r="L22" i="61"/>
  <c r="T28" i="61"/>
  <c r="T24" i="61"/>
  <c r="T16" i="61"/>
  <c r="T12" i="61"/>
  <c r="T22" i="61"/>
  <c r="U28" i="61"/>
  <c r="U24" i="61"/>
  <c r="U16" i="61"/>
  <c r="U12" i="61"/>
  <c r="U22" i="61"/>
  <c r="Q11" i="67"/>
  <c r="J38" i="4"/>
  <c r="J26" i="3"/>
  <c r="J27" i="3"/>
  <c r="S10" i="61"/>
  <c r="S11" i="66"/>
  <c r="S17" i="68" s="1"/>
  <c r="S34" i="66"/>
  <c r="S15" i="68" s="1"/>
  <c r="X11" i="67"/>
  <c r="D41" i="62"/>
  <c r="D47" i="62" s="1"/>
  <c r="E41" i="62" s="1"/>
  <c r="AA19" i="66"/>
  <c r="AA16" i="68" s="1"/>
  <c r="M9" i="73"/>
  <c r="D21" i="62"/>
  <c r="D27" i="62" s="1"/>
  <c r="K11" i="67" s="1"/>
  <c r="J11" i="67"/>
  <c r="K35" i="61"/>
  <c r="K39" i="61"/>
  <c r="N19" i="66"/>
  <c r="M19" i="66"/>
  <c r="M16" i="68" s="1"/>
  <c r="F56" i="66"/>
  <c r="R39" i="66"/>
  <c r="K48" i="3" s="1"/>
  <c r="J45" i="3"/>
  <c r="L59" i="3"/>
  <c r="D66" i="10"/>
  <c r="E56" i="66"/>
  <c r="K59" i="3"/>
  <c r="E66" i="10"/>
  <c r="R39" i="67"/>
  <c r="S39" i="67" s="1"/>
  <c r="T39" i="67" s="1"/>
  <c r="U39" i="67" s="1"/>
  <c r="N57" i="3" s="1"/>
  <c r="R35" i="63"/>
  <c r="S27" i="66"/>
  <c r="T27" i="66" s="1"/>
  <c r="U27" i="66" s="1"/>
  <c r="N20" i="3" s="1"/>
  <c r="R18" i="68"/>
  <c r="K23" i="4" s="1"/>
  <c r="F66" i="10"/>
  <c r="J15" i="3"/>
  <c r="L50" i="3"/>
  <c r="J57" i="3"/>
  <c r="J63" i="3" s="1"/>
  <c r="Q52" i="67"/>
  <c r="R36" i="66"/>
  <c r="S39" i="66"/>
  <c r="L56" i="3"/>
  <c r="D76" i="3"/>
  <c r="C76" i="3"/>
  <c r="G66" i="10"/>
  <c r="K33" i="3"/>
  <c r="M50" i="73"/>
  <c r="M30" i="3"/>
  <c r="L30" i="3"/>
  <c r="M54" i="74"/>
  <c r="G30" i="1"/>
  <c r="G15" i="1"/>
  <c r="G18" i="5"/>
  <c r="G64" i="10"/>
  <c r="C9" i="11"/>
  <c r="C13" i="11" s="1"/>
  <c r="G58" i="10"/>
  <c r="G42" i="2"/>
  <c r="G11" i="4"/>
  <c r="G16" i="4" s="1"/>
  <c r="G34" i="64"/>
  <c r="G35" i="64" s="1"/>
  <c r="G20" i="16"/>
  <c r="G19" i="5" s="1"/>
  <c r="G24" i="5"/>
  <c r="M47" i="74"/>
  <c r="J46" i="3"/>
  <c r="J13" i="3"/>
  <c r="M34" i="4"/>
  <c r="L34" i="4"/>
  <c r="N22" i="65"/>
  <c r="J68" i="73"/>
  <c r="S37" i="67"/>
  <c r="L31" i="3"/>
  <c r="T27" i="67"/>
  <c r="L33" i="3"/>
  <c r="T30" i="67"/>
  <c r="L34" i="3"/>
  <c r="L58" i="3"/>
  <c r="S46" i="63"/>
  <c r="T46" i="63"/>
  <c r="R46" i="63"/>
  <c r="Q46" i="63"/>
  <c r="Q49" i="63" s="1"/>
  <c r="J36" i="2" s="1"/>
  <c r="U46" i="63"/>
  <c r="R47" i="66"/>
  <c r="K49" i="3"/>
  <c r="S44" i="66"/>
  <c r="K45" i="3"/>
  <c r="S31" i="63"/>
  <c r="S35" i="63" s="1"/>
  <c r="K31" i="4"/>
  <c r="K38" i="4" s="1"/>
  <c r="K27" i="3"/>
  <c r="S15" i="63"/>
  <c r="S17" i="63" s="1"/>
  <c r="S21" i="63" s="1"/>
  <c r="K11" i="66"/>
  <c r="K10" i="61"/>
  <c r="N18" i="68"/>
  <c r="J11" i="68"/>
  <c r="J20" i="68" s="1"/>
  <c r="M47" i="66"/>
  <c r="N29" i="64"/>
  <c r="K12" i="4"/>
  <c r="R17" i="68"/>
  <c r="Z16" i="68"/>
  <c r="L21" i="4" s="1"/>
  <c r="Y35" i="61"/>
  <c r="Y39" i="61"/>
  <c r="M21" i="59"/>
  <c r="M23" i="59" s="1"/>
  <c r="Z35" i="61"/>
  <c r="Z39" i="61"/>
  <c r="N21" i="59"/>
  <c r="N23" i="59" s="1"/>
  <c r="AA51" i="59"/>
  <c r="AA55" i="59"/>
  <c r="AA43" i="59"/>
  <c r="AA31" i="59"/>
  <c r="AA35" i="59"/>
  <c r="AA47" i="59"/>
  <c r="AA21" i="59"/>
  <c r="AA23" i="59" s="1"/>
  <c r="AA39" i="59"/>
  <c r="L16" i="3"/>
  <c r="L16" i="68"/>
  <c r="Q15" i="68"/>
  <c r="Q52" i="66"/>
  <c r="R15" i="68"/>
  <c r="J54" i="66"/>
  <c r="J56" i="66" s="1"/>
  <c r="U34" i="66"/>
  <c r="U11" i="66"/>
  <c r="X15" i="68"/>
  <c r="X52" i="66"/>
  <c r="X17" i="68"/>
  <c r="X30" i="66"/>
  <c r="Y11" i="66"/>
  <c r="Y34" i="66"/>
  <c r="Y15" i="68" s="1"/>
  <c r="K16" i="3"/>
  <c r="K16" i="68"/>
  <c r="K21" i="4" s="1"/>
  <c r="U16" i="68"/>
  <c r="Z11" i="66"/>
  <c r="Z34" i="66"/>
  <c r="Q17" i="68"/>
  <c r="Q30" i="66"/>
  <c r="T16" i="68"/>
  <c r="M21" i="4" s="1"/>
  <c r="L34" i="66"/>
  <c r="L11" i="66"/>
  <c r="T34" i="66"/>
  <c r="T11" i="66"/>
  <c r="M50" i="3"/>
  <c r="N61" i="3"/>
  <c r="M61" i="3"/>
  <c r="AA18" i="68"/>
  <c r="N29" i="3"/>
  <c r="M29" i="3"/>
  <c r="N32" i="3"/>
  <c r="M32" i="3"/>
  <c r="N31" i="3"/>
  <c r="M31" i="3"/>
  <c r="N59" i="3"/>
  <c r="M59" i="3"/>
  <c r="E38" i="2"/>
  <c r="M33" i="4"/>
  <c r="N33" i="4"/>
  <c r="X11" i="68"/>
  <c r="T31" i="63"/>
  <c r="T35" i="63" s="1"/>
  <c r="L42" i="66"/>
  <c r="M11" i="63"/>
  <c r="AB25" i="63"/>
  <c r="AB29" i="63" s="1"/>
  <c r="AA37" i="67"/>
  <c r="AA52" i="67" s="1"/>
  <c r="L17" i="63"/>
  <c r="L21" i="63" s="1"/>
  <c r="R43" i="63"/>
  <c r="R45" i="63" s="1"/>
  <c r="Y43" i="63"/>
  <c r="Z39" i="63" s="1"/>
  <c r="K39" i="63"/>
  <c r="Z15" i="63"/>
  <c r="AA31" i="63"/>
  <c r="AA35" i="63" s="1"/>
  <c r="U25" i="63"/>
  <c r="U29" i="63" s="1"/>
  <c r="T37" i="67"/>
  <c r="M31" i="63"/>
  <c r="M35" i="63" s="1"/>
  <c r="AB47" i="66"/>
  <c r="M70" i="3"/>
  <c r="M72" i="3" s="1"/>
  <c r="O37" i="65"/>
  <c r="O41" i="65" s="1"/>
  <c r="O38" i="65" s="1"/>
  <c r="N38" i="65"/>
  <c r="O22" i="65"/>
  <c r="O29" i="65"/>
  <c r="O33" i="65" s="1"/>
  <c r="O30" i="65" s="1"/>
  <c r="N30" i="65"/>
  <c r="K32" i="2"/>
  <c r="J30" i="2"/>
  <c r="L39" i="61"/>
  <c r="L35" i="61"/>
  <c r="U39" i="61"/>
  <c r="U35" i="61"/>
  <c r="T39" i="61"/>
  <c r="T35" i="61"/>
  <c r="M9" i="61"/>
  <c r="M39" i="59"/>
  <c r="M43" i="59"/>
  <c r="M47" i="59"/>
  <c r="M32" i="61"/>
  <c r="M51" i="59"/>
  <c r="M55" i="59"/>
  <c r="M31" i="59"/>
  <c r="M35" i="59"/>
  <c r="N43" i="59"/>
  <c r="N9" i="61"/>
  <c r="N39" i="59"/>
  <c r="N47" i="59"/>
  <c r="N32" i="61"/>
  <c r="N35" i="59"/>
  <c r="N51" i="59"/>
  <c r="N55" i="59"/>
  <c r="N31" i="59"/>
  <c r="AA32" i="61"/>
  <c r="M26" i="2" s="1"/>
  <c r="M28" i="2" s="1"/>
  <c r="AA9" i="61"/>
  <c r="L10" i="61"/>
  <c r="T33" i="61"/>
  <c r="T10" i="61"/>
  <c r="L33" i="61"/>
  <c r="K18" i="2"/>
  <c r="K20" i="2" s="1"/>
  <c r="K22" i="2" s="1"/>
  <c r="K30" i="2" s="1"/>
  <c r="Y10" i="61"/>
  <c r="Y33" i="61"/>
  <c r="L18" i="2"/>
  <c r="L20" i="2" s="1"/>
  <c r="L22" i="2" s="1"/>
  <c r="Z10" i="61"/>
  <c r="U33" i="61"/>
  <c r="Z33" i="61"/>
  <c r="U10" i="61"/>
  <c r="M11" i="2"/>
  <c r="M14" i="2" s="1"/>
  <c r="E16" i="17"/>
  <c r="E30" i="5"/>
  <c r="E26" i="5"/>
  <c r="K54" i="74" s="1"/>
  <c r="E55" i="10"/>
  <c r="E64" i="10" s="1"/>
  <c r="D55" i="10"/>
  <c r="D64" i="10" s="1"/>
  <c r="D26" i="5"/>
  <c r="D19" i="7"/>
  <c r="D18" i="16"/>
  <c r="D38" i="2"/>
  <c r="D11" i="4" s="1"/>
  <c r="D16" i="4" s="1"/>
  <c r="D30" i="5"/>
  <c r="C38" i="2"/>
  <c r="C19" i="7"/>
  <c r="C26" i="5"/>
  <c r="C55" i="10"/>
  <c r="C30" i="5"/>
  <c r="D16" i="17"/>
  <c r="F38" i="2"/>
  <c r="F55" i="10"/>
  <c r="F16" i="17"/>
  <c r="F26" i="5"/>
  <c r="F19" i="7"/>
  <c r="F30" i="5"/>
  <c r="F12" i="7"/>
  <c r="F15" i="7"/>
  <c r="F20" i="7" s="1"/>
  <c r="F31" i="7" s="1"/>
  <c r="F33" i="7" s="1"/>
  <c r="G50" i="6"/>
  <c r="G52" i="6" s="1"/>
  <c r="G28" i="6"/>
  <c r="G26" i="6"/>
  <c r="E12" i="7"/>
  <c r="E15" i="7"/>
  <c r="E20" i="7" s="1"/>
  <c r="E31" i="7" s="1"/>
  <c r="E33" i="7" s="1"/>
  <c r="D12" i="7"/>
  <c r="D15" i="7"/>
  <c r="D20" i="7" s="1"/>
  <c r="D31" i="7" s="1"/>
  <c r="D33" i="7" s="1"/>
  <c r="F28" i="6"/>
  <c r="F50" i="6"/>
  <c r="F52" i="6" s="1"/>
  <c r="F26" i="6"/>
  <c r="C12" i="7"/>
  <c r="C15" i="7"/>
  <c r="C20" i="7" s="1"/>
  <c r="C31" i="7" s="1"/>
  <c r="C33" i="7" s="1"/>
  <c r="E50" i="6"/>
  <c r="E52" i="6" s="1"/>
  <c r="E28" i="6"/>
  <c r="E26" i="6"/>
  <c r="D50" i="6"/>
  <c r="D52" i="6" s="1"/>
  <c r="D28" i="6"/>
  <c r="D26" i="6"/>
  <c r="F18" i="16"/>
  <c r="F17" i="5"/>
  <c r="E16" i="5"/>
  <c r="C16" i="5"/>
  <c r="K9" i="5"/>
  <c r="L9" i="5"/>
  <c r="E16" i="16"/>
  <c r="E14" i="1" s="1"/>
  <c r="C16" i="16"/>
  <c r="C14" i="1" s="1"/>
  <c r="J13" i="13"/>
  <c r="Y11" i="67" l="1"/>
  <c r="L30" i="2"/>
  <c r="AB55" i="59"/>
  <c r="AB19" i="66"/>
  <c r="N16" i="3" s="1"/>
  <c r="AB32" i="61"/>
  <c r="N26" i="2" s="1"/>
  <c r="N28" i="2" s="1"/>
  <c r="N11" i="2"/>
  <c r="N14" i="2" s="1"/>
  <c r="AB47" i="59"/>
  <c r="AB31" i="59"/>
  <c r="AB51" i="59"/>
  <c r="AB35" i="59"/>
  <c r="AB21" i="59"/>
  <c r="AB23" i="59" s="1"/>
  <c r="AB9" i="61"/>
  <c r="AB24" i="61" s="1"/>
  <c r="AB43" i="59"/>
  <c r="AB39" i="59"/>
  <c r="K13" i="3"/>
  <c r="N19" i="3"/>
  <c r="AA28" i="61"/>
  <c r="AA22" i="61"/>
  <c r="AA24" i="61"/>
  <c r="AA12" i="61"/>
  <c r="AA16" i="61"/>
  <c r="K52" i="66"/>
  <c r="N28" i="61"/>
  <c r="N24" i="61"/>
  <c r="N16" i="61"/>
  <c r="N12" i="61"/>
  <c r="N22" i="61"/>
  <c r="M28" i="61"/>
  <c r="M24" i="61"/>
  <c r="M16" i="61"/>
  <c r="M12" i="61"/>
  <c r="M22" i="61"/>
  <c r="T17" i="68"/>
  <c r="T15" i="68"/>
  <c r="J52" i="3"/>
  <c r="J65" i="3" s="1"/>
  <c r="J74" i="3" s="1"/>
  <c r="N18" i="3"/>
  <c r="M18" i="3"/>
  <c r="L18" i="3"/>
  <c r="S52" i="67"/>
  <c r="D68" i="10"/>
  <c r="J22" i="3"/>
  <c r="E68" i="10"/>
  <c r="K57" i="3"/>
  <c r="K63" i="3" s="1"/>
  <c r="L57" i="3"/>
  <c r="L63" i="3" s="1"/>
  <c r="R52" i="67"/>
  <c r="T52" i="67"/>
  <c r="M20" i="3"/>
  <c r="S30" i="66"/>
  <c r="K15" i="3"/>
  <c r="R30" i="66"/>
  <c r="L20" i="3"/>
  <c r="R52" i="66"/>
  <c r="M57" i="3"/>
  <c r="E34" i="64"/>
  <c r="E35" i="64" s="1"/>
  <c r="E11" i="4"/>
  <c r="E16" i="4" s="1"/>
  <c r="D58" i="10"/>
  <c r="E58" i="10"/>
  <c r="C34" i="64"/>
  <c r="C35" i="64" s="1"/>
  <c r="C11" i="4"/>
  <c r="C16" i="4" s="1"/>
  <c r="D24" i="4"/>
  <c r="D11" i="68"/>
  <c r="T39" i="66"/>
  <c r="L48" i="3"/>
  <c r="C64" i="10"/>
  <c r="C58" i="10"/>
  <c r="C76" i="10" s="1"/>
  <c r="G68" i="10"/>
  <c r="S36" i="66"/>
  <c r="K47" i="3"/>
  <c r="R49" i="63"/>
  <c r="F34" i="64"/>
  <c r="F35" i="64" s="1"/>
  <c r="F11" i="4"/>
  <c r="F16" i="4" s="1"/>
  <c r="G18" i="17"/>
  <c r="G11" i="5" s="1"/>
  <c r="F64" i="10"/>
  <c r="F68" i="10" s="1"/>
  <c r="F58" i="10"/>
  <c r="G11" i="68"/>
  <c r="G24" i="4"/>
  <c r="M48" i="74"/>
  <c r="K4" i="23"/>
  <c r="G11" i="6"/>
  <c r="G28" i="5"/>
  <c r="G22" i="16"/>
  <c r="L11" i="22"/>
  <c r="G48" i="2"/>
  <c r="G50" i="2" s="1"/>
  <c r="G44" i="2"/>
  <c r="K46" i="3"/>
  <c r="E47" i="62"/>
  <c r="F41" i="62" s="1"/>
  <c r="E21" i="62"/>
  <c r="J21" i="13"/>
  <c r="J34" i="13" s="1"/>
  <c r="J20" i="13"/>
  <c r="J22" i="4"/>
  <c r="U30" i="67"/>
  <c r="N34" i="3" s="1"/>
  <c r="M34" i="3"/>
  <c r="U27" i="67"/>
  <c r="N33" i="3" s="1"/>
  <c r="M33" i="3"/>
  <c r="N58" i="3"/>
  <c r="M58" i="3"/>
  <c r="D9" i="11"/>
  <c r="D13" i="11" s="1"/>
  <c r="J25" i="4"/>
  <c r="Q11" i="68"/>
  <c r="Q20" i="68" s="1"/>
  <c r="J44" i="4"/>
  <c r="J47" i="4" s="1"/>
  <c r="J14" i="4"/>
  <c r="J16" i="4" s="1"/>
  <c r="L44" i="3"/>
  <c r="S47" i="66"/>
  <c r="L49" i="3"/>
  <c r="L14" i="3"/>
  <c r="T44" i="66"/>
  <c r="L45" i="3"/>
  <c r="D37" i="62"/>
  <c r="K26" i="3" s="1"/>
  <c r="T11" i="63"/>
  <c r="S42" i="66"/>
  <c r="K30" i="66"/>
  <c r="K17" i="68"/>
  <c r="M16" i="3"/>
  <c r="S39" i="63"/>
  <c r="S43" i="63" s="1"/>
  <c r="E42" i="2"/>
  <c r="K48" i="74" s="1"/>
  <c r="N47" i="66"/>
  <c r="F24" i="5"/>
  <c r="L47" i="74"/>
  <c r="D30" i="1"/>
  <c r="N50" i="73"/>
  <c r="M56" i="3"/>
  <c r="F30" i="1"/>
  <c r="L54" i="74"/>
  <c r="J34" i="2"/>
  <c r="J38" i="2" s="1"/>
  <c r="J42" i="2" s="1"/>
  <c r="J46" i="2" s="1"/>
  <c r="J47" i="2" s="1"/>
  <c r="N16" i="68"/>
  <c r="N21" i="4" s="1"/>
  <c r="X54" i="66"/>
  <c r="X56" i="66" s="1"/>
  <c r="U17" i="68"/>
  <c r="Q54" i="66"/>
  <c r="Q56" i="66" s="1"/>
  <c r="U15" i="68"/>
  <c r="L52" i="66"/>
  <c r="N34" i="66"/>
  <c r="N11" i="66"/>
  <c r="N30" i="66" s="1"/>
  <c r="AB16" i="68"/>
  <c r="Z17" i="68"/>
  <c r="Z30" i="66"/>
  <c r="K20" i="4"/>
  <c r="L13" i="3"/>
  <c r="L17" i="68"/>
  <c r="L30" i="66"/>
  <c r="J20" i="4"/>
  <c r="L46" i="3"/>
  <c r="L15" i="68"/>
  <c r="Y17" i="68"/>
  <c r="Y30" i="66"/>
  <c r="Y52" i="66"/>
  <c r="X20" i="68"/>
  <c r="AB35" i="61"/>
  <c r="AB39" i="61"/>
  <c r="M34" i="66"/>
  <c r="M11" i="66"/>
  <c r="AA11" i="66"/>
  <c r="AA34" i="66"/>
  <c r="AA15" i="68" s="1"/>
  <c r="AA35" i="61"/>
  <c r="AA39" i="61"/>
  <c r="Z15" i="68"/>
  <c r="N50" i="3"/>
  <c r="AB18" i="68"/>
  <c r="E18" i="17"/>
  <c r="D34" i="64"/>
  <c r="D35" i="64" s="1"/>
  <c r="Y45" i="63"/>
  <c r="Y49" i="63" s="1"/>
  <c r="K43" i="63"/>
  <c r="L39" i="63" s="1"/>
  <c r="Z43" i="63"/>
  <c r="AA39" i="63" s="1"/>
  <c r="AA11" i="63"/>
  <c r="Z42" i="66"/>
  <c r="Z52" i="66" s="1"/>
  <c r="N25" i="63"/>
  <c r="N29" i="63" s="1"/>
  <c r="M37" i="67"/>
  <c r="M52" i="67" s="1"/>
  <c r="AB31" i="63"/>
  <c r="AB35" i="63" s="1"/>
  <c r="AB37" i="67"/>
  <c r="AB52" i="67" s="1"/>
  <c r="M15" i="63"/>
  <c r="U31" i="63"/>
  <c r="U35" i="63" s="1"/>
  <c r="U37" i="67"/>
  <c r="U52" i="67" s="1"/>
  <c r="Z17" i="63"/>
  <c r="Z21" i="63" s="1"/>
  <c r="N70" i="3"/>
  <c r="N72" i="3" s="1"/>
  <c r="K34" i="2"/>
  <c r="N39" i="61"/>
  <c r="N35" i="61"/>
  <c r="M39" i="61"/>
  <c r="M35" i="61"/>
  <c r="M18" i="2"/>
  <c r="M20" i="2" s="1"/>
  <c r="M22" i="2" s="1"/>
  <c r="M30" i="2" s="1"/>
  <c r="AA10" i="61"/>
  <c r="AA33" i="61"/>
  <c r="N33" i="61"/>
  <c r="N10" i="61"/>
  <c r="M33" i="61"/>
  <c r="N18" i="2"/>
  <c r="N20" i="2" s="1"/>
  <c r="AB33" i="61"/>
  <c r="M10" i="61"/>
  <c r="D42" i="2"/>
  <c r="D20" i="16"/>
  <c r="D19" i="5" s="1"/>
  <c r="D18" i="5"/>
  <c r="D15" i="1"/>
  <c r="C42" i="2"/>
  <c r="D18" i="17"/>
  <c r="F15" i="1"/>
  <c r="F18" i="5"/>
  <c r="F42" i="2"/>
  <c r="G20" i="17" s="1"/>
  <c r="G13" i="5" s="1"/>
  <c r="F18" i="17"/>
  <c r="F22" i="7"/>
  <c r="G38" i="6"/>
  <c r="G31" i="6"/>
  <c r="F38" i="6"/>
  <c r="F31" i="6"/>
  <c r="D22" i="7"/>
  <c r="E38" i="6"/>
  <c r="E31" i="6"/>
  <c r="D38" i="6"/>
  <c r="D31" i="6"/>
  <c r="F20" i="16"/>
  <c r="F19" i="5" s="1"/>
  <c r="E17" i="5"/>
  <c r="E18" i="16"/>
  <c r="E30" i="1"/>
  <c r="E22" i="7"/>
  <c r="D17" i="5"/>
  <c r="E12" i="5"/>
  <c r="C18" i="16"/>
  <c r="C22" i="7"/>
  <c r="C17" i="5"/>
  <c r="C24" i="5" s="1"/>
  <c r="D10" i="5"/>
  <c r="L16" i="5"/>
  <c r="K16" i="5"/>
  <c r="E10" i="5"/>
  <c r="F10" i="5"/>
  <c r="J29" i="13"/>
  <c r="I43" i="13" s="1"/>
  <c r="K68" i="73" l="1"/>
  <c r="AB10" i="61"/>
  <c r="AB11" i="66"/>
  <c r="AB30" i="66" s="1"/>
  <c r="AB16" i="61"/>
  <c r="AB12" i="61"/>
  <c r="AB34" i="66"/>
  <c r="AB15" i="68" s="1"/>
  <c r="K22" i="4"/>
  <c r="N22" i="2"/>
  <c r="N30" i="2" s="1"/>
  <c r="AB22" i="61"/>
  <c r="AB28" i="61"/>
  <c r="K22" i="3"/>
  <c r="M19" i="3"/>
  <c r="K54" i="66"/>
  <c r="K56" i="66" s="1"/>
  <c r="E44" i="2"/>
  <c r="E19" i="36" s="1"/>
  <c r="E24" i="36" s="1"/>
  <c r="R54" i="66"/>
  <c r="R56" i="66" s="1"/>
  <c r="L15" i="3"/>
  <c r="L22" i="3" s="1"/>
  <c r="T30" i="66"/>
  <c r="S18" i="68"/>
  <c r="L23" i="4" s="1"/>
  <c r="K52" i="3"/>
  <c r="K65" i="3" s="1"/>
  <c r="K74" i="3" s="1"/>
  <c r="R11" i="68"/>
  <c r="R20" i="68" s="1"/>
  <c r="E24" i="7"/>
  <c r="E27" i="7" s="1"/>
  <c r="E28" i="7" s="1"/>
  <c r="E22" i="36"/>
  <c r="U39" i="66"/>
  <c r="N48" i="3" s="1"/>
  <c r="M48" i="3"/>
  <c r="D27" i="4"/>
  <c r="D20" i="68"/>
  <c r="T36" i="66"/>
  <c r="L47" i="3"/>
  <c r="L52" i="3" s="1"/>
  <c r="L65" i="3" s="1"/>
  <c r="L74" i="3" s="1"/>
  <c r="C24" i="4"/>
  <c r="C11" i="68"/>
  <c r="S52" i="66"/>
  <c r="S54" i="66" s="1"/>
  <c r="E24" i="4"/>
  <c r="E11" i="68"/>
  <c r="F24" i="4"/>
  <c r="F11" i="68"/>
  <c r="G14" i="7"/>
  <c r="G17" i="7" s="1"/>
  <c r="G23" i="16"/>
  <c r="G27" i="5" s="1"/>
  <c r="G29" i="5" s="1"/>
  <c r="G16" i="1"/>
  <c r="G20" i="5"/>
  <c r="G47" i="2"/>
  <c r="L17" i="74"/>
  <c r="D4" i="23"/>
  <c r="E11" i="22"/>
  <c r="C49" i="11"/>
  <c r="G19" i="36"/>
  <c r="G15" i="36"/>
  <c r="G17" i="36" s="1"/>
  <c r="M51" i="74" s="1"/>
  <c r="M53" i="74"/>
  <c r="G29" i="1"/>
  <c r="G14" i="6"/>
  <c r="G18" i="6"/>
  <c r="G21" i="6" s="1"/>
  <c r="G27" i="4"/>
  <c r="G20" i="68"/>
  <c r="Z45" i="63"/>
  <c r="Z49" i="63" s="1"/>
  <c r="Z11" i="68" s="1"/>
  <c r="Z20" i="68" s="1"/>
  <c r="Z11" i="67"/>
  <c r="L22" i="4"/>
  <c r="L20" i="4"/>
  <c r="M63" i="3"/>
  <c r="J24" i="4"/>
  <c r="J27" i="4" s="1"/>
  <c r="J49" i="4" s="1"/>
  <c r="T47" i="66"/>
  <c r="M49" i="3"/>
  <c r="M14" i="3"/>
  <c r="U44" i="66"/>
  <c r="N45" i="3" s="1"/>
  <c r="M45" i="3"/>
  <c r="N56" i="3"/>
  <c r="N63" i="3" s="1"/>
  <c r="T15" i="63"/>
  <c r="T17" i="63" s="1"/>
  <c r="T21" i="63" s="1"/>
  <c r="E28" i="5"/>
  <c r="K53" i="74" s="1"/>
  <c r="E11" i="6"/>
  <c r="M17" i="63"/>
  <c r="M21" i="63" s="1"/>
  <c r="T39" i="63"/>
  <c r="T43" i="63" s="1"/>
  <c r="E24" i="5"/>
  <c r="K47" i="74"/>
  <c r="D24" i="5"/>
  <c r="L48" i="74"/>
  <c r="E31" i="62"/>
  <c r="R11" i="67"/>
  <c r="J50" i="2"/>
  <c r="J45" i="2"/>
  <c r="Y54" i="66"/>
  <c r="Y56" i="66" s="1"/>
  <c r="L54" i="66"/>
  <c r="Z54" i="66"/>
  <c r="AA17" i="68"/>
  <c r="AA30" i="66"/>
  <c r="M13" i="3"/>
  <c r="M17" i="68"/>
  <c r="M30" i="66"/>
  <c r="M46" i="3"/>
  <c r="M15" i="68"/>
  <c r="M20" i="4" s="1"/>
  <c r="N13" i="3"/>
  <c r="N17" i="68"/>
  <c r="N46" i="3"/>
  <c r="N15" i="68"/>
  <c r="Y11" i="68"/>
  <c r="Y20" i="68" s="1"/>
  <c r="K45" i="63"/>
  <c r="K49" i="63" s="1"/>
  <c r="K44" i="4" s="1"/>
  <c r="K47" i="4" s="1"/>
  <c r="S45" i="63"/>
  <c r="S49" i="63" s="1"/>
  <c r="AA15" i="63"/>
  <c r="AA17" i="63" s="1"/>
  <c r="AA21" i="63" s="1"/>
  <c r="AA43" i="63"/>
  <c r="AB39" i="63" s="1"/>
  <c r="AB43" i="63" s="1"/>
  <c r="AB45" i="63" s="1"/>
  <c r="AB49" i="63" s="1"/>
  <c r="L43" i="63"/>
  <c r="M39" i="63" s="1"/>
  <c r="N11" i="63"/>
  <c r="N15" i="63" s="1"/>
  <c r="M42" i="66"/>
  <c r="M52" i="66" s="1"/>
  <c r="N31" i="63"/>
  <c r="N35" i="63" s="1"/>
  <c r="N37" i="67"/>
  <c r="N52" i="67" s="1"/>
  <c r="E47" i="2"/>
  <c r="E32" i="73" s="1"/>
  <c r="E48" i="2"/>
  <c r="E50" i="2" s="1"/>
  <c r="D44" i="2"/>
  <c r="D19" i="36" s="1"/>
  <c r="D22" i="16"/>
  <c r="D20" i="5" s="1"/>
  <c r="D11" i="6"/>
  <c r="D28" i="5"/>
  <c r="E20" i="17"/>
  <c r="C18" i="5"/>
  <c r="C15" i="1"/>
  <c r="E15" i="36"/>
  <c r="E17" i="36" s="1"/>
  <c r="K51" i="74" s="1"/>
  <c r="F44" i="2"/>
  <c r="F19" i="36" s="1"/>
  <c r="F28" i="5"/>
  <c r="F11" i="6"/>
  <c r="F20" i="17"/>
  <c r="E18" i="5"/>
  <c r="E15" i="1"/>
  <c r="C44" i="2"/>
  <c r="C19" i="36" s="1"/>
  <c r="C11" i="6"/>
  <c r="C18" i="6" s="1"/>
  <c r="C21" i="6" s="1"/>
  <c r="C28" i="5"/>
  <c r="D20" i="17"/>
  <c r="C20" i="16"/>
  <c r="C19" i="5" s="1"/>
  <c r="K17" i="5"/>
  <c r="L17" i="5"/>
  <c r="F22" i="16"/>
  <c r="F21" i="16"/>
  <c r="E20" i="16"/>
  <c r="E19" i="5" s="1"/>
  <c r="F12" i="5"/>
  <c r="K30" i="5"/>
  <c r="L30" i="5"/>
  <c r="D12" i="5"/>
  <c r="C30" i="1"/>
  <c r="K26" i="5"/>
  <c r="L26" i="5"/>
  <c r="L10" i="5"/>
  <c r="K10" i="5"/>
  <c r="E76" i="10"/>
  <c r="E75" i="10"/>
  <c r="AB17" i="68" l="1"/>
  <c r="N20" i="4"/>
  <c r="L56" i="66"/>
  <c r="S56" i="66"/>
  <c r="M15" i="3"/>
  <c r="M22" i="3" s="1"/>
  <c r="U18" i="68"/>
  <c r="N23" i="4" s="1"/>
  <c r="T18" i="68"/>
  <c r="M23" i="4" s="1"/>
  <c r="E9" i="11"/>
  <c r="E13" i="11" s="1"/>
  <c r="D24" i="7"/>
  <c r="D27" i="7" s="1"/>
  <c r="D28" i="7" s="1"/>
  <c r="D24" i="36"/>
  <c r="D22" i="36"/>
  <c r="E14" i="6"/>
  <c r="E18" i="6"/>
  <c r="E21" i="6" s="1"/>
  <c r="C27" i="4"/>
  <c r="C20" i="68"/>
  <c r="D14" i="6"/>
  <c r="D18" i="6"/>
  <c r="D21" i="6" s="1"/>
  <c r="K24" i="5"/>
  <c r="E27" i="4"/>
  <c r="E20" i="68"/>
  <c r="C24" i="36"/>
  <c r="C24" i="7"/>
  <c r="C27" i="7" s="1"/>
  <c r="C28" i="7" s="1"/>
  <c r="C22" i="36"/>
  <c r="U36" i="66"/>
  <c r="N47" i="3" s="1"/>
  <c r="M47" i="3"/>
  <c r="D49" i="4"/>
  <c r="D86" i="73" s="1"/>
  <c r="D44" i="5"/>
  <c r="D46" i="5"/>
  <c r="D45" i="5"/>
  <c r="F14" i="6"/>
  <c r="F18" i="6"/>
  <c r="F21" i="6" s="1"/>
  <c r="F24" i="7"/>
  <c r="F27" i="7" s="1"/>
  <c r="F28" i="7" s="1"/>
  <c r="F24" i="36"/>
  <c r="F27" i="4"/>
  <c r="F20" i="68"/>
  <c r="C36" i="13"/>
  <c r="G24" i="36"/>
  <c r="L16" i="74"/>
  <c r="G22" i="36"/>
  <c r="M52" i="74" s="1"/>
  <c r="G24" i="7"/>
  <c r="G27" i="7" s="1"/>
  <c r="G28" i="7" s="1"/>
  <c r="G49" i="4"/>
  <c r="G86" i="73" s="1"/>
  <c r="G46" i="5"/>
  <c r="G45" i="5"/>
  <c r="G44" i="5"/>
  <c r="G19" i="1"/>
  <c r="G32" i="73"/>
  <c r="G29" i="36"/>
  <c r="G32" i="36" s="1"/>
  <c r="F47" i="62"/>
  <c r="G41" i="62" s="1"/>
  <c r="AB11" i="68" s="1"/>
  <c r="M22" i="4"/>
  <c r="N22" i="4"/>
  <c r="E27" i="62"/>
  <c r="L11" i="67" s="1"/>
  <c r="L68" i="73"/>
  <c r="M44" i="3"/>
  <c r="U47" i="66"/>
  <c r="N49" i="3"/>
  <c r="N14" i="3"/>
  <c r="L27" i="3"/>
  <c r="U11" i="63"/>
  <c r="T42" i="66"/>
  <c r="T52" i="66" s="1"/>
  <c r="T54" i="66" s="1"/>
  <c r="T56" i="66" s="1"/>
  <c r="Z56" i="66"/>
  <c r="L24" i="5"/>
  <c r="U39" i="63"/>
  <c r="U43" i="63" s="1"/>
  <c r="F29" i="1"/>
  <c r="L53" i="74"/>
  <c r="S11" i="68"/>
  <c r="S20" i="68" s="1"/>
  <c r="K14" i="4"/>
  <c r="K16" i="4" s="1"/>
  <c r="K24" i="4" s="1"/>
  <c r="K11" i="68"/>
  <c r="K20" i="68" s="1"/>
  <c r="K25" i="4"/>
  <c r="M54" i="66"/>
  <c r="M56" i="66" s="1"/>
  <c r="AA45" i="63"/>
  <c r="AA49" i="63" s="1"/>
  <c r="K36" i="2"/>
  <c r="K38" i="2" s="1"/>
  <c r="K42" i="2" s="1"/>
  <c r="K45" i="2" s="1"/>
  <c r="T45" i="63"/>
  <c r="T49" i="63" s="1"/>
  <c r="L45" i="63"/>
  <c r="L49" i="63" s="1"/>
  <c r="L44" i="4" s="1"/>
  <c r="L47" i="4" s="1"/>
  <c r="N17" i="63"/>
  <c r="N21" i="63" s="1"/>
  <c r="N42" i="66"/>
  <c r="N52" i="66" s="1"/>
  <c r="N54" i="66" s="1"/>
  <c r="M43" i="63"/>
  <c r="N39" i="63" s="1"/>
  <c r="N43" i="63" s="1"/>
  <c r="N45" i="63" s="1"/>
  <c r="N49" i="63" s="1"/>
  <c r="AB11" i="63"/>
  <c r="AA42" i="66"/>
  <c r="AA52" i="66" s="1"/>
  <c r="AA54" i="66" s="1"/>
  <c r="AA56" i="66" s="1"/>
  <c r="D21" i="11"/>
  <c r="E21" i="11"/>
  <c r="H21" i="11"/>
  <c r="F21" i="11"/>
  <c r="G21" i="11"/>
  <c r="F48" i="2"/>
  <c r="F50" i="2" s="1"/>
  <c r="F47" i="2"/>
  <c r="G22" i="17" s="1"/>
  <c r="E14" i="7"/>
  <c r="E29" i="36"/>
  <c r="E32" i="36" s="1"/>
  <c r="E19" i="1"/>
  <c r="D48" i="2"/>
  <c r="D50" i="2" s="1"/>
  <c r="D47" i="2"/>
  <c r="D32" i="73" s="1"/>
  <c r="C48" i="2"/>
  <c r="C50" i="2" s="1"/>
  <c r="C47" i="2"/>
  <c r="C32" i="73" s="1"/>
  <c r="D15" i="36"/>
  <c r="D17" i="36" s="1"/>
  <c r="K52" i="74"/>
  <c r="E27" i="36"/>
  <c r="E26" i="1" s="1"/>
  <c r="C15" i="36"/>
  <c r="C17" i="36" s="1"/>
  <c r="F16" i="1"/>
  <c r="F20" i="5"/>
  <c r="F15" i="36"/>
  <c r="F17" i="36" s="1"/>
  <c r="L51" i="74" s="1"/>
  <c r="E4" i="23"/>
  <c r="H4" i="23" s="1"/>
  <c r="D11" i="5"/>
  <c r="D29" i="1"/>
  <c r="D16" i="1"/>
  <c r="C21" i="16"/>
  <c r="D76" i="10"/>
  <c r="H11" i="11"/>
  <c r="G76" i="10"/>
  <c r="F11" i="11"/>
  <c r="E11" i="11"/>
  <c r="D11" i="11"/>
  <c r="C11" i="11"/>
  <c r="G11" i="11"/>
  <c r="K51" i="1"/>
  <c r="E11" i="5"/>
  <c r="E29" i="1"/>
  <c r="E22" i="16"/>
  <c r="F11" i="5"/>
  <c r="E21" i="16"/>
  <c r="C29" i="1"/>
  <c r="L18" i="5"/>
  <c r="K18" i="5"/>
  <c r="L12" i="5"/>
  <c r="K12" i="5"/>
  <c r="C37" i="6"/>
  <c r="C44" i="6" s="1"/>
  <c r="C47" i="6" s="1"/>
  <c r="C54" i="6" s="1"/>
  <c r="C33" i="6"/>
  <c r="E78" i="10"/>
  <c r="C22" i="16"/>
  <c r="AB20" i="68" l="1"/>
  <c r="U30" i="66"/>
  <c r="N15" i="3"/>
  <c r="N22" i="3" s="1"/>
  <c r="M52" i="3"/>
  <c r="M65" i="3" s="1"/>
  <c r="M74" i="3" s="1"/>
  <c r="E49" i="4"/>
  <c r="E86" i="73" s="1"/>
  <c r="E46" i="5"/>
  <c r="E44" i="5"/>
  <c r="E45" i="5"/>
  <c r="C49" i="4"/>
  <c r="C86" i="73" s="1"/>
  <c r="C44" i="5"/>
  <c r="C46" i="5"/>
  <c r="C45" i="5"/>
  <c r="F9" i="11"/>
  <c r="F13" i="11" s="1"/>
  <c r="G37" i="7"/>
  <c r="F49" i="4"/>
  <c r="F86" i="73" s="1"/>
  <c r="F44" i="5"/>
  <c r="F46" i="5"/>
  <c r="F45" i="5"/>
  <c r="G14" i="5"/>
  <c r="G20" i="1"/>
  <c r="G27" i="36"/>
  <c r="G26" i="1" s="1"/>
  <c r="H11" i="22"/>
  <c r="C37" i="13"/>
  <c r="D36" i="13" s="1"/>
  <c r="F14" i="7"/>
  <c r="F17" i="7" s="1"/>
  <c r="F37" i="7" s="1"/>
  <c r="G23" i="17"/>
  <c r="AA11" i="67"/>
  <c r="E37" i="62"/>
  <c r="L26" i="3" s="1"/>
  <c r="F21" i="62"/>
  <c r="M68" i="73"/>
  <c r="K27" i="4"/>
  <c r="K49" i="4" s="1"/>
  <c r="M45" i="63"/>
  <c r="M49" i="63" s="1"/>
  <c r="G9" i="11" s="1"/>
  <c r="G13" i="11" s="1"/>
  <c r="U15" i="63"/>
  <c r="F22" i="17"/>
  <c r="F20" i="1" s="1"/>
  <c r="F32" i="73"/>
  <c r="L32" i="2"/>
  <c r="L34" i="2" s="1"/>
  <c r="L12" i="4"/>
  <c r="L31" i="4"/>
  <c r="L38" i="4" s="1"/>
  <c r="M14" i="4"/>
  <c r="L11" i="68"/>
  <c r="L20" i="68" s="1"/>
  <c r="L25" i="4"/>
  <c r="M44" i="4"/>
  <c r="M47" i="4" s="1"/>
  <c r="U45" i="63"/>
  <c r="U49" i="63" s="1"/>
  <c r="N36" i="2" s="1"/>
  <c r="N68" i="73"/>
  <c r="N56" i="66"/>
  <c r="AA11" i="68"/>
  <c r="AA20" i="68" s="1"/>
  <c r="K50" i="2"/>
  <c r="K46" i="2"/>
  <c r="K47" i="2" s="1"/>
  <c r="L14" i="4"/>
  <c r="L36" i="2"/>
  <c r="AB15" i="63"/>
  <c r="AB42" i="66" s="1"/>
  <c r="AB52" i="66" s="1"/>
  <c r="AB54" i="66" s="1"/>
  <c r="AB56" i="66" s="1"/>
  <c r="F23" i="16"/>
  <c r="F27" i="5" s="1"/>
  <c r="F29" i="5" s="1"/>
  <c r="F23" i="17"/>
  <c r="F29" i="36"/>
  <c r="F19" i="1"/>
  <c r="D19" i="1"/>
  <c r="D29" i="36"/>
  <c r="D32" i="36" s="1"/>
  <c r="E22" i="17"/>
  <c r="D14" i="7"/>
  <c r="D17" i="7" s="1"/>
  <c r="E23" i="17"/>
  <c r="D23" i="16"/>
  <c r="D27" i="5" s="1"/>
  <c r="D29" i="5" s="1"/>
  <c r="C29" i="36"/>
  <c r="C32" i="36" s="1"/>
  <c r="C19" i="1"/>
  <c r="D22" i="17"/>
  <c r="C14" i="7"/>
  <c r="C17" i="7" s="1"/>
  <c r="D23" i="17"/>
  <c r="D27" i="36"/>
  <c r="D26" i="1" s="1"/>
  <c r="K57" i="1"/>
  <c r="G75" i="10"/>
  <c r="G78" i="10" s="1"/>
  <c r="E16" i="1"/>
  <c r="E20" i="5"/>
  <c r="C16" i="1"/>
  <c r="C20" i="5"/>
  <c r="C27" i="36"/>
  <c r="C26" i="1" s="1"/>
  <c r="E13" i="5"/>
  <c r="E33" i="6"/>
  <c r="D75" i="10"/>
  <c r="D78" i="10" s="1"/>
  <c r="G33" i="6"/>
  <c r="G37" i="6"/>
  <c r="F11" i="22"/>
  <c r="F13" i="5"/>
  <c r="K28" i="5"/>
  <c r="L28" i="5"/>
  <c r="F75" i="10"/>
  <c r="F76" i="10"/>
  <c r="K11" i="5"/>
  <c r="L19" i="5"/>
  <c r="E17" i="7"/>
  <c r="E23" i="16"/>
  <c r="E27" i="5" s="1"/>
  <c r="E29" i="5" s="1"/>
  <c r="K19" i="5"/>
  <c r="L11" i="5"/>
  <c r="D13" i="5"/>
  <c r="C23" i="16"/>
  <c r="C27" i="5" s="1"/>
  <c r="C29" i="5" s="1"/>
  <c r="AB17" i="63" l="1"/>
  <c r="AB21" i="63" s="1"/>
  <c r="M36" i="2"/>
  <c r="G39" i="7"/>
  <c r="I27" i="9"/>
  <c r="H27" i="9"/>
  <c r="F14" i="5"/>
  <c r="D35" i="13"/>
  <c r="D39" i="13" s="1"/>
  <c r="C43" i="13"/>
  <c r="C42" i="13"/>
  <c r="D37" i="13"/>
  <c r="E37" i="13" s="1"/>
  <c r="C41" i="13"/>
  <c r="L18" i="74"/>
  <c r="F32" i="36"/>
  <c r="F39" i="7"/>
  <c r="E37" i="7"/>
  <c r="E39" i="7" s="1"/>
  <c r="D37" i="7"/>
  <c r="D39" i="7" s="1"/>
  <c r="C37" i="7"/>
  <c r="C39" i="7" s="1"/>
  <c r="G47" i="62"/>
  <c r="AB11" i="67" s="1"/>
  <c r="M11" i="68"/>
  <c r="M20" i="68" s="1"/>
  <c r="U42" i="66"/>
  <c r="U52" i="66" s="1"/>
  <c r="U54" i="66" s="1"/>
  <c r="U56" i="66" s="1"/>
  <c r="N44" i="3"/>
  <c r="N52" i="3" s="1"/>
  <c r="N65" i="3" s="1"/>
  <c r="N74" i="3" s="1"/>
  <c r="N14" i="4"/>
  <c r="H9" i="11"/>
  <c r="H13" i="11" s="1"/>
  <c r="U17" i="63"/>
  <c r="U21" i="63" s="1"/>
  <c r="L16" i="4"/>
  <c r="L24" i="4" s="1"/>
  <c r="L27" i="4" s="1"/>
  <c r="L49" i="4" s="1"/>
  <c r="L38" i="2"/>
  <c r="L42" i="2" s="1"/>
  <c r="L45" i="2" s="1"/>
  <c r="N44" i="4"/>
  <c r="N47" i="4" s="1"/>
  <c r="N25" i="4"/>
  <c r="F31" i="62"/>
  <c r="S11" i="67"/>
  <c r="M25" i="4"/>
  <c r="E20" i="1"/>
  <c r="E14" i="5"/>
  <c r="D20" i="1"/>
  <c r="D14" i="5"/>
  <c r="F27" i="36"/>
  <c r="F26" i="1" s="1"/>
  <c r="G27" i="9"/>
  <c r="F22" i="36"/>
  <c r="L52" i="74" s="1"/>
  <c r="E37" i="6"/>
  <c r="E40" i="6" s="1"/>
  <c r="K46" i="5"/>
  <c r="L46" i="5"/>
  <c r="P33" i="22"/>
  <c r="O33" i="22"/>
  <c r="N33" i="22"/>
  <c r="P11" i="22"/>
  <c r="G40" i="6"/>
  <c r="G44" i="6"/>
  <c r="G47" i="6" s="1"/>
  <c r="G54" i="6" s="1"/>
  <c r="F78" i="10"/>
  <c r="G80" i="10" s="1"/>
  <c r="G70" i="10"/>
  <c r="G71" i="10"/>
  <c r="F33" i="6"/>
  <c r="F37" i="6"/>
  <c r="K45" i="5"/>
  <c r="L45" i="5"/>
  <c r="K27" i="5"/>
  <c r="L44" i="5"/>
  <c r="K44" i="5"/>
  <c r="L27" i="5"/>
  <c r="D33" i="6"/>
  <c r="D37" i="6"/>
  <c r="K29" i="5"/>
  <c r="L29" i="5"/>
  <c r="K13" i="5"/>
  <c r="L13" i="5"/>
  <c r="K20" i="5"/>
  <c r="L20" i="5"/>
  <c r="E35" i="13" l="1"/>
  <c r="J42" i="13" s="1"/>
  <c r="C17" i="11"/>
  <c r="M27" i="3"/>
  <c r="F27" i="62"/>
  <c r="L50" i="2"/>
  <c r="L46" i="2"/>
  <c r="L47" i="2" s="1"/>
  <c r="M31" i="4"/>
  <c r="M38" i="4" s="1"/>
  <c r="E44" i="6"/>
  <c r="E47" i="6" s="1"/>
  <c r="E54" i="6" s="1"/>
  <c r="K14" i="5"/>
  <c r="L14" i="5"/>
  <c r="G81" i="10"/>
  <c r="O11" i="22"/>
  <c r="N11" i="22"/>
  <c r="P26" i="22"/>
  <c r="G11" i="9" s="1"/>
  <c r="P23" i="22"/>
  <c r="H11" i="9" s="1"/>
  <c r="P22" i="22"/>
  <c r="P25" i="22"/>
  <c r="P24" i="22"/>
  <c r="P30" i="22" s="1"/>
  <c r="P21" i="22"/>
  <c r="I11" i="9" s="1"/>
  <c r="F44" i="6"/>
  <c r="F47" i="6" s="1"/>
  <c r="F54" i="6" s="1"/>
  <c r="F40" i="6"/>
  <c r="D40" i="6"/>
  <c r="D44" i="6"/>
  <c r="D47" i="6" s="1"/>
  <c r="D54" i="6" s="1"/>
  <c r="E36" i="13" l="1"/>
  <c r="J43" i="13" s="1"/>
  <c r="J44" i="13" s="1"/>
  <c r="M11" i="67"/>
  <c r="G21" i="62"/>
  <c r="F37" i="62"/>
  <c r="G31" i="62" s="1"/>
  <c r="M32" i="2"/>
  <c r="M34" i="2" s="1"/>
  <c r="M38" i="2" s="1"/>
  <c r="M42" i="2" s="1"/>
  <c r="M12" i="4"/>
  <c r="M16" i="4" s="1"/>
  <c r="M24" i="4" s="1"/>
  <c r="M27" i="4" s="1"/>
  <c r="M49" i="4" s="1"/>
  <c r="T11" i="68"/>
  <c r="T20" i="68" s="1"/>
  <c r="P32" i="22"/>
  <c r="P35" i="22" s="1"/>
  <c r="P37" i="22" s="1"/>
  <c r="N25" i="22"/>
  <c r="N23" i="22"/>
  <c r="H24" i="9" s="1"/>
  <c r="N21" i="22"/>
  <c r="I24" i="9" s="1"/>
  <c r="N26" i="22"/>
  <c r="G24" i="9" s="1"/>
  <c r="N24" i="22"/>
  <c r="N30" i="22" s="1"/>
  <c r="N32" i="22" s="1"/>
  <c r="N35" i="22" s="1"/>
  <c r="N37" i="22" s="1"/>
  <c r="N22" i="22"/>
  <c r="O26" i="22"/>
  <c r="G23" i="9" s="1"/>
  <c r="O25" i="22"/>
  <c r="O24" i="22"/>
  <c r="O30" i="22" s="1"/>
  <c r="O32" i="22" s="1"/>
  <c r="O35" i="22" s="1"/>
  <c r="O23" i="22"/>
  <c r="H23" i="9" s="1"/>
  <c r="O22" i="22"/>
  <c r="O21" i="22"/>
  <c r="I23" i="9" s="1"/>
  <c r="E39" i="13" l="1"/>
  <c r="J35" i="13" s="1"/>
  <c r="J37" i="13" s="1"/>
  <c r="M26" i="3"/>
  <c r="N11" i="68"/>
  <c r="N20" i="68" s="1"/>
  <c r="T11" i="67"/>
  <c r="M45" i="2"/>
  <c r="M46" i="2"/>
  <c r="M47" i="2" s="1"/>
  <c r="M50" i="2"/>
  <c r="D17" i="11"/>
  <c r="D24" i="11" s="1"/>
  <c r="O37" i="22"/>
  <c r="N27" i="3" l="1"/>
  <c r="N31" i="4"/>
  <c r="N38" i="4" s="1"/>
  <c r="G27" i="62"/>
  <c r="N11" i="67" s="1"/>
  <c r="G37" i="62"/>
  <c r="U11" i="67" s="1"/>
  <c r="N32" i="2"/>
  <c r="N34" i="2" s="1"/>
  <c r="N38" i="2" s="1"/>
  <c r="N42" i="2" s="1"/>
  <c r="N12" i="4"/>
  <c r="N16" i="4" s="1"/>
  <c r="N24" i="4" s="1"/>
  <c r="N27" i="4" s="1"/>
  <c r="U11" i="68"/>
  <c r="U20" i="68" s="1"/>
  <c r="E17" i="11"/>
  <c r="E24" i="11" s="1"/>
  <c r="N49" i="4" l="1"/>
  <c r="N26" i="3"/>
  <c r="N46" i="2"/>
  <c r="N47" i="2" s="1"/>
  <c r="N50" i="2"/>
  <c r="N45" i="2"/>
  <c r="F17" i="11"/>
  <c r="F24" i="11" s="1"/>
  <c r="H17" i="11" l="1"/>
  <c r="G17" i="11"/>
  <c r="G24" i="11" s="1"/>
  <c r="C32" i="11" l="1"/>
  <c r="C36" i="11" s="1"/>
  <c r="E46" i="11" s="1"/>
  <c r="H24" i="11"/>
  <c r="C40" i="11" s="1"/>
  <c r="C41" i="11" l="1"/>
  <c r="C42" i="11" s="1"/>
  <c r="E37" i="11" l="1"/>
  <c r="C47" i="11"/>
  <c r="C50" i="11" l="1"/>
  <c r="E28" i="11" s="1"/>
  <c r="C53" i="11" l="1"/>
  <c r="B10" i="23" l="1"/>
  <c r="B9" i="23"/>
  <c r="B8" i="23"/>
  <c r="B7" i="23"/>
  <c r="B6" i="23"/>
  <c r="G14" i="67" l="1"/>
  <c r="Q14" i="67" s="1"/>
  <c r="Q13" i="67" s="1"/>
  <c r="Q33" i="67" s="1"/>
  <c r="Q54" i="67" s="1"/>
  <c r="G33" i="67"/>
  <c r="G54" i="67" s="1"/>
  <c r="J28" i="3" l="1"/>
  <c r="J36" i="3" s="1"/>
  <c r="J38" i="3" s="1"/>
  <c r="J11" i="3" s="1"/>
  <c r="J17" i="3" s="1"/>
  <c r="X33" i="67"/>
  <c r="X54" i="67" s="1"/>
  <c r="Y33" i="67"/>
  <c r="Y54" i="67" s="1"/>
  <c r="K33" i="67"/>
  <c r="K54" i="67" s="1"/>
  <c r="J33" i="67"/>
  <c r="J54" i="67" s="1"/>
  <c r="U14" i="67"/>
  <c r="T14" i="67"/>
  <c r="S14" i="67"/>
  <c r="R14" i="67"/>
  <c r="R13" i="67" s="1"/>
  <c r="S13" i="67" l="1"/>
  <c r="R33" i="67"/>
  <c r="R54" i="67" s="1"/>
  <c r="K28" i="3"/>
  <c r="K36" i="3" s="1"/>
  <c r="K38" i="3" s="1"/>
  <c r="K11" i="3" s="1"/>
  <c r="K17" i="3" s="1"/>
  <c r="L33" i="67"/>
  <c r="L54" i="67" s="1"/>
  <c r="Z33" i="67"/>
  <c r="Z54" i="67" s="1"/>
  <c r="J40" i="3"/>
  <c r="J76" i="3" s="1"/>
  <c r="K40" i="3" l="1"/>
  <c r="K76" i="3" s="1"/>
  <c r="T13" i="67"/>
  <c r="L28" i="3"/>
  <c r="L36" i="3" s="1"/>
  <c r="L38" i="3" s="1"/>
  <c r="L11" i="3" s="1"/>
  <c r="L17" i="3" s="1"/>
  <c r="S33" i="67"/>
  <c r="S54" i="67" s="1"/>
  <c r="AB33" i="67"/>
  <c r="AB54" i="67" s="1"/>
  <c r="AA33" i="67"/>
  <c r="AA54" i="67" s="1"/>
  <c r="N33" i="67"/>
  <c r="N54" i="67" s="1"/>
  <c r="M33" i="67"/>
  <c r="M54" i="67" s="1"/>
  <c r="L40" i="3" l="1"/>
  <c r="L76" i="3" s="1"/>
  <c r="U13" i="67"/>
  <c r="T33" i="67"/>
  <c r="T54" i="67" s="1"/>
  <c r="M28" i="3"/>
  <c r="M36" i="3" s="1"/>
  <c r="M38" i="3" s="1"/>
  <c r="M11" i="3" s="1"/>
  <c r="M17" i="3" s="1"/>
  <c r="M40" i="3" l="1"/>
  <c r="M76" i="3" s="1"/>
  <c r="N28" i="3"/>
  <c r="N36" i="3" s="1"/>
  <c r="N38" i="3" s="1"/>
  <c r="N11" i="3" s="1"/>
  <c r="N17" i="3" s="1"/>
  <c r="U33" i="67"/>
  <c r="U54" i="67" s="1"/>
  <c r="N40" i="3" l="1"/>
  <c r="N76" i="3" s="1"/>
  <c r="G50" i="67"/>
  <c r="F50" i="67"/>
  <c r="E50" i="67"/>
  <c r="D50" i="67"/>
  <c r="G48" i="67"/>
  <c r="F48" i="67"/>
  <c r="E48" i="67"/>
  <c r="D48" i="67"/>
  <c r="G45" i="67"/>
  <c r="F45" i="67"/>
  <c r="E45" i="67"/>
  <c r="D45" i="67"/>
  <c r="G42" i="67"/>
  <c r="F42" i="67"/>
  <c r="E42" i="67"/>
  <c r="D42" i="67"/>
  <c r="G39" i="67"/>
  <c r="F39" i="67"/>
  <c r="E39" i="67"/>
  <c r="D39" i="67"/>
  <c r="G37" i="67"/>
  <c r="F37" i="67"/>
  <c r="E37" i="67"/>
  <c r="D37" i="67"/>
  <c r="G30" i="67"/>
  <c r="F30" i="67"/>
  <c r="E30" i="67"/>
  <c r="D30" i="67"/>
  <c r="G27" i="67"/>
  <c r="F27" i="67"/>
  <c r="E27" i="67"/>
  <c r="D27" i="67"/>
  <c r="G25" i="67"/>
  <c r="F25" i="67"/>
  <c r="E25" i="67"/>
  <c r="D25" i="67"/>
  <c r="G22" i="67"/>
  <c r="F22" i="67"/>
  <c r="E22" i="67"/>
  <c r="D22" i="67"/>
  <c r="G19" i="67"/>
  <c r="F19" i="67"/>
  <c r="E19" i="67"/>
  <c r="D19" i="67"/>
  <c r="G16" i="67"/>
  <c r="F16" i="67"/>
  <c r="E16" i="67"/>
  <c r="D16" i="67"/>
  <c r="G13" i="67"/>
  <c r="F13" i="67"/>
  <c r="E13" i="67"/>
  <c r="D13" i="67"/>
  <c r="G11" i="67"/>
  <c r="F11" i="67"/>
  <c r="E11" i="67"/>
  <c r="D11" i="67"/>
  <c r="G49" i="66"/>
  <c r="F49" i="66"/>
  <c r="E49" i="66"/>
  <c r="D49" i="66"/>
  <c r="G47" i="66"/>
  <c r="F47" i="66"/>
  <c r="E47" i="66"/>
  <c r="D47" i="66"/>
  <c r="G44" i="66"/>
  <c r="F44" i="66"/>
  <c r="E44" i="66"/>
  <c r="D44" i="66"/>
  <c r="G42" i="66"/>
  <c r="F42" i="66"/>
  <c r="E42" i="66"/>
  <c r="D42" i="66"/>
  <c r="G39" i="66"/>
  <c r="F39" i="66"/>
  <c r="E39" i="66"/>
  <c r="D39" i="66"/>
  <c r="G36" i="66"/>
  <c r="F36" i="66"/>
  <c r="E36" i="66"/>
  <c r="D36" i="66"/>
  <c r="G34" i="66"/>
  <c r="F34" i="66"/>
  <c r="E34" i="66"/>
  <c r="D34" i="66"/>
  <c r="G27" i="66"/>
  <c r="F27" i="66"/>
  <c r="E27" i="66"/>
  <c r="D27" i="66"/>
  <c r="G24" i="66"/>
  <c r="F24" i="66"/>
  <c r="E24" i="66"/>
  <c r="D24" i="66"/>
  <c r="G21" i="66"/>
  <c r="F21" i="66"/>
  <c r="E21" i="66"/>
  <c r="D21" i="66"/>
  <c r="G19" i="66"/>
  <c r="F19" i="66"/>
  <c r="E19" i="66"/>
  <c r="D19" i="66"/>
  <c r="G16" i="66"/>
  <c r="F16" i="66"/>
  <c r="E16" i="66"/>
  <c r="D16" i="66"/>
  <c r="G13" i="66"/>
  <c r="F13" i="66"/>
  <c r="E13" i="66"/>
  <c r="D13" i="66"/>
  <c r="G11" i="66"/>
  <c r="F11" i="66"/>
  <c r="E11" i="66"/>
  <c r="D11" i="66"/>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<sst xmlns="http://schemas.openxmlformats.org/spreadsheetml/2006/main" count="4264" uniqueCount="2970">
  <si>
    <t>INCOME STATEMENT</t>
  </si>
  <si>
    <t>IN CRORES UNLESS STATED OTHERWISE</t>
  </si>
  <si>
    <t>INCOME</t>
  </si>
  <si>
    <t>Total Income</t>
  </si>
  <si>
    <t>COGS</t>
  </si>
  <si>
    <t>Gross Profit</t>
  </si>
  <si>
    <t>S &amp; G Expenses</t>
  </si>
  <si>
    <t>EBITDA</t>
  </si>
  <si>
    <t>Depreciation</t>
  </si>
  <si>
    <t>Interest</t>
  </si>
  <si>
    <t>EBT</t>
  </si>
  <si>
    <t>Tax</t>
  </si>
  <si>
    <t>Net Profit</t>
  </si>
  <si>
    <t>Retained Earnings</t>
  </si>
  <si>
    <t>Number of Equity Shares</t>
  </si>
  <si>
    <t>Dividend per Share</t>
  </si>
  <si>
    <t>Sales</t>
  </si>
  <si>
    <t>Earnings per Share ( in ₹ )</t>
  </si>
  <si>
    <t>BALANCE SHEET</t>
  </si>
  <si>
    <t>ASSETS</t>
  </si>
  <si>
    <t>Current Assets</t>
  </si>
  <si>
    <t>Inventories</t>
  </si>
  <si>
    <t>Trade Receivables</t>
  </si>
  <si>
    <t>Cash Equivalents</t>
  </si>
  <si>
    <t>Loans &amp; Advances</t>
  </si>
  <si>
    <t>Other Asset Items</t>
  </si>
  <si>
    <t>Total Current Assets</t>
  </si>
  <si>
    <t>Non Current Assets</t>
  </si>
  <si>
    <t>Intangiable Assets</t>
  </si>
  <si>
    <t>Other Fixed Assets</t>
  </si>
  <si>
    <t>Total Non Current Assets</t>
  </si>
  <si>
    <t>CWIP</t>
  </si>
  <si>
    <t>LIABILITIES</t>
  </si>
  <si>
    <t>Current Liabilities</t>
  </si>
  <si>
    <t>Trade Payables</t>
  </si>
  <si>
    <t>Total Current Liabilities</t>
  </si>
  <si>
    <t>Non Current Liabilities</t>
  </si>
  <si>
    <t>Long Term Borrowings</t>
  </si>
  <si>
    <t>Lease Liabilities</t>
  </si>
  <si>
    <t>Short Term Borrowings</t>
  </si>
  <si>
    <t>Total Non Current Liabilities</t>
  </si>
  <si>
    <t>EQUITY</t>
  </si>
  <si>
    <t>Total Equity</t>
  </si>
  <si>
    <t>Total Assets</t>
  </si>
  <si>
    <t>Total Liabilities</t>
  </si>
  <si>
    <t>Liability + Equity</t>
  </si>
  <si>
    <t>CHECK</t>
  </si>
  <si>
    <t>CASH FLOW STATEMENT</t>
  </si>
  <si>
    <t>OPERATING ACTIVITY</t>
  </si>
  <si>
    <t>INVESTING ACTIVITY</t>
  </si>
  <si>
    <t>Interest Received</t>
  </si>
  <si>
    <t>FINANCING ACTIVITY</t>
  </si>
  <si>
    <t>COMMON - SIZE INCOME STATEMENT</t>
  </si>
  <si>
    <t>COMMON - SIZE BALANCE SHEET</t>
  </si>
  <si>
    <t>COMMON - SIZE STATEMENT</t>
  </si>
  <si>
    <t>WEIGHTED AVERAGE COST OF CAPITAL</t>
  </si>
  <si>
    <t>YEAR ON YEAR GROWTH %</t>
  </si>
  <si>
    <t>IN % UNLESS STATED OTHERWISE</t>
  </si>
  <si>
    <t>Name of Comp</t>
  </si>
  <si>
    <t>Country</t>
  </si>
  <si>
    <t>Total Debt</t>
  </si>
  <si>
    <t>Debt /</t>
  </si>
  <si>
    <t>Equity</t>
  </si>
  <si>
    <t>Capital</t>
  </si>
  <si>
    <t xml:space="preserve">Levered </t>
  </si>
  <si>
    <t xml:space="preserve">Unlevered </t>
  </si>
  <si>
    <r>
      <t xml:space="preserve">Tax Rate </t>
    </r>
    <r>
      <rPr>
        <b/>
        <vertAlign val="superscript"/>
        <sz val="11"/>
        <color theme="1"/>
        <rFont val="Calibri"/>
        <family val="2"/>
        <scheme val="minor"/>
      </rPr>
      <t>1</t>
    </r>
  </si>
  <si>
    <r>
      <t>Beta</t>
    </r>
    <r>
      <rPr>
        <b/>
        <vertAlign val="superscript"/>
        <sz val="11"/>
        <color theme="1"/>
        <rFont val="Calibri"/>
        <family val="2"/>
        <scheme val="minor"/>
      </rPr>
      <t xml:space="preserve"> 2</t>
    </r>
  </si>
  <si>
    <r>
      <t>Beta</t>
    </r>
    <r>
      <rPr>
        <b/>
        <vertAlign val="superscript"/>
        <sz val="11"/>
        <color theme="1"/>
        <rFont val="Calibri"/>
        <family val="2"/>
        <scheme val="minor"/>
      </rPr>
      <t xml:space="preserve"> 3</t>
    </r>
  </si>
  <si>
    <t>PEER COMPS</t>
  </si>
  <si>
    <t>India</t>
  </si>
  <si>
    <t>Average</t>
  </si>
  <si>
    <t>Median</t>
  </si>
  <si>
    <t>Cost of Debt</t>
  </si>
  <si>
    <t>Pre - Tax Cost of Debt</t>
  </si>
  <si>
    <t>Tax Rate</t>
  </si>
  <si>
    <t>Post Tax Cost of Debt</t>
  </si>
  <si>
    <t>Cost of Equity</t>
  </si>
  <si>
    <t>Risk Free Rate</t>
  </si>
  <si>
    <t>Equity Risk Premium</t>
  </si>
  <si>
    <r>
      <t xml:space="preserve">Levered Beta </t>
    </r>
    <r>
      <rPr>
        <vertAlign val="superscript"/>
        <sz val="11"/>
        <color theme="1"/>
        <rFont val="Calibri"/>
        <family val="2"/>
        <scheme val="minor"/>
      </rPr>
      <t>4</t>
    </r>
  </si>
  <si>
    <t>Capital Structure</t>
  </si>
  <si>
    <t>Current</t>
  </si>
  <si>
    <t>Target</t>
  </si>
  <si>
    <t>Market Capitalization</t>
  </si>
  <si>
    <t>Total Capital</t>
  </si>
  <si>
    <t>Levered Beta</t>
  </si>
  <si>
    <t>Comps Median Unlevered Beta</t>
  </si>
  <si>
    <t>Target Debt / Equity</t>
  </si>
  <si>
    <t>Debt / Equity</t>
  </si>
  <si>
    <t>Weighted Average Cost of Capital</t>
  </si>
  <si>
    <t>Debt</t>
  </si>
  <si>
    <t xml:space="preserve">Total Cost </t>
  </si>
  <si>
    <t>Total Weight</t>
  </si>
  <si>
    <t>WACC</t>
  </si>
  <si>
    <t xml:space="preserve">EBITDA </t>
  </si>
  <si>
    <t>Earnings per Share</t>
  </si>
  <si>
    <t>Date</t>
  </si>
  <si>
    <t>Price</t>
  </si>
  <si>
    <t>Returns</t>
  </si>
  <si>
    <t>NIFTY WEEKLY RETURNS</t>
  </si>
  <si>
    <t>BETA DRIFTING</t>
  </si>
  <si>
    <t>Levered Raw Beta</t>
  </si>
  <si>
    <t>Raw Beta Weight</t>
  </si>
  <si>
    <t>Market Beta Weight</t>
  </si>
  <si>
    <t>Market Beta</t>
  </si>
  <si>
    <t>Adjusted Beta</t>
  </si>
  <si>
    <t>REGRESSION BETA - 2 YEARS WEEKLY</t>
  </si>
  <si>
    <t>By Using Slope Formula</t>
  </si>
  <si>
    <t>Note :</t>
  </si>
  <si>
    <t>COMPS. REGRESSION BETA - 2 YEARS WEEKLY</t>
  </si>
  <si>
    <t xml:space="preserve">Net Working Capital </t>
  </si>
  <si>
    <t>Invested Capital</t>
  </si>
  <si>
    <t>EBIT</t>
  </si>
  <si>
    <t>ROIC</t>
  </si>
  <si>
    <t>Tax Rate Paid</t>
  </si>
  <si>
    <t>CALCULATION OF REINVESTMENT RATE</t>
  </si>
  <si>
    <t>Net CapEx</t>
  </si>
  <si>
    <t>Change in Working Capital</t>
  </si>
  <si>
    <t>Reinvestment</t>
  </si>
  <si>
    <t>Reinvestment Rate</t>
  </si>
  <si>
    <t>EBIT(1-T)</t>
  </si>
  <si>
    <t>4 Year Average</t>
  </si>
  <si>
    <t>4 Year Median</t>
  </si>
  <si>
    <t>CALCULATION OF GROWTH RATE</t>
  </si>
  <si>
    <t>Intrinsic Growth</t>
  </si>
  <si>
    <t>CALCULATION OF PV OF FCFF</t>
  </si>
  <si>
    <t>Less: Reinvestment Rate</t>
  </si>
  <si>
    <t>Free Cash Flow to Firm</t>
  </si>
  <si>
    <t>Mid Year Convention</t>
  </si>
  <si>
    <t>Discounting Factor</t>
  </si>
  <si>
    <t>PV of FCFF</t>
  </si>
  <si>
    <t>Expected Growth</t>
  </si>
  <si>
    <t>Terminal Growth</t>
  </si>
  <si>
    <t>FCFF (n+1)</t>
  </si>
  <si>
    <t>Terminal Growth Rate</t>
  </si>
  <si>
    <t>Terminal Value</t>
  </si>
  <si>
    <t>PV of Terminal Value</t>
  </si>
  <si>
    <t>Value of Operating Assets</t>
  </si>
  <si>
    <t>Add: Cash</t>
  </si>
  <si>
    <t>Add: Debt</t>
  </si>
  <si>
    <t>Value of Equity</t>
  </si>
  <si>
    <t>No. of Shares</t>
  </si>
  <si>
    <t>Equity Value per Share</t>
  </si>
  <si>
    <t>Share Price</t>
  </si>
  <si>
    <t>Discount / Premium</t>
  </si>
  <si>
    <t>CALCULATION OF EQUITY</t>
  </si>
  <si>
    <t>CALCULATION OF TERMINAL VALUE</t>
  </si>
  <si>
    <t>FOOTBALL FIELD ANALYSIS</t>
  </si>
  <si>
    <t>DATA</t>
  </si>
  <si>
    <t>Low</t>
  </si>
  <si>
    <t>High</t>
  </si>
  <si>
    <t>52W H/L</t>
  </si>
  <si>
    <t>RATIO ANALYSIS</t>
  </si>
  <si>
    <t>EBITDA Growth</t>
  </si>
  <si>
    <t>EBIT Growth</t>
  </si>
  <si>
    <t>Net Profit Growth</t>
  </si>
  <si>
    <t>Dividend Growth</t>
  </si>
  <si>
    <t>Gross Margin</t>
  </si>
  <si>
    <t>EBITDA Margin</t>
  </si>
  <si>
    <t>EBIT Margin</t>
  </si>
  <si>
    <t>EBT Margin</t>
  </si>
  <si>
    <t>Net Profit Margin</t>
  </si>
  <si>
    <t>S &amp; G Exp % Sales</t>
  </si>
  <si>
    <t>Depreciation % Sales</t>
  </si>
  <si>
    <t>Operating Income % Sales</t>
  </si>
  <si>
    <t>Return on Capital Employed</t>
  </si>
  <si>
    <t>Retained Earnings %</t>
  </si>
  <si>
    <t>Return on Equity %</t>
  </si>
  <si>
    <t>Self Sustained Growth Rate</t>
  </si>
  <si>
    <t>Interest Coverage Ratio</t>
  </si>
  <si>
    <t>Debtor Turnover Ratio</t>
  </si>
  <si>
    <t>Creditor Turnover Ratio</t>
  </si>
  <si>
    <t>Inventory Turnover</t>
  </si>
  <si>
    <t>Fixed Asset Turnover</t>
  </si>
  <si>
    <t>Capital Turnover Ratio</t>
  </si>
  <si>
    <t>EBT Growth</t>
  </si>
  <si>
    <t xml:space="preserve">Dividend </t>
  </si>
  <si>
    <t>Debtor Days</t>
  </si>
  <si>
    <t>Payable Days</t>
  </si>
  <si>
    <t>Inventory Days</t>
  </si>
  <si>
    <t>Cash Conversion Cycle</t>
  </si>
  <si>
    <t>CFO / Sales</t>
  </si>
  <si>
    <t>CFO / Total Assets</t>
  </si>
  <si>
    <t>CFO / Total Debt</t>
  </si>
  <si>
    <t>IN DAYS</t>
  </si>
  <si>
    <t>TRENDLINE</t>
  </si>
  <si>
    <t xml:space="preserve">MEAN </t>
  </si>
  <si>
    <t>MEDIAN</t>
  </si>
  <si>
    <t>Sales Growth</t>
  </si>
  <si>
    <t>DUPONT ANALYSIS</t>
  </si>
  <si>
    <t>RETURN ON EQUITY</t>
  </si>
  <si>
    <t>Average Shareholder Equity</t>
  </si>
  <si>
    <t>Return on Equity</t>
  </si>
  <si>
    <t>ROE DUPONT EQUATION</t>
  </si>
  <si>
    <t>Average Total Asset</t>
  </si>
  <si>
    <t>Asset Turnover Ratiio</t>
  </si>
  <si>
    <t>Equity Multiplier</t>
  </si>
  <si>
    <t>RETURN ON ASSET</t>
  </si>
  <si>
    <t>Total Average Asset</t>
  </si>
  <si>
    <t>Return on Asset</t>
  </si>
  <si>
    <t>ROA DUPONT EQUATION</t>
  </si>
  <si>
    <t>ALTMAN Z - SCORE CALCULATION</t>
  </si>
  <si>
    <t>Working Capital</t>
  </si>
  <si>
    <t>Working Capital / Total Assets</t>
  </si>
  <si>
    <t>Retained Earnings / Total Assets</t>
  </si>
  <si>
    <t>EBIT / Total Assets</t>
  </si>
  <si>
    <t>Market Cap.</t>
  </si>
  <si>
    <t>Long Term Liabilities</t>
  </si>
  <si>
    <t>Market Cap. / Long Term Liabilities</t>
  </si>
  <si>
    <t>Return on Assets</t>
  </si>
  <si>
    <t xml:space="preserve">ALTMAN Z SCORE </t>
  </si>
  <si>
    <t>Final Score</t>
  </si>
  <si>
    <t>FINANCIAL STABILITY</t>
  </si>
  <si>
    <t>RELATIVE VALUATION</t>
  </si>
  <si>
    <t>KEY FINANCIAL METRICS</t>
  </si>
  <si>
    <t>Total Sales</t>
  </si>
  <si>
    <t>Sales Growth YoY %</t>
  </si>
  <si>
    <t>Gross Profit Margins (%)</t>
  </si>
  <si>
    <t>EBITDA Margins (%)</t>
  </si>
  <si>
    <t>EBIT Margins (%)</t>
  </si>
  <si>
    <t>Net Profit Margins (%)</t>
  </si>
  <si>
    <t>EPS Growth YoY %</t>
  </si>
  <si>
    <t>Dividend per Share ( in ₹ )</t>
  </si>
  <si>
    <t>DPS Growth YoY %</t>
  </si>
  <si>
    <t>EPS</t>
  </si>
  <si>
    <t>SHARE PRICE 5 YEARS</t>
  </si>
  <si>
    <t>KEY FINANCIAL RATIOS</t>
  </si>
  <si>
    <t>Price to Earnings</t>
  </si>
  <si>
    <t>EV / EBITDA</t>
  </si>
  <si>
    <t>Return on Capital Employed (%)</t>
  </si>
  <si>
    <t>Return on Equity (%)</t>
  </si>
  <si>
    <t>TOP 10 SHAREHOLDERS</t>
  </si>
  <si>
    <t>HOLDING %</t>
  </si>
  <si>
    <t>SHARES OUTSTANDING</t>
  </si>
  <si>
    <t>NET DEBT</t>
  </si>
  <si>
    <t>MARKET DATA</t>
  </si>
  <si>
    <t>ENTERPRISE            VALUE</t>
  </si>
  <si>
    <t>REVENUE</t>
  </si>
  <si>
    <t>NET INCOME</t>
  </si>
  <si>
    <t>VALUATION</t>
  </si>
  <si>
    <t>FINANCIALS</t>
  </si>
  <si>
    <t xml:space="preserve">COMPANY </t>
  </si>
  <si>
    <t>TICKER</t>
  </si>
  <si>
    <t>SHARE                      PRICE</t>
  </si>
  <si>
    <t>P/E</t>
  </si>
  <si>
    <t>EV / REVENUE</t>
  </si>
  <si>
    <t>Company</t>
  </si>
  <si>
    <t>Shares Outstanding</t>
  </si>
  <si>
    <t>Market cap</t>
  </si>
  <si>
    <t>Cash</t>
  </si>
  <si>
    <t>EV</t>
  </si>
  <si>
    <t>Implied Enterprise Value</t>
  </si>
  <si>
    <t>Net Debt</t>
  </si>
  <si>
    <t>Implied Market Value</t>
  </si>
  <si>
    <t>Implied Value per Share</t>
  </si>
  <si>
    <t>CONCLUSION</t>
  </si>
  <si>
    <t>VOLUME 5 YEARS</t>
  </si>
  <si>
    <t>MANAGERIAL REMUNERATION</t>
  </si>
  <si>
    <t>CAPITAL STRUCTURE</t>
  </si>
  <si>
    <t>DESIGNATION</t>
  </si>
  <si>
    <t>REMUNERATION</t>
  </si>
  <si>
    <t>X OF MEDIAN SALARY</t>
  </si>
  <si>
    <t>SHAREHOLDING PATTERN</t>
  </si>
  <si>
    <t>Current Price</t>
  </si>
  <si>
    <t xml:space="preserve">Less: Cash </t>
  </si>
  <si>
    <t>Less: Debt</t>
  </si>
  <si>
    <t>Less: Min. Interest</t>
  </si>
  <si>
    <t>Enterprise Value</t>
  </si>
  <si>
    <t xml:space="preserve">NO. OF SHARES </t>
  </si>
  <si>
    <t>Return</t>
  </si>
  <si>
    <t>Sorted Return</t>
  </si>
  <si>
    <t>Mean</t>
  </si>
  <si>
    <t>Std. Deviation</t>
  </si>
  <si>
    <t>Min</t>
  </si>
  <si>
    <t>Max</t>
  </si>
  <si>
    <t>Percentile</t>
  </si>
  <si>
    <t>VAR</t>
  </si>
  <si>
    <t>Confidence</t>
  </si>
  <si>
    <t>VAR (in ₹)</t>
  </si>
  <si>
    <t>CMP</t>
  </si>
  <si>
    <t>Replication</t>
  </si>
  <si>
    <t>Sim. Results</t>
  </si>
  <si>
    <t>Historical Approach</t>
  </si>
  <si>
    <t>Monte Carlo Sim.</t>
  </si>
  <si>
    <t>VALUE AT RISK</t>
  </si>
  <si>
    <t>Market Cap (Cr.)</t>
  </si>
  <si>
    <r>
      <t>75</t>
    </r>
    <r>
      <rPr>
        <vertAlign val="superscript"/>
        <sz val="11"/>
        <color theme="1"/>
        <rFont val="Calibri"/>
        <family val="2"/>
        <scheme val="minor"/>
      </rPr>
      <t xml:space="preserve">th </t>
    </r>
    <r>
      <rPr>
        <sz val="11"/>
        <color theme="1"/>
        <rFont val="Calibri"/>
        <family val="2"/>
        <scheme val="minor"/>
      </rPr>
      <t>Percentile</t>
    </r>
  </si>
  <si>
    <r>
      <t>25</t>
    </r>
    <r>
      <rPr>
        <vertAlign val="superscript"/>
        <sz val="11"/>
        <color theme="1"/>
        <rFont val="Calibri"/>
        <family val="2"/>
        <scheme val="minor"/>
      </rPr>
      <t>th</t>
    </r>
    <r>
      <rPr>
        <sz val="11"/>
        <color theme="1"/>
        <rFont val="Calibri"/>
        <family val="2"/>
        <scheme val="minor"/>
      </rPr>
      <t xml:space="preserve"> Percentile</t>
    </r>
  </si>
  <si>
    <t>Other Income</t>
  </si>
  <si>
    <t>DIRECT EXPENSES</t>
  </si>
  <si>
    <t>INDIRECT EXPENSES</t>
  </si>
  <si>
    <t>Total Direct Expenses</t>
  </si>
  <si>
    <t>Total Indirect Expenses</t>
  </si>
  <si>
    <t>DATA PROFIT AND LOSS STATEMENT</t>
  </si>
  <si>
    <t>Particulars</t>
  </si>
  <si>
    <t>Revenue from Operations</t>
  </si>
  <si>
    <t>Expenses</t>
  </si>
  <si>
    <t>Cost of Materials Consumed</t>
  </si>
  <si>
    <t>Purchases of Stock-in-Trade</t>
  </si>
  <si>
    <t>Changes in Inventories (FG &amp; WIP)</t>
  </si>
  <si>
    <t>Power &amp; Fuel</t>
  </si>
  <si>
    <t>Freight &amp; Forwarding</t>
  </si>
  <si>
    <t>Employee Benefits Expense</t>
  </si>
  <si>
    <t>Finance Costs</t>
  </si>
  <si>
    <t>Depreciation &amp; Amortisation</t>
  </si>
  <si>
    <t>Other Expenses</t>
  </si>
  <si>
    <t>Total Expenses</t>
  </si>
  <si>
    <t>Profit before Tax (PBT)</t>
  </si>
  <si>
    <t>Tax Expense</t>
  </si>
  <si>
    <t>Profit after Tax (PAT)</t>
  </si>
  <si>
    <t>Other Comprehensive Income (net)</t>
  </si>
  <si>
    <t>Total Comprehensive Income</t>
  </si>
  <si>
    <t>EPS (₹) – Basic/Diluted</t>
  </si>
  <si>
    <t>DATA BALANCE SHEET</t>
  </si>
  <si>
    <t>Non-Current Assets</t>
  </si>
  <si>
    <t>Property, Plant &amp; Equipment</t>
  </si>
  <si>
    <t>Capital Work-in-Progress</t>
  </si>
  <si>
    <t>Right of Use Assets</t>
  </si>
  <si>
    <t>Intangible Assets</t>
  </si>
  <si>
    <t>Financial Assets – Others</t>
  </si>
  <si>
    <t>Other Non-Current Assets</t>
  </si>
  <si>
    <t>Total Non-Current Assets</t>
  </si>
  <si>
    <t>Cash &amp; Cash Equivalents</t>
  </si>
  <si>
    <t>Bank Balances other than C&amp;CE</t>
  </si>
  <si>
    <t>Loans</t>
  </si>
  <si>
    <t>Other Current Assets</t>
  </si>
  <si>
    <t>EQUITY &amp; LIABILITIES</t>
  </si>
  <si>
    <t>Equity Share Capital</t>
  </si>
  <si>
    <t>Other Equity</t>
  </si>
  <si>
    <t>Non-Current Liabilities</t>
  </si>
  <si>
    <t>Borrowings</t>
  </si>
  <si>
    <t>Provisions</t>
  </si>
  <si>
    <t>Deferred Tax Liabilities (Net)</t>
  </si>
  <si>
    <t>Other Non-Current Liabilities</t>
  </si>
  <si>
    <t>Total Non-Current Liabilities</t>
  </si>
  <si>
    <t>Other Financial Liabilities</t>
  </si>
  <si>
    <t>Current Tax Liabilities (Net)</t>
  </si>
  <si>
    <t>Other Current Liabilities</t>
  </si>
  <si>
    <t>Total Equity &amp; Liabilities</t>
  </si>
  <si>
    <t>DATA CASH FLOW STATEMENT</t>
  </si>
  <si>
    <t>ULTRA - TECH CEMENT</t>
  </si>
  <si>
    <t>The Engineer's Choice</t>
  </si>
  <si>
    <t>NSE : INE481G01011 | BSE Code : 532538</t>
  </si>
  <si>
    <t>ABOUT ULTRA - TECH CEMENT</t>
  </si>
  <si>
    <t>PPE</t>
  </si>
  <si>
    <t>Financial Assets - Other</t>
  </si>
  <si>
    <t>Long Term Provisions</t>
  </si>
  <si>
    <t>Short Term Lease Liabilities</t>
  </si>
  <si>
    <t>FY2021</t>
  </si>
  <si>
    <t>FY2022</t>
  </si>
  <si>
    <t>FY2023</t>
  </si>
  <si>
    <t>FY2024</t>
  </si>
  <si>
    <t>A. Cash Flow from Operating Activities</t>
  </si>
  <si>
    <t>Profit Before Tax</t>
  </si>
  <si>
    <t>Cash Generated from Operations</t>
  </si>
  <si>
    <t>Direct Taxes Paid</t>
  </si>
  <si>
    <t>Net Cash from Operating Activities (A)</t>
  </si>
  <si>
    <t>Purchase of Property, Plant &amp; Equipment (PPE)</t>
  </si>
  <si>
    <t>Purchase of Investments</t>
  </si>
  <si>
    <t>Dividend Received</t>
  </si>
  <si>
    <t>Net Cash from Investing Activities (B)</t>
  </si>
  <si>
    <t>B. Cash Flow from Investing Activities</t>
  </si>
  <si>
    <t>C. Cash Flow from Financing Activities</t>
  </si>
  <si>
    <t>Net Cash from Financing Activities (C)</t>
  </si>
  <si>
    <t>ULTRA - TECH WEEKLY RETURNS</t>
  </si>
  <si>
    <t xml:space="preserve">Sales </t>
  </si>
  <si>
    <t xml:space="preserve">Net Profit </t>
  </si>
  <si>
    <t>COMPARABLE COMPANIES</t>
  </si>
  <si>
    <t>Note : Data is taken from reliable source like screener, investing.com &amp; such</t>
  </si>
  <si>
    <t>HISTORICAL DATA</t>
  </si>
  <si>
    <t>29/12/2024</t>
  </si>
  <si>
    <t>22/12/2024</t>
  </si>
  <si>
    <t>15/12/2024</t>
  </si>
  <si>
    <t>24/11/2024</t>
  </si>
  <si>
    <t>17/11/2024</t>
  </si>
  <si>
    <t>27/10/2024</t>
  </si>
  <si>
    <t>20/10/2024</t>
  </si>
  <si>
    <t>13/10/2024</t>
  </si>
  <si>
    <t>31/12/2023</t>
  </si>
  <si>
    <t>24/12/2023</t>
  </si>
  <si>
    <t>17/12/2023</t>
  </si>
  <si>
    <t>26/11/2023</t>
  </si>
  <si>
    <t>19/11/2023</t>
  </si>
  <si>
    <t>29/10/2023</t>
  </si>
  <si>
    <t>22/10/2023</t>
  </si>
  <si>
    <t>15/10/2023</t>
  </si>
  <si>
    <t>31/8/2025</t>
  </si>
  <si>
    <t>24/8/2025</t>
  </si>
  <si>
    <t>17/8/2025</t>
  </si>
  <si>
    <t>27/7/2025</t>
  </si>
  <si>
    <t>20/7/2025</t>
  </si>
  <si>
    <t>13/7/2025</t>
  </si>
  <si>
    <t>29/6/2025</t>
  </si>
  <si>
    <t>22/6/2025</t>
  </si>
  <si>
    <t>15/6/2025</t>
  </si>
  <si>
    <t>25/5/2025</t>
  </si>
  <si>
    <t>18/5/2025</t>
  </si>
  <si>
    <t>27/4/2025</t>
  </si>
  <si>
    <t>20/4/2025</t>
  </si>
  <si>
    <t>13/4/2025</t>
  </si>
  <si>
    <t>30/3/2025</t>
  </si>
  <si>
    <t>23/3/2025</t>
  </si>
  <si>
    <t>16/3/2025</t>
  </si>
  <si>
    <t>23/2/2025</t>
  </si>
  <si>
    <t>16/2/2025</t>
  </si>
  <si>
    <t>26/1/2025</t>
  </si>
  <si>
    <t>19/1/2025</t>
  </si>
  <si>
    <t>29/9/2024</t>
  </si>
  <si>
    <t>22/9/2024</t>
  </si>
  <si>
    <t>15/9/2024</t>
  </si>
  <si>
    <t>25/8/2024</t>
  </si>
  <si>
    <t>18/8/2024</t>
  </si>
  <si>
    <t>28/7/2024</t>
  </si>
  <si>
    <t>21/7/2024</t>
  </si>
  <si>
    <t>14/7/2024</t>
  </si>
  <si>
    <t>30/6/2024</t>
  </si>
  <si>
    <t>23/6/2024</t>
  </si>
  <si>
    <t>16/6/2024</t>
  </si>
  <si>
    <t>26/5/2024</t>
  </si>
  <si>
    <t>19/5/2024</t>
  </si>
  <si>
    <t>28/4/2024</t>
  </si>
  <si>
    <t>21/4/2024</t>
  </si>
  <si>
    <t>14/4/2024</t>
  </si>
  <si>
    <t>31/3/2024</t>
  </si>
  <si>
    <t>24/3/2024</t>
  </si>
  <si>
    <t>17/3/2024</t>
  </si>
  <si>
    <t>25/2/2024</t>
  </si>
  <si>
    <t>18/2/2024</t>
  </si>
  <si>
    <t>28/1/2024</t>
  </si>
  <si>
    <t>21/1/2024</t>
  </si>
  <si>
    <t>14/1/2024</t>
  </si>
  <si>
    <t>24/9/2023</t>
  </si>
  <si>
    <t>17/9/2023</t>
  </si>
  <si>
    <t>ULTRA - TECH CEMENT DATA</t>
  </si>
  <si>
    <t>NIFTY 50 DATA</t>
  </si>
  <si>
    <t>AMBUJA CEMENTS</t>
  </si>
  <si>
    <t>SHREE CEMENT</t>
  </si>
  <si>
    <t>J K CEMENTS</t>
  </si>
  <si>
    <t>ACC</t>
  </si>
  <si>
    <t>Ambuja Cements</t>
  </si>
  <si>
    <t>Shree Cements</t>
  </si>
  <si>
    <t>J K Cements</t>
  </si>
  <si>
    <t>SHREE CEMENTS</t>
  </si>
  <si>
    <t>Dalmia Bharat Ltd.</t>
  </si>
  <si>
    <t>THE ENGINEER'S CHOICE</t>
  </si>
  <si>
    <t>ULTRA - TECH 20 YEARS DAILY HISTORICAL DATA</t>
  </si>
  <si>
    <t>CALCULATION OF VALUE AT RISK - ULTRA - TECH. (HISTORICAL)</t>
  </si>
  <si>
    <t>UltraTech Cement, part of the Aditya Birla Group, is India’s largest cement producer with over 150 MTPA capacity and operations across multiple countries. Headquartered in Mumbai, it manufactures grey cement, white cement, RMC, &amp; various building products under brands like Birla White. Company has grown rapidly through major acquisitions such as Jaypee, Century, Binani, and India Cements. Recently, it expanded into the wires and cables business and reported strong profits, reinforcing investor confidence. Committed to sustainability, they are pursuing net-zero targets while facing regulatory and safety challenges. UltraTech remains India’s cement leader.</t>
  </si>
  <si>
    <t>Ultra - Tech Cement</t>
  </si>
  <si>
    <t>ULTRA - TECH COMPARABLE VALUATION</t>
  </si>
  <si>
    <t>Price per Share</t>
  </si>
  <si>
    <t>Book Value per Share</t>
  </si>
  <si>
    <t>Price to Book</t>
  </si>
  <si>
    <t>Price to Sales</t>
  </si>
  <si>
    <t>Dividend Yield</t>
  </si>
  <si>
    <t>Shareholder's Equity</t>
  </si>
  <si>
    <t>Debt to Equity</t>
  </si>
  <si>
    <t>PEG Ratio</t>
  </si>
  <si>
    <t>ESTIMATE</t>
  </si>
  <si>
    <t>Choose Scenario is as follows</t>
  </si>
  <si>
    <t>Dividend Payout Ratio</t>
  </si>
  <si>
    <t>Note : Estimate is followed by or based on the best, base &amp; worst case conditions which are calculated in income statement assumption sheet. It is also followed by choose function for easier data visualization.</t>
  </si>
  <si>
    <t>REVENUE SCHEDULE</t>
  </si>
  <si>
    <t>Dividends Paid</t>
  </si>
  <si>
    <t>Other Financial Assets</t>
  </si>
  <si>
    <t>SENSITIVITY TEST (EQUITY VALUE PER SHARE)</t>
  </si>
  <si>
    <t>Comps P/E</t>
  </si>
  <si>
    <t>DCF to Equity</t>
  </si>
  <si>
    <t>Analyst Price T.</t>
  </si>
  <si>
    <t>Ramco Cements</t>
  </si>
  <si>
    <t>Middle</t>
  </si>
  <si>
    <t xml:space="preserve">Low </t>
  </si>
  <si>
    <t xml:space="preserve">Middle </t>
  </si>
  <si>
    <t xml:space="preserve">EV/EBITDA </t>
  </si>
  <si>
    <t>EV/Sales</t>
  </si>
  <si>
    <t>Current EV</t>
  </si>
  <si>
    <t>SENSITIVITY TEST (VALUE OF OPERATING ASSETS)</t>
  </si>
  <si>
    <t>SENSITIVITY TEST (TERMINAL VALUE)</t>
  </si>
  <si>
    <t>All the sensitivity tests is used in football field analysis</t>
  </si>
  <si>
    <t>Value of Op. Assets</t>
  </si>
  <si>
    <t>RAMCO CEMENTS</t>
  </si>
  <si>
    <t>Total Debt % (Best Case)</t>
  </si>
  <si>
    <t>Total Debt % (Base Case)</t>
  </si>
  <si>
    <t>Total Debt % (Worst Case)</t>
  </si>
  <si>
    <t>Remarks</t>
  </si>
  <si>
    <t>P/B</t>
  </si>
  <si>
    <t>EV/EBITDA</t>
  </si>
  <si>
    <t>Dividend Yeild</t>
  </si>
  <si>
    <t>Always being traded around 4x - 5x</t>
  </si>
  <si>
    <t>Good</t>
  </si>
  <si>
    <t>Consistent</t>
  </si>
  <si>
    <t>Perfect</t>
  </si>
  <si>
    <t>ULTRACEMCO</t>
  </si>
  <si>
    <t>AMBUJACEM</t>
  </si>
  <si>
    <t>SHREECEM</t>
  </si>
  <si>
    <t>JKCEMENT</t>
  </si>
  <si>
    <t>DALBHARAT</t>
  </si>
  <si>
    <t>RAMCOCEM</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</si>
  <si>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</si>
  <si>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</si>
  <si>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</si>
  <si>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</si>
  <si>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</si>
  <si>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</si>
  <si>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</si>
  <si>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</si>
  <si>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</si>
  <si>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</si>
  <si>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</si>
  <si>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</si>
  <si>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</si>
  <si>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</si>
  <si>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</si>
  <si>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</si>
  <si>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</si>
  <si>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</si>
  <si>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</si>
  <si>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</si>
  <si>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</si>
  <si>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</si>
  <si>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</si>
  <si>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</si>
  <si>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</si>
  <si>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Mr. Kailash Chandra Jhanwar</t>
  </si>
  <si>
    <t>247:1</t>
  </si>
  <si>
    <t>124:1</t>
  </si>
  <si>
    <t>0.57:1</t>
  </si>
  <si>
    <t>Mr. Vivek Agarwal</t>
  </si>
  <si>
    <t>Mr. Kumar Mangalam Birla</t>
  </si>
  <si>
    <t>Chairman</t>
  </si>
  <si>
    <t>Whole Time Director &amp; CMO</t>
  </si>
  <si>
    <t>Managing Director</t>
  </si>
  <si>
    <t>REPRESENTATION</t>
  </si>
  <si>
    <t>VALUE (IN CR.)</t>
  </si>
  <si>
    <t>(9) GIC Pte Ltd.</t>
  </si>
  <si>
    <r>
      <rPr>
        <b/>
        <sz val="11"/>
        <color rgb="FFFFFF00"/>
        <rFont val="Calibri"/>
        <family val="2"/>
        <scheme val="minor"/>
      </rPr>
      <t>(1)</t>
    </r>
    <r>
      <rPr>
        <sz val="11"/>
        <color theme="1"/>
        <rFont val="Calibri"/>
        <family val="2"/>
        <scheme val="minor"/>
      </rPr>
      <t xml:space="preserve"> Grasim Industries Ltd.</t>
    </r>
  </si>
  <si>
    <r>
      <rPr>
        <sz val="11"/>
        <color rgb="FFC00000"/>
        <rFont val="Calibri"/>
        <family val="2"/>
        <scheme val="minor"/>
      </rPr>
      <t>(2)</t>
    </r>
    <r>
      <rPr>
        <sz val="11"/>
        <color theme="1"/>
        <rFont val="Calibri"/>
        <family val="2"/>
        <scheme val="minor"/>
      </rPr>
      <t xml:space="preserve"> Life Insurance Corporation of India</t>
    </r>
  </si>
  <si>
    <r>
      <rPr>
        <sz val="11"/>
        <color theme="1" tint="0.499984740745262"/>
        <rFont val="Calibri"/>
        <family val="2"/>
        <scheme val="minor"/>
      </rPr>
      <t>(3)</t>
    </r>
    <r>
      <rPr>
        <sz val="11"/>
        <color theme="1"/>
        <rFont val="Calibri"/>
        <family val="2"/>
        <scheme val="minor"/>
      </rPr>
      <t xml:space="preserve"> ICICI Prudential Asset Management Co. Ltd.</t>
    </r>
  </si>
  <si>
    <r>
      <rPr>
        <sz val="11"/>
        <color theme="7" tint="-0.249977111117893"/>
        <rFont val="Calibri"/>
        <family val="2"/>
        <scheme val="minor"/>
      </rPr>
      <t>(4)</t>
    </r>
    <r>
      <rPr>
        <sz val="11"/>
        <color theme="1"/>
        <rFont val="Calibri"/>
        <family val="2"/>
        <scheme val="minor"/>
      </rPr>
      <t xml:space="preserve"> Blackrock Inc.</t>
    </r>
  </si>
  <si>
    <r>
      <rPr>
        <sz val="11"/>
        <color theme="4"/>
        <rFont val="Calibri"/>
        <family val="2"/>
        <scheme val="minor"/>
      </rPr>
      <t>(5)</t>
    </r>
    <r>
      <rPr>
        <sz val="11"/>
        <color theme="1"/>
        <rFont val="Calibri"/>
        <family val="2"/>
        <scheme val="minor"/>
      </rPr>
      <t xml:space="preserve"> Vanguard Group Inc.</t>
    </r>
  </si>
  <si>
    <r>
      <rPr>
        <sz val="11"/>
        <color theme="9"/>
        <rFont val="Calibri"/>
        <family val="2"/>
        <scheme val="minor"/>
      </rPr>
      <t>(6)</t>
    </r>
    <r>
      <rPr>
        <sz val="11"/>
        <color theme="1"/>
        <rFont val="Calibri"/>
        <family val="2"/>
        <scheme val="minor"/>
      </rPr>
      <t xml:space="preserve"> Aditya Birla Management Corporation Pvt. Ltd.</t>
    </r>
  </si>
  <si>
    <r>
      <rPr>
        <sz val="11"/>
        <color theme="4" tint="-0.499984740745262"/>
        <rFont val="Calibri"/>
        <family val="2"/>
        <scheme val="minor"/>
      </rPr>
      <t>(7)</t>
    </r>
    <r>
      <rPr>
        <sz val="11"/>
        <color theme="1"/>
        <rFont val="Calibri"/>
        <family val="2"/>
        <scheme val="minor"/>
      </rPr>
      <t xml:space="preserve"> Sbi Pension Funds Private Ltd.</t>
    </r>
  </si>
  <si>
    <r>
      <rPr>
        <sz val="11"/>
        <color theme="7" tint="-0.499984740745262"/>
        <rFont val="Calibri"/>
        <family val="2"/>
        <scheme val="minor"/>
      </rPr>
      <t>(8)</t>
    </r>
    <r>
      <rPr>
        <sz val="11"/>
        <color theme="1"/>
        <rFont val="Calibri"/>
        <family val="2"/>
        <scheme val="minor"/>
      </rPr>
      <t xml:space="preserve"> Sbi Funds Management Ltd.</t>
    </r>
  </si>
  <si>
    <r>
      <rPr>
        <sz val="11"/>
        <color theme="5" tint="-0.249977111117893"/>
        <rFont val="Calibri"/>
        <family val="2"/>
        <scheme val="minor"/>
      </rPr>
      <t>(10)</t>
    </r>
    <r>
      <rPr>
        <sz val="11"/>
        <color theme="1"/>
        <rFont val="Calibri"/>
        <family val="2"/>
        <scheme val="minor"/>
      </rPr>
      <t xml:space="preserve"> Kotak Mahindra Asset Management Co. Ltd.</t>
    </r>
  </si>
  <si>
    <t>5 YEAR DATA</t>
  </si>
  <si>
    <t>Volume</t>
  </si>
  <si>
    <t>443.20K</t>
  </si>
  <si>
    <t>571.67K</t>
  </si>
  <si>
    <t>190.08K</t>
  </si>
  <si>
    <t>264.32K</t>
  </si>
  <si>
    <t>189.04K</t>
  </si>
  <si>
    <t>179.53K</t>
  </si>
  <si>
    <t>153.09K</t>
  </si>
  <si>
    <t>132.66K</t>
  </si>
  <si>
    <t>175.58K</t>
  </si>
  <si>
    <t>240.23K</t>
  </si>
  <si>
    <t>126.45K</t>
  </si>
  <si>
    <t>153.77K</t>
  </si>
  <si>
    <t>305.04K</t>
  </si>
  <si>
    <t>140.02K</t>
  </si>
  <si>
    <t>214.10K</t>
  </si>
  <si>
    <t>214.24K</t>
  </si>
  <si>
    <t>177.86K</t>
  </si>
  <si>
    <t>283.68K</t>
  </si>
  <si>
    <t>290.32K</t>
  </si>
  <si>
    <t>199.19K</t>
  </si>
  <si>
    <t>226.95K</t>
  </si>
  <si>
    <t>155.46K</t>
  </si>
  <si>
    <t>290.96K</t>
  </si>
  <si>
    <t>351.25K</t>
  </si>
  <si>
    <t>808.48K</t>
  </si>
  <si>
    <t>235.74K</t>
  </si>
  <si>
    <t>207.36K</t>
  </si>
  <si>
    <t>334.10K</t>
  </si>
  <si>
    <t>218.61K</t>
  </si>
  <si>
    <t>201.77K</t>
  </si>
  <si>
    <t>202.03K</t>
  </si>
  <si>
    <t>192.09K</t>
  </si>
  <si>
    <t>267.54K</t>
  </si>
  <si>
    <t>207.88K</t>
  </si>
  <si>
    <t>212.57K</t>
  </si>
  <si>
    <t>150.38K</t>
  </si>
  <si>
    <t>185.68K</t>
  </si>
  <si>
    <t>208.45K</t>
  </si>
  <si>
    <t>214.11K</t>
  </si>
  <si>
    <t>290.38K</t>
  </si>
  <si>
    <t>180.08K</t>
  </si>
  <si>
    <t>189.62K</t>
  </si>
  <si>
    <t>533.62K</t>
  </si>
  <si>
    <t>512.52K</t>
  </si>
  <si>
    <t>98.34K</t>
  </si>
  <si>
    <t>166.14K</t>
  </si>
  <si>
    <t>156.31K</t>
  </si>
  <si>
    <t>154.12K</t>
  </si>
  <si>
    <t>278.92K</t>
  </si>
  <si>
    <t>240.03K</t>
  </si>
  <si>
    <t>269.32K</t>
  </si>
  <si>
    <t>379.92K</t>
  </si>
  <si>
    <t>219.23K</t>
  </si>
  <si>
    <t>149.94K</t>
  </si>
  <si>
    <t>191.52K</t>
  </si>
  <si>
    <t>275.76K</t>
  </si>
  <si>
    <t>445.83K</t>
  </si>
  <si>
    <t>207.44K</t>
  </si>
  <si>
    <t>333.10K</t>
  </si>
  <si>
    <t>501.29K</t>
  </si>
  <si>
    <t>506.58K</t>
  </si>
  <si>
    <t>253.13K</t>
  </si>
  <si>
    <t>735.70K</t>
  </si>
  <si>
    <t>304.91K</t>
  </si>
  <si>
    <t>629.90K</t>
  </si>
  <si>
    <t>157.76K</t>
  </si>
  <si>
    <t>156.82K</t>
  </si>
  <si>
    <t>121.42K</t>
  </si>
  <si>
    <t>401.10K</t>
  </si>
  <si>
    <t>181.36K</t>
  </si>
  <si>
    <t>262.53K</t>
  </si>
  <si>
    <t>237.75K</t>
  </si>
  <si>
    <t>279.92K</t>
  </si>
  <si>
    <t>209.23K</t>
  </si>
  <si>
    <t>143.72K</t>
  </si>
  <si>
    <t>191.18K</t>
  </si>
  <si>
    <t>345.05K</t>
  </si>
  <si>
    <t>349.62K</t>
  </si>
  <si>
    <t>314.94K</t>
  </si>
  <si>
    <t>394.18K</t>
  </si>
  <si>
    <t>350.21K</t>
  </si>
  <si>
    <t>201.20K</t>
  </si>
  <si>
    <t>478.35K</t>
  </si>
  <si>
    <t>198.00K</t>
  </si>
  <si>
    <t>181.46K</t>
  </si>
  <si>
    <t>175.37K</t>
  </si>
  <si>
    <t>173.02K</t>
  </si>
  <si>
    <t>158.93K</t>
  </si>
  <si>
    <t>128.24K</t>
  </si>
  <si>
    <t>209.71K</t>
  </si>
  <si>
    <t>371.37K</t>
  </si>
  <si>
    <t>179.34K</t>
  </si>
  <si>
    <t>307.68K</t>
  </si>
  <si>
    <t>182.80K</t>
  </si>
  <si>
    <t>200.27K</t>
  </si>
  <si>
    <t>388.91K</t>
  </si>
  <si>
    <t>217.46K</t>
  </si>
  <si>
    <t>273.05K</t>
  </si>
  <si>
    <t>145.70K</t>
  </si>
  <si>
    <t>255.25K</t>
  </si>
  <si>
    <t>630.39K</t>
  </si>
  <si>
    <t>516.50K</t>
  </si>
  <si>
    <t>516.75K</t>
  </si>
  <si>
    <t>412.56K</t>
  </si>
  <si>
    <t>339.74K</t>
  </si>
  <si>
    <t>267.72K</t>
  </si>
  <si>
    <t>334.67K</t>
  </si>
  <si>
    <t>230.60K</t>
  </si>
  <si>
    <t>290.47K</t>
  </si>
  <si>
    <t>268.15K</t>
  </si>
  <si>
    <t>345.26K</t>
  </si>
  <si>
    <t>351.04K</t>
  </si>
  <si>
    <t>230.61K</t>
  </si>
  <si>
    <t>602.12K</t>
  </si>
  <si>
    <t>484.51K</t>
  </si>
  <si>
    <t>222.19K</t>
  </si>
  <si>
    <t>361.88K</t>
  </si>
  <si>
    <t>376.47K</t>
  </si>
  <si>
    <t>263.14K</t>
  </si>
  <si>
    <t>280.96K</t>
  </si>
  <si>
    <t>406.11K</t>
  </si>
  <si>
    <t>401.57K</t>
  </si>
  <si>
    <t>754.46K</t>
  </si>
  <si>
    <t>294.69K</t>
  </si>
  <si>
    <t>656.57K</t>
  </si>
  <si>
    <t>549.25K</t>
  </si>
  <si>
    <t>269.18K</t>
  </si>
  <si>
    <t>354.62K</t>
  </si>
  <si>
    <t>212.06K</t>
  </si>
  <si>
    <t>219.47K</t>
  </si>
  <si>
    <t>299.77K</t>
  </si>
  <si>
    <t>180.75K</t>
  </si>
  <si>
    <t>165.65K</t>
  </si>
  <si>
    <t>302.34K</t>
  </si>
  <si>
    <t>365.92K</t>
  </si>
  <si>
    <t>310.83K</t>
  </si>
  <si>
    <t>352.92K</t>
  </si>
  <si>
    <t>835.34K</t>
  </si>
  <si>
    <t>296.50K</t>
  </si>
  <si>
    <t>175.29K</t>
  </si>
  <si>
    <t>320.24K</t>
  </si>
  <si>
    <t>142.19K</t>
  </si>
  <si>
    <t>157.58K</t>
  </si>
  <si>
    <t>268.80K</t>
  </si>
  <si>
    <t>166.05K</t>
  </si>
  <si>
    <t>279.20K</t>
  </si>
  <si>
    <t>336.13K</t>
  </si>
  <si>
    <t>347.20K</t>
  </si>
  <si>
    <t>301.34K</t>
  </si>
  <si>
    <t>262.46K</t>
  </si>
  <si>
    <t>310.55K</t>
  </si>
  <si>
    <t>308.66K</t>
  </si>
  <si>
    <t>236.90K</t>
  </si>
  <si>
    <t>314.75K</t>
  </si>
  <si>
    <t>450.59K</t>
  </si>
  <si>
    <t>513.60K</t>
  </si>
  <si>
    <t>361.66K</t>
  </si>
  <si>
    <t>274.82K</t>
  </si>
  <si>
    <t>377.76K</t>
  </si>
  <si>
    <t>436.71K</t>
  </si>
  <si>
    <t>414.99K</t>
  </si>
  <si>
    <t>545.94K</t>
  </si>
  <si>
    <t>249.55K</t>
  </si>
  <si>
    <t>593.84K</t>
  </si>
  <si>
    <t>332.06K</t>
  </si>
  <si>
    <t>297.76K</t>
  </si>
  <si>
    <t>375.91K</t>
  </si>
  <si>
    <t>371.46K</t>
  </si>
  <si>
    <t>344.40K</t>
  </si>
  <si>
    <t>225.90K</t>
  </si>
  <si>
    <t>228.62K</t>
  </si>
  <si>
    <t>196.56K</t>
  </si>
  <si>
    <t>159.58K</t>
  </si>
  <si>
    <t>197.21K</t>
  </si>
  <si>
    <t>139.82K</t>
  </si>
  <si>
    <t>237.65K</t>
  </si>
  <si>
    <t>267.61K</t>
  </si>
  <si>
    <t>107.95K</t>
  </si>
  <si>
    <t>241.74K</t>
  </si>
  <si>
    <t>164.73K</t>
  </si>
  <si>
    <t>118.41K</t>
  </si>
  <si>
    <t>144.28K</t>
  </si>
  <si>
    <t>108.00K</t>
  </si>
  <si>
    <t>149.35K</t>
  </si>
  <si>
    <t>299.80K</t>
  </si>
  <si>
    <t>162.25K</t>
  </si>
  <si>
    <t>222.90K</t>
  </si>
  <si>
    <t>244.64K</t>
  </si>
  <si>
    <t>214.95K</t>
  </si>
  <si>
    <t>408.88K</t>
  </si>
  <si>
    <t>247.81K</t>
  </si>
  <si>
    <t>527.03K</t>
  </si>
  <si>
    <t>232.76K</t>
  </si>
  <si>
    <t>268.18K</t>
  </si>
  <si>
    <t>193.32K</t>
  </si>
  <si>
    <t>436.37K</t>
  </si>
  <si>
    <t>306.77K</t>
  </si>
  <si>
    <t>501.81K</t>
  </si>
  <si>
    <t>633.69K</t>
  </si>
  <si>
    <t>367.57K</t>
  </si>
  <si>
    <t>326.14K</t>
  </si>
  <si>
    <t>330.28K</t>
  </si>
  <si>
    <t>243.71K</t>
  </si>
  <si>
    <t>465.06K</t>
  </si>
  <si>
    <t>328.43K</t>
  </si>
  <si>
    <t>256.92K</t>
  </si>
  <si>
    <t>220.36K</t>
  </si>
  <si>
    <t>424.19K</t>
  </si>
  <si>
    <t>297.44K</t>
  </si>
  <si>
    <t>216.90K</t>
  </si>
  <si>
    <t>166.35K</t>
  </si>
  <si>
    <t>107.47K</t>
  </si>
  <si>
    <t>155.89K</t>
  </si>
  <si>
    <t>326.25K</t>
  </si>
  <si>
    <t>282.49K</t>
  </si>
  <si>
    <t>274.42K</t>
  </si>
  <si>
    <t>276.98K</t>
  </si>
  <si>
    <t>19.03K</t>
  </si>
  <si>
    <t>423.69K</t>
  </si>
  <si>
    <t>239.93K</t>
  </si>
  <si>
    <t>266.76K</t>
  </si>
  <si>
    <t>229.11K</t>
  </si>
  <si>
    <t>519.65K</t>
  </si>
  <si>
    <t>341.40K</t>
  </si>
  <si>
    <t>351.72K</t>
  </si>
  <si>
    <t>793.89K</t>
  </si>
  <si>
    <t>566.67K</t>
  </si>
  <si>
    <t>330.70K</t>
  </si>
  <si>
    <t>353.33K</t>
  </si>
  <si>
    <t>276.81K</t>
  </si>
  <si>
    <t>182.29K</t>
  </si>
  <si>
    <t>144.16K</t>
  </si>
  <si>
    <t>120.28K</t>
  </si>
  <si>
    <t>180.54K</t>
  </si>
  <si>
    <t>286.38K</t>
  </si>
  <si>
    <t>447.22K</t>
  </si>
  <si>
    <t>374.66K</t>
  </si>
  <si>
    <t>357.28K</t>
  </si>
  <si>
    <t>304.61K</t>
  </si>
  <si>
    <t>324.91K</t>
  </si>
  <si>
    <t>405.49K</t>
  </si>
  <si>
    <t>404.28K</t>
  </si>
  <si>
    <t>277.08K</t>
  </si>
  <si>
    <t>196.69K</t>
  </si>
  <si>
    <t>242.04K</t>
  </si>
  <si>
    <t>279.32K</t>
  </si>
  <si>
    <t>608.79K</t>
  </si>
  <si>
    <t>227.25K</t>
  </si>
  <si>
    <t>185.07K</t>
  </si>
  <si>
    <t>202.73K</t>
  </si>
  <si>
    <t>257.86K</t>
  </si>
  <si>
    <t>279.66K</t>
  </si>
  <si>
    <t>455.93K</t>
  </si>
  <si>
    <t>141.34K</t>
  </si>
  <si>
    <t>237.50K</t>
  </si>
  <si>
    <t>154.67K</t>
  </si>
  <si>
    <t>245.25K</t>
  </si>
  <si>
    <t>406.82K</t>
  </si>
  <si>
    <t>198.19K</t>
  </si>
  <si>
    <t>181.72K</t>
  </si>
  <si>
    <t>248.67K</t>
  </si>
  <si>
    <t>462.19K</t>
  </si>
  <si>
    <t>406.26K</t>
  </si>
  <si>
    <t>201.10K</t>
  </si>
  <si>
    <t>184.43K</t>
  </si>
  <si>
    <t>234.22K</t>
  </si>
  <si>
    <t>258.73K</t>
  </si>
  <si>
    <t>305.46K</t>
  </si>
  <si>
    <t>456.79K</t>
  </si>
  <si>
    <t>421.08K</t>
  </si>
  <si>
    <t>244.26K</t>
  </si>
  <si>
    <t>435.63K</t>
  </si>
  <si>
    <t>404.67K</t>
  </si>
  <si>
    <t>189.97K</t>
  </si>
  <si>
    <t>200.41K</t>
  </si>
  <si>
    <t>189.23K</t>
  </si>
  <si>
    <t>290.35K</t>
  </si>
  <si>
    <t>230.21K</t>
  </si>
  <si>
    <t>368.95K</t>
  </si>
  <si>
    <t>400.84K</t>
  </si>
  <si>
    <t>273.42K</t>
  </si>
  <si>
    <t>250.13K</t>
  </si>
  <si>
    <t>322.53K</t>
  </si>
  <si>
    <t>438.11K</t>
  </si>
  <si>
    <t>496.44K</t>
  </si>
  <si>
    <t>333.21K</t>
  </si>
  <si>
    <t>254.68K</t>
  </si>
  <si>
    <t>268.14K</t>
  </si>
  <si>
    <t>525.16K</t>
  </si>
  <si>
    <t>573.83K</t>
  </si>
  <si>
    <t>514.15K</t>
  </si>
  <si>
    <t>731.27K</t>
  </si>
  <si>
    <t>556.06K</t>
  </si>
  <si>
    <t>394.47K</t>
  </si>
  <si>
    <t>366.27K</t>
  </si>
  <si>
    <t>366.82K</t>
  </si>
  <si>
    <t>202.41K</t>
  </si>
  <si>
    <t>530.90K</t>
  </si>
  <si>
    <t>149.21K</t>
  </si>
  <si>
    <t>425.99K</t>
  </si>
  <si>
    <t>227.23K</t>
  </si>
  <si>
    <t>206.17K</t>
  </si>
  <si>
    <t>422.17K</t>
  </si>
  <si>
    <t>520.34K</t>
  </si>
  <si>
    <t>684.79K</t>
  </si>
  <si>
    <t>793.20K</t>
  </si>
  <si>
    <t>562.08K</t>
  </si>
  <si>
    <t>276.15K</t>
  </si>
  <si>
    <t>586.75K</t>
  </si>
  <si>
    <t>445.37K</t>
  </si>
  <si>
    <t>659.27K</t>
  </si>
  <si>
    <t>322.72K</t>
  </si>
  <si>
    <t>305.32K</t>
  </si>
  <si>
    <t>602.32K</t>
  </si>
  <si>
    <t>439.14K</t>
  </si>
  <si>
    <t>650.14K</t>
  </si>
  <si>
    <t>705.26K</t>
  </si>
  <si>
    <t>545.28K</t>
  </si>
  <si>
    <t>483.57K</t>
  </si>
  <si>
    <t>361.72K</t>
  </si>
  <si>
    <t>972.02K</t>
  </si>
  <si>
    <t>732.63K</t>
  </si>
  <si>
    <t>791.07K</t>
  </si>
  <si>
    <t>323.42K</t>
  </si>
  <si>
    <t>317.88K</t>
  </si>
  <si>
    <t>403.77K</t>
  </si>
  <si>
    <t>389.33K</t>
  </si>
  <si>
    <t>519.42K</t>
  </si>
  <si>
    <t>521.62K</t>
  </si>
  <si>
    <t>280.24K</t>
  </si>
  <si>
    <t>346.95K</t>
  </si>
  <si>
    <t>12.29K</t>
  </si>
  <si>
    <t>283.85K</t>
  </si>
  <si>
    <t>368.45K</t>
  </si>
  <si>
    <t>161.07K</t>
  </si>
  <si>
    <t>171.94K</t>
  </si>
  <si>
    <t>215.39K</t>
  </si>
  <si>
    <t>205.20K</t>
  </si>
  <si>
    <t>328.72K</t>
  </si>
  <si>
    <t>392.07K</t>
  </si>
  <si>
    <t>214.31K</t>
  </si>
  <si>
    <t>238.52K</t>
  </si>
  <si>
    <t>517.35K</t>
  </si>
  <si>
    <t>318.86K</t>
  </si>
  <si>
    <t>777.84K</t>
  </si>
  <si>
    <t>808.51K</t>
  </si>
  <si>
    <t>265.78K</t>
  </si>
  <si>
    <t>398.26K</t>
  </si>
  <si>
    <t>317.93K</t>
  </si>
  <si>
    <t>317.45K</t>
  </si>
  <si>
    <t>277.78K</t>
  </si>
  <si>
    <t>415.56K</t>
  </si>
  <si>
    <t>584.27K</t>
  </si>
  <si>
    <t>547.65K</t>
  </si>
  <si>
    <t>220.69K</t>
  </si>
  <si>
    <t>440.96K</t>
  </si>
  <si>
    <t>186.22K</t>
  </si>
  <si>
    <t>275.92K</t>
  </si>
  <si>
    <t>215.23K</t>
  </si>
  <si>
    <t>280.08K</t>
  </si>
  <si>
    <t>346.38K</t>
  </si>
  <si>
    <t>481.86K</t>
  </si>
  <si>
    <t>307.11K</t>
  </si>
  <si>
    <t>387.44K</t>
  </si>
  <si>
    <t>506.39K</t>
  </si>
  <si>
    <t>267.94K</t>
  </si>
  <si>
    <t>397.80K</t>
  </si>
  <si>
    <t>224.51K</t>
  </si>
  <si>
    <t>215.84K</t>
  </si>
  <si>
    <t>171.22K</t>
  </si>
  <si>
    <t>316.01K</t>
  </si>
  <si>
    <t>226.45K</t>
  </si>
  <si>
    <t>379.65K</t>
  </si>
  <si>
    <t>347.82K</t>
  </si>
  <si>
    <t>415.93K</t>
  </si>
  <si>
    <t>235.43K</t>
  </si>
  <si>
    <t>319.30K</t>
  </si>
  <si>
    <t>585.01K</t>
  </si>
  <si>
    <t>534.83K</t>
  </si>
  <si>
    <t>310.72K</t>
  </si>
  <si>
    <t>221.28K</t>
  </si>
  <si>
    <t>6.96K</t>
  </si>
  <si>
    <t>352.95K</t>
  </si>
  <si>
    <t>328.85K</t>
  </si>
  <si>
    <t>300.67K</t>
  </si>
  <si>
    <t>214.19K</t>
  </si>
  <si>
    <t>162.53K</t>
  </si>
  <si>
    <t>304.24K</t>
  </si>
  <si>
    <t>363.84K</t>
  </si>
  <si>
    <t>322.96K</t>
  </si>
  <si>
    <t>320.91K</t>
  </si>
  <si>
    <t>109.78K</t>
  </si>
  <si>
    <t>250.55K</t>
  </si>
  <si>
    <t>415.09K</t>
  </si>
  <si>
    <t>417.80K</t>
  </si>
  <si>
    <t>276.45K</t>
  </si>
  <si>
    <t>191.69K</t>
  </si>
  <si>
    <t>400.82K</t>
  </si>
  <si>
    <t>250.18K</t>
  </si>
  <si>
    <t>250.87K</t>
  </si>
  <si>
    <t>162.47K</t>
  </si>
  <si>
    <t>334.39K</t>
  </si>
  <si>
    <t>401.50K</t>
  </si>
  <si>
    <t>341.57K</t>
  </si>
  <si>
    <t>368.83K</t>
  </si>
  <si>
    <t>334.46K</t>
  </si>
  <si>
    <t>296.27K</t>
  </si>
  <si>
    <t>272.42K</t>
  </si>
  <si>
    <t>580.29K</t>
  </si>
  <si>
    <t>138.26K</t>
  </si>
  <si>
    <t>567.62K</t>
  </si>
  <si>
    <t>278.34K</t>
  </si>
  <si>
    <t>252.82K</t>
  </si>
  <si>
    <t>146.78K</t>
  </si>
  <si>
    <t>273.93K</t>
  </si>
  <si>
    <t>376.82K</t>
  </si>
  <si>
    <t>375.21K</t>
  </si>
  <si>
    <t>374.33K</t>
  </si>
  <si>
    <t>242.93K</t>
  </si>
  <si>
    <t>176.84K</t>
  </si>
  <si>
    <t>163.19K</t>
  </si>
  <si>
    <t>313.76K</t>
  </si>
  <si>
    <t>179.58K</t>
  </si>
  <si>
    <t>337.53K</t>
  </si>
  <si>
    <t>97.68K</t>
  </si>
  <si>
    <t>243.09K</t>
  </si>
  <si>
    <t>421.41K</t>
  </si>
  <si>
    <t>658.12K</t>
  </si>
  <si>
    <t>226.11K</t>
  </si>
  <si>
    <t>226.94K</t>
  </si>
  <si>
    <t>216.73K</t>
  </si>
  <si>
    <t>501.45K</t>
  </si>
  <si>
    <t>675.17K</t>
  </si>
  <si>
    <t>266.56K</t>
  </si>
  <si>
    <t>439.52K</t>
  </si>
  <si>
    <t>710.42K</t>
  </si>
  <si>
    <t>588.08K</t>
  </si>
  <si>
    <t>311.76K</t>
  </si>
  <si>
    <t>346.83K</t>
  </si>
  <si>
    <t>308.91K</t>
  </si>
  <si>
    <t>448.46K</t>
  </si>
  <si>
    <t>473.57K</t>
  </si>
  <si>
    <t>353.02K</t>
  </si>
  <si>
    <t>207.73K</t>
  </si>
  <si>
    <t>343.34K</t>
  </si>
  <si>
    <t>197.28K</t>
  </si>
  <si>
    <t>344.27K</t>
  </si>
  <si>
    <t>325.32K</t>
  </si>
  <si>
    <t>183.51K</t>
  </si>
  <si>
    <t>174.31K</t>
  </si>
  <si>
    <t>151.82K</t>
  </si>
  <si>
    <t>233.43K</t>
  </si>
  <si>
    <t>192.35K</t>
  </si>
  <si>
    <t>64.41K</t>
  </si>
  <si>
    <t>13.69K</t>
  </si>
  <si>
    <t>128.14K</t>
  </si>
  <si>
    <t>132.37K</t>
  </si>
  <si>
    <t>206.36K</t>
  </si>
  <si>
    <t>194.72K</t>
  </si>
  <si>
    <t>243.69K</t>
  </si>
  <si>
    <t>200.59K</t>
  </si>
  <si>
    <t>218.91K</t>
  </si>
  <si>
    <t>244.07K</t>
  </si>
  <si>
    <t>227.68K</t>
  </si>
  <si>
    <t>637.43K</t>
  </si>
  <si>
    <t>255.68K</t>
  </si>
  <si>
    <t>217.55K</t>
  </si>
  <si>
    <t>539.29K</t>
  </si>
  <si>
    <t>837.50K</t>
  </si>
  <si>
    <t>322.14K</t>
  </si>
  <si>
    <t>205.23K</t>
  </si>
  <si>
    <t>363.99K</t>
  </si>
  <si>
    <t>285.08K</t>
  </si>
  <si>
    <t>177.70K</t>
  </si>
  <si>
    <t>439.62K</t>
  </si>
  <si>
    <t>187.02K</t>
  </si>
  <si>
    <t>152.53K</t>
  </si>
  <si>
    <t>158.49K</t>
  </si>
  <si>
    <t>310.51K</t>
  </si>
  <si>
    <t>884.37K</t>
  </si>
  <si>
    <t>454.40K</t>
  </si>
  <si>
    <t>320.97K</t>
  </si>
  <si>
    <t>370.43K</t>
  </si>
  <si>
    <t>541.64K</t>
  </si>
  <si>
    <t>515.80K</t>
  </si>
  <si>
    <t>467.42K</t>
  </si>
  <si>
    <t>524.83K</t>
  </si>
  <si>
    <t>393.95K</t>
  </si>
  <si>
    <t>317.40K</t>
  </si>
  <si>
    <t>129.31K</t>
  </si>
  <si>
    <t>357.25K</t>
  </si>
  <si>
    <t>311.97K</t>
  </si>
  <si>
    <t>321.02K</t>
  </si>
  <si>
    <t>335.82K</t>
  </si>
  <si>
    <t>131.69K</t>
  </si>
  <si>
    <t>125.96K</t>
  </si>
  <si>
    <t>203.48K</t>
  </si>
  <si>
    <t>327.85K</t>
  </si>
  <si>
    <t>210.59K</t>
  </si>
  <si>
    <t>620.11K</t>
  </si>
  <si>
    <t>215.64K</t>
  </si>
  <si>
    <t>482.61K</t>
  </si>
  <si>
    <t>223.23K</t>
  </si>
  <si>
    <t>230.71K</t>
  </si>
  <si>
    <t>327.78K</t>
  </si>
  <si>
    <t>191.15K</t>
  </si>
  <si>
    <t>273.84K</t>
  </si>
  <si>
    <t>208.55K</t>
  </si>
  <si>
    <t>193.11K</t>
  </si>
  <si>
    <t>216.79K</t>
  </si>
  <si>
    <t>265.26K</t>
  </si>
  <si>
    <t>248.72K</t>
  </si>
  <si>
    <t>282.78K</t>
  </si>
  <si>
    <t>544.31K</t>
  </si>
  <si>
    <t>293.10K</t>
  </si>
  <si>
    <t>296.18K</t>
  </si>
  <si>
    <t>222.34K</t>
  </si>
  <si>
    <t>166.01K</t>
  </si>
  <si>
    <t>195.30K</t>
  </si>
  <si>
    <t>248.05K</t>
  </si>
  <si>
    <t>390.60K</t>
  </si>
  <si>
    <t>134.41K</t>
  </si>
  <si>
    <t>217.56K</t>
  </si>
  <si>
    <t>240.04K</t>
  </si>
  <si>
    <t>205.00K</t>
  </si>
  <si>
    <t>216.82K</t>
  </si>
  <si>
    <t>191.35K</t>
  </si>
  <si>
    <t>583.17K</t>
  </si>
  <si>
    <t>482.81K</t>
  </si>
  <si>
    <t>656.73K</t>
  </si>
  <si>
    <t>307.20K</t>
  </si>
  <si>
    <t>150.43K</t>
  </si>
  <si>
    <t>280.53K</t>
  </si>
  <si>
    <t>202.74K</t>
  </si>
  <si>
    <t>249.25K</t>
  </si>
  <si>
    <t>272.84K</t>
  </si>
  <si>
    <t>508.97K</t>
  </si>
  <si>
    <t>300.38K</t>
  </si>
  <si>
    <t>173.23K</t>
  </si>
  <si>
    <t>354.70K</t>
  </si>
  <si>
    <t>275.69K</t>
  </si>
  <si>
    <t>195.35K</t>
  </si>
  <si>
    <t>206.68K</t>
  </si>
  <si>
    <t>373.70K</t>
  </si>
  <si>
    <t>225.75K</t>
  </si>
  <si>
    <t>282.12K</t>
  </si>
  <si>
    <t>236.56K</t>
  </si>
  <si>
    <t>241.86K</t>
  </si>
  <si>
    <t>198.26K</t>
  </si>
  <si>
    <t>226.65K</t>
  </si>
  <si>
    <t>373.93K</t>
  </si>
  <si>
    <t>343.19K</t>
  </si>
  <si>
    <t>187.49K</t>
  </si>
  <si>
    <t>356.98K</t>
  </si>
  <si>
    <t>406.20K</t>
  </si>
  <si>
    <t>289.64K</t>
  </si>
  <si>
    <t>249.20K</t>
  </si>
  <si>
    <t>195.13K</t>
  </si>
  <si>
    <t>325.81K</t>
  </si>
  <si>
    <t>349.09K</t>
  </si>
  <si>
    <t>298.65K</t>
  </si>
  <si>
    <t>635.24K</t>
  </si>
  <si>
    <t>186.02K</t>
  </si>
  <si>
    <t>248.33K</t>
  </si>
  <si>
    <t>184.64K</t>
  </si>
  <si>
    <t>414.79K</t>
  </si>
  <si>
    <t>210.77K</t>
  </si>
  <si>
    <t>252.08K</t>
  </si>
  <si>
    <t>257.36K</t>
  </si>
  <si>
    <t>160.57K</t>
  </si>
  <si>
    <t>149.29K</t>
  </si>
  <si>
    <t>139.60K</t>
  </si>
  <si>
    <t>138.71K</t>
  </si>
  <si>
    <t>157.71K</t>
  </si>
  <si>
    <t>205.63K</t>
  </si>
  <si>
    <t>250.49K</t>
  </si>
  <si>
    <t>183.59K</t>
  </si>
  <si>
    <t>246.80K</t>
  </si>
  <si>
    <t>320.22K</t>
  </si>
  <si>
    <t>234.88K</t>
  </si>
  <si>
    <t>289.80K</t>
  </si>
  <si>
    <t>295.16K</t>
  </si>
  <si>
    <t>319.65K</t>
  </si>
  <si>
    <t>232.20K</t>
  </si>
  <si>
    <t>384.43K</t>
  </si>
  <si>
    <t>544.73K</t>
  </si>
  <si>
    <t>457.49K</t>
  </si>
  <si>
    <t>205.18K</t>
  </si>
  <si>
    <t>230.25K</t>
  </si>
  <si>
    <t>285.45K</t>
  </si>
  <si>
    <t>513.77K</t>
  </si>
  <si>
    <t>388.41K</t>
  </si>
  <si>
    <t>263.43K</t>
  </si>
  <si>
    <t>341.30K</t>
  </si>
  <si>
    <t>437.23K</t>
  </si>
  <si>
    <t>488.29K</t>
  </si>
  <si>
    <t>292.57K</t>
  </si>
  <si>
    <t>264.42K</t>
  </si>
  <si>
    <t>354.80K</t>
  </si>
  <si>
    <t>226.98K</t>
  </si>
  <si>
    <t>233.49K</t>
  </si>
  <si>
    <t>360.58K</t>
  </si>
  <si>
    <t>378.46K</t>
  </si>
  <si>
    <t>445.35K</t>
  </si>
  <si>
    <t>249.78K</t>
  </si>
  <si>
    <t>251.63K</t>
  </si>
  <si>
    <t>228.99K</t>
  </si>
  <si>
    <t>232.91K</t>
  </si>
  <si>
    <t>381.60K</t>
  </si>
  <si>
    <t>350.52K</t>
  </si>
  <si>
    <t>520.04K</t>
  </si>
  <si>
    <t>383.51K</t>
  </si>
  <si>
    <t>459.81K</t>
  </si>
  <si>
    <t>265.54K</t>
  </si>
  <si>
    <t>210.98K</t>
  </si>
  <si>
    <t>176.58K</t>
  </si>
  <si>
    <t>154.32K</t>
  </si>
  <si>
    <t>158.81K</t>
  </si>
  <si>
    <t>237.79K</t>
  </si>
  <si>
    <t>154.82K</t>
  </si>
  <si>
    <t>408.75K</t>
  </si>
  <si>
    <t>180.18K</t>
  </si>
  <si>
    <t>317.22K</t>
  </si>
  <si>
    <t>429.26K</t>
  </si>
  <si>
    <t>295.09K</t>
  </si>
  <si>
    <t>206.60K</t>
  </si>
  <si>
    <t>286.75K</t>
  </si>
  <si>
    <t>402.55K</t>
  </si>
  <si>
    <t>399.49K</t>
  </si>
  <si>
    <t>713.50K</t>
  </si>
  <si>
    <t>264.07K</t>
  </si>
  <si>
    <t>404.97K</t>
  </si>
  <si>
    <t>328.42K</t>
  </si>
  <si>
    <t>323.24K</t>
  </si>
  <si>
    <t>407.82K</t>
  </si>
  <si>
    <t>334.53K</t>
  </si>
  <si>
    <t>559.70K</t>
  </si>
  <si>
    <t>295.07K</t>
  </si>
  <si>
    <t>314.45K</t>
  </si>
  <si>
    <t>364.20K</t>
  </si>
  <si>
    <t>647.19K</t>
  </si>
  <si>
    <t>648.02K</t>
  </si>
  <si>
    <t>593.22K</t>
  </si>
  <si>
    <t>699.27K</t>
  </si>
  <si>
    <t>635.58K</t>
  </si>
  <si>
    <t>509.30K</t>
  </si>
  <si>
    <t>444.19K</t>
  </si>
  <si>
    <t>998.10K</t>
  </si>
  <si>
    <t>353.29K</t>
  </si>
  <si>
    <t>412.00K</t>
  </si>
  <si>
    <t>447.74K</t>
  </si>
  <si>
    <t>385.73K</t>
  </si>
  <si>
    <t>440.50K</t>
  </si>
  <si>
    <t>462.13K</t>
  </si>
  <si>
    <t>566.49K</t>
  </si>
  <si>
    <t>295.41K</t>
  </si>
  <si>
    <t>263.89K</t>
  </si>
  <si>
    <t>298.47K</t>
  </si>
  <si>
    <t>160.18K</t>
  </si>
  <si>
    <t>236.57K</t>
  </si>
  <si>
    <t>319.22K</t>
  </si>
  <si>
    <t>188.32K</t>
  </si>
  <si>
    <t>212.58K</t>
  </si>
  <si>
    <t>232.32K</t>
  </si>
  <si>
    <t>449.12K</t>
  </si>
  <si>
    <t>260.02K</t>
  </si>
  <si>
    <t>295.14K</t>
  </si>
  <si>
    <t>328.41K</t>
  </si>
  <si>
    <t>289.66K</t>
  </si>
  <si>
    <t>338.71K</t>
  </si>
  <si>
    <t>388.17K</t>
  </si>
  <si>
    <t>488.12K</t>
  </si>
  <si>
    <t>251.22K</t>
  </si>
  <si>
    <t>285.18K</t>
  </si>
  <si>
    <t>241.61K</t>
  </si>
  <si>
    <t>226.18K</t>
  </si>
  <si>
    <t>285.71K</t>
  </si>
  <si>
    <t>260.58K</t>
  </si>
  <si>
    <t>211.58K</t>
  </si>
  <si>
    <t>262.83K</t>
  </si>
  <si>
    <t>324.94K</t>
  </si>
  <si>
    <t>312.84K</t>
  </si>
  <si>
    <t>235.89K</t>
  </si>
  <si>
    <t>442.74K</t>
  </si>
  <si>
    <t>489.96K</t>
  </si>
  <si>
    <t>336.27K</t>
  </si>
  <si>
    <t>239.44K</t>
  </si>
  <si>
    <t>377.89K</t>
  </si>
  <si>
    <t>297.23K</t>
  </si>
  <si>
    <t>258.95K</t>
  </si>
  <si>
    <t>393.51K</t>
  </si>
  <si>
    <t>249.50K</t>
  </si>
  <si>
    <t>297.00K</t>
  </si>
  <si>
    <t>196.80K</t>
  </si>
  <si>
    <t>307.35K</t>
  </si>
  <si>
    <t>625.27K</t>
  </si>
  <si>
    <t>484.48K</t>
  </si>
  <si>
    <t>293.20K</t>
  </si>
  <si>
    <t>330.40K</t>
  </si>
  <si>
    <t>312.75K</t>
  </si>
  <si>
    <t>353.34K</t>
  </si>
  <si>
    <t>646.41K</t>
  </si>
  <si>
    <t>217.70K</t>
  </si>
  <si>
    <t>255.63K</t>
  </si>
  <si>
    <t>429.86K</t>
  </si>
  <si>
    <t>538.11K</t>
  </si>
  <si>
    <t>151.83K</t>
  </si>
  <si>
    <t>248.56K</t>
  </si>
  <si>
    <t>313.50K</t>
  </si>
  <si>
    <t>56.53K</t>
  </si>
  <si>
    <t>307.90K</t>
  </si>
  <si>
    <t>476.96K</t>
  </si>
  <si>
    <t>919.15K</t>
  </si>
  <si>
    <t>558.28K</t>
  </si>
  <si>
    <t>453.91K</t>
  </si>
  <si>
    <t>249.29K</t>
  </si>
  <si>
    <t>314.36K</t>
  </si>
  <si>
    <t>223.35K</t>
  </si>
  <si>
    <t>276.53K</t>
  </si>
  <si>
    <t>282.64K</t>
  </si>
  <si>
    <t>454.88K</t>
  </si>
  <si>
    <t>495.62K</t>
  </si>
  <si>
    <t>307.27K</t>
  </si>
  <si>
    <t>337.93K</t>
  </si>
  <si>
    <t>442.89K</t>
  </si>
  <si>
    <t>407.57K</t>
  </si>
  <si>
    <t>378.90K</t>
  </si>
  <si>
    <t>467.96K</t>
  </si>
  <si>
    <t>497.46K</t>
  </si>
  <si>
    <t>570.53K</t>
  </si>
  <si>
    <t>492.10K</t>
  </si>
  <si>
    <t>616.17K</t>
  </si>
  <si>
    <t>373.83K</t>
  </si>
  <si>
    <t>808.81K</t>
  </si>
  <si>
    <t>831.64K</t>
  </si>
  <si>
    <t>437.58K</t>
  </si>
  <si>
    <t>543.95K</t>
  </si>
  <si>
    <t>412.30K</t>
  </si>
  <si>
    <t>488.04K</t>
  </si>
  <si>
    <t>567.06K</t>
  </si>
  <si>
    <t>879.69K</t>
  </si>
  <si>
    <t>918.60K</t>
  </si>
  <si>
    <t>341.22K</t>
  </si>
  <si>
    <t>385.31K</t>
  </si>
  <si>
    <t>268.51K</t>
  </si>
  <si>
    <t>386.22K</t>
  </si>
  <si>
    <t>467.15K</t>
  </si>
  <si>
    <t>366.46K</t>
  </si>
  <si>
    <t>415.70K</t>
  </si>
  <si>
    <t>470.69K</t>
  </si>
  <si>
    <t>223.10K</t>
  </si>
  <si>
    <t>379.31K</t>
  </si>
  <si>
    <t>345.96K</t>
  </si>
  <si>
    <t>641.29K</t>
  </si>
  <si>
    <t>300.99K</t>
  </si>
  <si>
    <t>341.06K</t>
  </si>
  <si>
    <t>270.30K</t>
  </si>
  <si>
    <t>269.93K</t>
  </si>
  <si>
    <t>303.39K</t>
  </si>
  <si>
    <t>271.29K</t>
  </si>
  <si>
    <t>313.91K</t>
  </si>
  <si>
    <t>741.25K</t>
  </si>
  <si>
    <t>275.82K</t>
  </si>
  <si>
    <t>266.36K</t>
  </si>
  <si>
    <t>274.66K</t>
  </si>
  <si>
    <t>414.34K</t>
  </si>
  <si>
    <t>360.85K</t>
  </si>
  <si>
    <t>462.46K</t>
  </si>
  <si>
    <t>424.07K</t>
  </si>
  <si>
    <t>549.44K</t>
  </si>
  <si>
    <t>919.05K</t>
  </si>
  <si>
    <t>328.61K</t>
  </si>
  <si>
    <t>371.19K</t>
  </si>
  <si>
    <t>555.57K</t>
  </si>
  <si>
    <t>512.93K</t>
  </si>
  <si>
    <t>255.75K</t>
  </si>
  <si>
    <t>285.69K</t>
  </si>
  <si>
    <t>263.69K</t>
  </si>
  <si>
    <t>171.92K</t>
  </si>
  <si>
    <t>189.67K</t>
  </si>
  <si>
    <t>410.98K</t>
  </si>
  <si>
    <t>261.59K</t>
  </si>
  <si>
    <t>371.95K</t>
  </si>
  <si>
    <t>307.97K</t>
  </si>
  <si>
    <t>165.96K</t>
  </si>
  <si>
    <t>329.61K</t>
  </si>
  <si>
    <t>572.82K</t>
  </si>
  <si>
    <t>490.62K</t>
  </si>
  <si>
    <t>278.11K</t>
  </si>
  <si>
    <t>226.61K</t>
  </si>
  <si>
    <t>265.86K</t>
  </si>
  <si>
    <t>296.71K</t>
  </si>
  <si>
    <t>214.82K</t>
  </si>
  <si>
    <t>292.41K</t>
  </si>
  <si>
    <t>506.14K</t>
  </si>
  <si>
    <t>819.35K</t>
  </si>
  <si>
    <t>732.23K</t>
  </si>
  <si>
    <t>286.76K</t>
  </si>
  <si>
    <t>610.91K</t>
  </si>
  <si>
    <t>441.35K</t>
  </si>
  <si>
    <t>493.49K</t>
  </si>
  <si>
    <t>375.31K</t>
  </si>
  <si>
    <t>605.18K</t>
  </si>
  <si>
    <t>999.72K</t>
  </si>
  <si>
    <t>320.09K</t>
  </si>
  <si>
    <t>268.63K</t>
  </si>
  <si>
    <t>431.47K</t>
  </si>
  <si>
    <t>330.56K</t>
  </si>
  <si>
    <t>290.63K</t>
  </si>
  <si>
    <t>512.95K</t>
  </si>
  <si>
    <t>571.57K</t>
  </si>
  <si>
    <t>458.96K</t>
  </si>
  <si>
    <t>528.57K</t>
  </si>
  <si>
    <t>374.54K</t>
  </si>
  <si>
    <t>259.11K</t>
  </si>
  <si>
    <t>637.18K</t>
  </si>
  <si>
    <t>685.66K</t>
  </si>
  <si>
    <t>323.73K</t>
  </si>
  <si>
    <t>217.45K</t>
  </si>
  <si>
    <t>359.46K</t>
  </si>
  <si>
    <t>355.29K</t>
  </si>
  <si>
    <t>499.91K</t>
  </si>
  <si>
    <t>344.37K</t>
  </si>
  <si>
    <t>228.46K</t>
  </si>
  <si>
    <t>329.55K</t>
  </si>
  <si>
    <t>243.31K</t>
  </si>
  <si>
    <t>327.60K</t>
  </si>
  <si>
    <t>279.56K</t>
  </si>
  <si>
    <t>227.50K</t>
  </si>
  <si>
    <t>237.39K</t>
  </si>
  <si>
    <t>328.05K</t>
  </si>
  <si>
    <t>353.43K</t>
  </si>
  <si>
    <t>240.39K</t>
  </si>
  <si>
    <t>386.54K</t>
  </si>
  <si>
    <t>385.83K</t>
  </si>
  <si>
    <t>359.04K</t>
  </si>
  <si>
    <t>309.69K</t>
  </si>
  <si>
    <t>234.00K</t>
  </si>
  <si>
    <t>297.45K</t>
  </si>
  <si>
    <t>412.05K</t>
  </si>
  <si>
    <t>268.31K</t>
  </si>
  <si>
    <t>216.84K</t>
  </si>
  <si>
    <t>399.27K</t>
  </si>
  <si>
    <t>705.39K</t>
  </si>
  <si>
    <t>671.88K</t>
  </si>
  <si>
    <t>325.67K</t>
  </si>
  <si>
    <t>642.23K</t>
  </si>
  <si>
    <t>664.24K</t>
  </si>
  <si>
    <t>531.42K</t>
  </si>
  <si>
    <t>979.99K</t>
  </si>
  <si>
    <t>888.93K</t>
  </si>
  <si>
    <t>819.26K</t>
  </si>
  <si>
    <t>466.94K</t>
  </si>
  <si>
    <t>533.02K</t>
  </si>
  <si>
    <t>967.48K</t>
  </si>
  <si>
    <t>813.79K</t>
  </si>
  <si>
    <t>955.85K</t>
  </si>
  <si>
    <t>686.93K</t>
  </si>
  <si>
    <t>557.29K</t>
  </si>
  <si>
    <t>376.46K</t>
  </si>
  <si>
    <t>610.39K</t>
  </si>
  <si>
    <t>506.54K</t>
  </si>
  <si>
    <t>359.24K</t>
  </si>
  <si>
    <t>424.35K</t>
  </si>
  <si>
    <t>510.60K</t>
  </si>
  <si>
    <t>499.96K</t>
  </si>
  <si>
    <t>322.84K</t>
  </si>
  <si>
    <t>255.78K</t>
  </si>
  <si>
    <t>266.66K</t>
  </si>
  <si>
    <t>265.18K</t>
  </si>
  <si>
    <t>284.22K</t>
  </si>
  <si>
    <t>253.64K</t>
  </si>
  <si>
    <t>270.60K</t>
  </si>
  <si>
    <t>391.48K</t>
  </si>
  <si>
    <t>462.49K</t>
  </si>
  <si>
    <t>167.16K</t>
  </si>
  <si>
    <t>324.63K</t>
  </si>
  <si>
    <t>731.35K</t>
  </si>
  <si>
    <t>250.41K</t>
  </si>
  <si>
    <t>511.61K</t>
  </si>
  <si>
    <t>418.03K</t>
  </si>
  <si>
    <t>467.08K</t>
  </si>
  <si>
    <t>207.85K</t>
  </si>
  <si>
    <t>249.48K</t>
  </si>
  <si>
    <t>439.31K</t>
  </si>
  <si>
    <t>565.18K</t>
  </si>
  <si>
    <t>250.25K</t>
  </si>
  <si>
    <t>274.89K</t>
  </si>
  <si>
    <t>297.38K</t>
  </si>
  <si>
    <t>234.30K</t>
  </si>
  <si>
    <t>213.13K</t>
  </si>
  <si>
    <t>543.51K</t>
  </si>
  <si>
    <t>403.45K</t>
  </si>
  <si>
    <t>400.87K</t>
  </si>
  <si>
    <t>315.19K</t>
  </si>
  <si>
    <t>250.53K</t>
  </si>
  <si>
    <t>258.37K</t>
  </si>
  <si>
    <t>219.90K</t>
  </si>
  <si>
    <t>185.90K</t>
  </si>
  <si>
    <t>142.93K</t>
  </si>
  <si>
    <t>270.34K</t>
  </si>
  <si>
    <t>210.15K</t>
  </si>
  <si>
    <t>158.97K</t>
  </si>
  <si>
    <t>241.10K</t>
  </si>
  <si>
    <t>285.81K</t>
  </si>
  <si>
    <t>279.61K</t>
  </si>
  <si>
    <t>140.59K</t>
  </si>
  <si>
    <t>113.05K</t>
  </si>
  <si>
    <t>210.52K</t>
  </si>
  <si>
    <t>220.08K</t>
  </si>
  <si>
    <t>144.73K</t>
  </si>
  <si>
    <t>198.58K</t>
  </si>
  <si>
    <t>209.59K</t>
  </si>
  <si>
    <t>162.65K</t>
  </si>
  <si>
    <t>173.85K</t>
  </si>
  <si>
    <t>401.43K</t>
  </si>
  <si>
    <t>239.69K</t>
  </si>
  <si>
    <t>509.75K</t>
  </si>
  <si>
    <t>547.66K</t>
  </si>
  <si>
    <t>382.41K</t>
  </si>
  <si>
    <t>265.81K</t>
  </si>
  <si>
    <t>173.99K</t>
  </si>
  <si>
    <t>292.77K</t>
  </si>
  <si>
    <t>475.38K</t>
  </si>
  <si>
    <t>383.63K</t>
  </si>
  <si>
    <t>196.81K</t>
  </si>
  <si>
    <t>183.62K</t>
  </si>
  <si>
    <t>277.98K</t>
  </si>
  <si>
    <t>119.07K</t>
  </si>
  <si>
    <t>180.51K</t>
  </si>
  <si>
    <t>125.81K</t>
  </si>
  <si>
    <t>209.15K</t>
  </si>
  <si>
    <t>253.06K</t>
  </si>
  <si>
    <t>825.20K</t>
  </si>
  <si>
    <t>32.61K</t>
  </si>
  <si>
    <t>388.46K</t>
  </si>
  <si>
    <t>177.66K</t>
  </si>
  <si>
    <t>469.66K</t>
  </si>
  <si>
    <t>659.28K</t>
  </si>
  <si>
    <t>556.90K</t>
  </si>
  <si>
    <t>364.66K</t>
  </si>
  <si>
    <t>372.89K</t>
  </si>
  <si>
    <t>245.40K</t>
  </si>
  <si>
    <t>330.82K</t>
  </si>
  <si>
    <t>318.25K</t>
  </si>
  <si>
    <t>703.90K</t>
  </si>
  <si>
    <t>868.39K</t>
  </si>
  <si>
    <t>599.82K</t>
  </si>
  <si>
    <t>347.92K</t>
  </si>
  <si>
    <t>407.41K</t>
  </si>
  <si>
    <t>346.05K</t>
  </si>
  <si>
    <t>234.32K</t>
  </si>
  <si>
    <t>583.11K</t>
  </si>
  <si>
    <t>279.81K</t>
  </si>
  <si>
    <t>229.31K</t>
  </si>
  <si>
    <t>339.80K</t>
  </si>
  <si>
    <t>366.66K</t>
  </si>
  <si>
    <t>422.90K</t>
  </si>
  <si>
    <t>490.63K</t>
  </si>
  <si>
    <t>403.03K</t>
  </si>
  <si>
    <t>261.52K</t>
  </si>
  <si>
    <t>341.26K</t>
  </si>
  <si>
    <t>201.99K</t>
  </si>
  <si>
    <t>206.06K</t>
  </si>
  <si>
    <t>214.92K</t>
  </si>
  <si>
    <t>291.08K</t>
  </si>
  <si>
    <t>503.21K</t>
  </si>
  <si>
    <t>216.08K</t>
  </si>
  <si>
    <t>235.01K</t>
  </si>
  <si>
    <t>168.41K</t>
  </si>
  <si>
    <t>187.06K</t>
  </si>
  <si>
    <t>159.69K</t>
  </si>
  <si>
    <t>198.06K</t>
  </si>
  <si>
    <t>240.68K</t>
  </si>
  <si>
    <t>212.63K</t>
  </si>
  <si>
    <t>198.45K</t>
  </si>
  <si>
    <t>393.06K</t>
  </si>
  <si>
    <t>352.82K</t>
  </si>
  <si>
    <t>475.97K</t>
  </si>
  <si>
    <t>319.95K</t>
  </si>
  <si>
    <t>497.37K</t>
  </si>
  <si>
    <t>183.24K</t>
  </si>
  <si>
    <t>146.15K</t>
  </si>
  <si>
    <t>174.45K</t>
  </si>
  <si>
    <t>310.22K</t>
  </si>
  <si>
    <t>358.74K</t>
  </si>
  <si>
    <t>724.99K</t>
  </si>
  <si>
    <t>204.00K</t>
  </si>
  <si>
    <t>191.97K</t>
  </si>
  <si>
    <t>207.51K</t>
  </si>
  <si>
    <t>206.05K</t>
  </si>
  <si>
    <t>129.34K</t>
  </si>
  <si>
    <t>164.59K</t>
  </si>
  <si>
    <t>236.94K</t>
  </si>
  <si>
    <t>250.07K</t>
  </si>
  <si>
    <t>173.66K</t>
  </si>
  <si>
    <t>258.02K</t>
  </si>
  <si>
    <t>385.22K</t>
  </si>
  <si>
    <t>202.45K</t>
  </si>
  <si>
    <t>245.11K</t>
  </si>
  <si>
    <t>227.84K</t>
  </si>
  <si>
    <t>289.53K</t>
  </si>
  <si>
    <t>297.51K</t>
  </si>
  <si>
    <t>369.35K</t>
  </si>
  <si>
    <t>813.62K</t>
  </si>
  <si>
    <t>953.89K</t>
  </si>
  <si>
    <t>365.11K</t>
  </si>
  <si>
    <t>436.38K</t>
  </si>
  <si>
    <t>292.17K</t>
  </si>
  <si>
    <t>379.75K</t>
  </si>
  <si>
    <t>372.87K</t>
  </si>
  <si>
    <t>610.76K</t>
  </si>
  <si>
    <t>170.54K</t>
  </si>
  <si>
    <t>365.61K</t>
  </si>
  <si>
    <t>382.40K</t>
  </si>
  <si>
    <t>681.76K</t>
  </si>
  <si>
    <t>134.01K</t>
  </si>
  <si>
    <t>256.49K</t>
  </si>
  <si>
    <t>274.11K</t>
  </si>
  <si>
    <t>283.15K</t>
  </si>
  <si>
    <t>127.28K</t>
  </si>
  <si>
    <t>183.50K</t>
  </si>
  <si>
    <t>278.31K</t>
  </si>
  <si>
    <t>438.44K</t>
  </si>
  <si>
    <t>542.28K</t>
  </si>
  <si>
    <t>361.65K</t>
  </si>
  <si>
    <t>367.33K</t>
  </si>
  <si>
    <t>637.30K</t>
  </si>
  <si>
    <t>224.10K</t>
  </si>
  <si>
    <t>193.13K</t>
  </si>
  <si>
    <t>160.00K</t>
  </si>
  <si>
    <t>193.01K</t>
  </si>
  <si>
    <t>198.70K</t>
  </si>
  <si>
    <t>345.10K</t>
  </si>
  <si>
    <t>218.63K</t>
  </si>
  <si>
    <t>617.04K</t>
  </si>
  <si>
    <t>205.50K</t>
  </si>
  <si>
    <t>349.48K</t>
  </si>
  <si>
    <t>567.70K</t>
  </si>
  <si>
    <t>397.99K</t>
  </si>
  <si>
    <t>328.45K</t>
  </si>
  <si>
    <t>285.09K</t>
  </si>
  <si>
    <t>248.02K</t>
  </si>
  <si>
    <t>176.13K</t>
  </si>
  <si>
    <t>288.50K</t>
  </si>
  <si>
    <t>307.03K</t>
  </si>
  <si>
    <t>256.09K</t>
  </si>
  <si>
    <t>475.95K</t>
  </si>
  <si>
    <t>451.02K</t>
  </si>
  <si>
    <t>357.29K</t>
  </si>
  <si>
    <t>405.28K</t>
  </si>
  <si>
    <t>392.66K</t>
  </si>
  <si>
    <t>872.01K</t>
  </si>
  <si>
    <t>745.58K</t>
  </si>
  <si>
    <t>246.63K</t>
  </si>
  <si>
    <t>215.97K</t>
  </si>
  <si>
    <t>330.35K</t>
  </si>
  <si>
    <t>402.06K</t>
  </si>
  <si>
    <t>475.18K</t>
  </si>
  <si>
    <t>406.87K</t>
  </si>
  <si>
    <t>414.44K</t>
  </si>
  <si>
    <t>512.91K</t>
  </si>
  <si>
    <t>697.79K</t>
  </si>
  <si>
    <t>968.45K</t>
  </si>
  <si>
    <t>559.51K</t>
  </si>
  <si>
    <t>636.92K</t>
  </si>
  <si>
    <t>490.68K</t>
  </si>
  <si>
    <t>551.19K</t>
  </si>
  <si>
    <t>585.72K</t>
  </si>
  <si>
    <t>592.76K</t>
  </si>
  <si>
    <t>635.30K</t>
  </si>
  <si>
    <t>301.48K</t>
  </si>
  <si>
    <t>508.33K</t>
  </si>
  <si>
    <t>540.95K</t>
  </si>
  <si>
    <t>531.75K</t>
  </si>
  <si>
    <t>647.60K</t>
  </si>
  <si>
    <t>422.44K</t>
  </si>
  <si>
    <t>303.75K</t>
  </si>
  <si>
    <t>547.37K</t>
  </si>
  <si>
    <t>716.39K</t>
  </si>
  <si>
    <t>890.46K</t>
  </si>
  <si>
    <t>467.72K</t>
  </si>
  <si>
    <t>654.46K</t>
  </si>
  <si>
    <t>345.81K</t>
  </si>
  <si>
    <t>443.28K</t>
  </si>
  <si>
    <t>614.22K</t>
  </si>
  <si>
    <t>349.04K</t>
  </si>
  <si>
    <t>673.81K</t>
  </si>
  <si>
    <t>302.77K</t>
  </si>
  <si>
    <t>483.04K</t>
  </si>
  <si>
    <t>658.51K</t>
  </si>
  <si>
    <t>438.05K</t>
  </si>
  <si>
    <t>609.30K</t>
  </si>
  <si>
    <t>803.07K</t>
  </si>
  <si>
    <t>378.56K</t>
  </si>
  <si>
    <t>453.81K</t>
  </si>
  <si>
    <t>528.41K</t>
  </si>
  <si>
    <t>499.67K</t>
  </si>
  <si>
    <t>573.97K</t>
  </si>
  <si>
    <t>555.52K</t>
  </si>
  <si>
    <t>595.72K</t>
  </si>
  <si>
    <t>277.85K</t>
  </si>
  <si>
    <t>408.87K</t>
  </si>
  <si>
    <t>390.47K</t>
  </si>
  <si>
    <t>947.68K</t>
  </si>
  <si>
    <t>769.44K</t>
  </si>
  <si>
    <t>683.26K</t>
  </si>
  <si>
    <t>952.77K</t>
  </si>
  <si>
    <t>745.56K</t>
  </si>
  <si>
    <t>576.55K</t>
  </si>
  <si>
    <t>680.69K</t>
  </si>
  <si>
    <t>481.35K</t>
  </si>
  <si>
    <t>321.06K</t>
  </si>
  <si>
    <t>483.42K</t>
  </si>
  <si>
    <t>461.60K</t>
  </si>
  <si>
    <t>589.87K</t>
  </si>
  <si>
    <t>464.20K</t>
  </si>
  <si>
    <t>423.24K</t>
  </si>
  <si>
    <t>591.44K</t>
  </si>
  <si>
    <t>714.58K</t>
  </si>
  <si>
    <t>802.68K</t>
  </si>
  <si>
    <t>742.40K</t>
  </si>
  <si>
    <t>701.45K</t>
  </si>
  <si>
    <t>530.96K</t>
  </si>
  <si>
    <t>453.78K</t>
  </si>
  <si>
    <t>355.62K</t>
  </si>
  <si>
    <t>728.16K</t>
  </si>
  <si>
    <t>401.26K</t>
  </si>
  <si>
    <t>410.41K</t>
  </si>
  <si>
    <t>431.77K</t>
  </si>
  <si>
    <t>449.50K</t>
  </si>
  <si>
    <t>576.03K</t>
  </si>
  <si>
    <t>598.00K</t>
  </si>
  <si>
    <t>549.22K</t>
  </si>
  <si>
    <t>834.94K</t>
  </si>
  <si>
    <t>630.48K</t>
  </si>
  <si>
    <t>919.85K</t>
  </si>
  <si>
    <t>974.42K</t>
  </si>
  <si>
    <t>910.85K</t>
  </si>
  <si>
    <t>740.26K</t>
  </si>
  <si>
    <t>696.23K</t>
  </si>
  <si>
    <t>752.88K</t>
  </si>
  <si>
    <t>920.84K</t>
  </si>
  <si>
    <t>486.66K</t>
  </si>
  <si>
    <t>481.74K</t>
  </si>
  <si>
    <t>372.13K</t>
  </si>
  <si>
    <t>438.60K</t>
  </si>
  <si>
    <t>445.56K</t>
  </si>
  <si>
    <t>540.26K</t>
  </si>
  <si>
    <t>437.97K</t>
  </si>
  <si>
    <t>708.97K</t>
  </si>
  <si>
    <t>428.53K</t>
  </si>
  <si>
    <t>668.50K</t>
  </si>
  <si>
    <t>811.31K</t>
  </si>
  <si>
    <t>447.73K</t>
  </si>
  <si>
    <t>426.09K</t>
  </si>
  <si>
    <t>584.03K</t>
  </si>
  <si>
    <t>495.60K</t>
  </si>
  <si>
    <t>582.70K</t>
  </si>
  <si>
    <t>489.15K</t>
  </si>
  <si>
    <t>934.84K</t>
  </si>
  <si>
    <t>927.67K</t>
  </si>
  <si>
    <t>509.92K</t>
  </si>
  <si>
    <t>727.54K</t>
  </si>
  <si>
    <t>886.85K</t>
  </si>
  <si>
    <t>871.38K</t>
  </si>
  <si>
    <t>636.38K</t>
  </si>
  <si>
    <t>669.85K</t>
  </si>
  <si>
    <t>545.48K</t>
  </si>
  <si>
    <t>817.55K</t>
  </si>
  <si>
    <t>488.90K</t>
  </si>
  <si>
    <t>405.76K</t>
  </si>
  <si>
    <t>801.79K</t>
  </si>
  <si>
    <t>351.03K</t>
  </si>
  <si>
    <t>313.28K</t>
  </si>
  <si>
    <t>406.48K</t>
  </si>
  <si>
    <t>548.78K</t>
  </si>
  <si>
    <t>772.29K</t>
  </si>
  <si>
    <t>248.63K</t>
  </si>
  <si>
    <t>321.83K</t>
  </si>
  <si>
    <t>456.09K</t>
  </si>
  <si>
    <t>509.00K</t>
  </si>
  <si>
    <t>22-09-2025</t>
  </si>
  <si>
    <t>19-09-2025</t>
  </si>
  <si>
    <t>18-09-2025</t>
  </si>
  <si>
    <t>17-09-2025</t>
  </si>
  <si>
    <t>16-09-2025</t>
  </si>
  <si>
    <t>15-09-2025</t>
  </si>
  <si>
    <t>29-08-2025</t>
  </si>
  <si>
    <t>28-08-2025</t>
  </si>
  <si>
    <t>26-08-2025</t>
  </si>
  <si>
    <t>25-08-2025</t>
  </si>
  <si>
    <t>22-08-2025</t>
  </si>
  <si>
    <t>21-08-2025</t>
  </si>
  <si>
    <t>20-08-2025</t>
  </si>
  <si>
    <t>19-08-2025</t>
  </si>
  <si>
    <t>18-08-2025</t>
  </si>
  <si>
    <t>14-08-2025</t>
  </si>
  <si>
    <t>13-08-2025</t>
  </si>
  <si>
    <t>31-07-2025</t>
  </si>
  <si>
    <t>30-07-2025</t>
  </si>
  <si>
    <t>29-07-2025</t>
  </si>
  <si>
    <t>28-07-2025</t>
  </si>
  <si>
    <t>25-07-2025</t>
  </si>
  <si>
    <t>24-07-2025</t>
  </si>
  <si>
    <t>23-07-2025</t>
  </si>
  <si>
    <t>22-07-2025</t>
  </si>
  <si>
    <t>21-07-2025</t>
  </si>
  <si>
    <t>18-07-2025</t>
  </si>
  <si>
    <t>17-07-2025</t>
  </si>
  <si>
    <t>16-07-2025</t>
  </si>
  <si>
    <t>15-07-2025</t>
  </si>
  <si>
    <t>14-07-2025</t>
  </si>
  <si>
    <t>30-06-2025</t>
  </si>
  <si>
    <t>27-06-2025</t>
  </si>
  <si>
    <t>26-06-2025</t>
  </si>
  <si>
    <t>25-06-2025</t>
  </si>
  <si>
    <t>24-06-2025</t>
  </si>
  <si>
    <t>23-06-2025</t>
  </si>
  <si>
    <t>20-06-2025</t>
  </si>
  <si>
    <t>19-06-2025</t>
  </si>
  <si>
    <t>18-06-2025</t>
  </si>
  <si>
    <t>17-06-2025</t>
  </si>
  <si>
    <t>16-06-2025</t>
  </si>
  <si>
    <t>13-06-2025</t>
  </si>
  <si>
    <t>30-05-2025</t>
  </si>
  <si>
    <t>29-05-2025</t>
  </si>
  <si>
    <t>28-05-2025</t>
  </si>
  <si>
    <t>27-05-2025</t>
  </si>
  <si>
    <t>26-05-2025</t>
  </si>
  <si>
    <t>23-05-2025</t>
  </si>
  <si>
    <t>22-05-2025</t>
  </si>
  <si>
    <t>21-05-2025</t>
  </si>
  <si>
    <t>20-05-2025</t>
  </si>
  <si>
    <t>19-05-2025</t>
  </si>
  <si>
    <t>16-05-2025</t>
  </si>
  <si>
    <t>15-05-2025</t>
  </si>
  <si>
    <t>14-05-2025</t>
  </si>
  <si>
    <t>13-05-2025</t>
  </si>
  <si>
    <t>30-04-2025</t>
  </si>
  <si>
    <t>29-04-2025</t>
  </si>
  <si>
    <t>28-04-2025</t>
  </si>
  <si>
    <t>25-04-2025</t>
  </si>
  <si>
    <t>24-04-2025</t>
  </si>
  <si>
    <t>23-04-2025</t>
  </si>
  <si>
    <t>22-04-2025</t>
  </si>
  <si>
    <t>21-04-2025</t>
  </si>
  <si>
    <t>17-04-2025</t>
  </si>
  <si>
    <t>16-04-2025</t>
  </si>
  <si>
    <t>15-04-2025</t>
  </si>
  <si>
    <t>28-03-2025</t>
  </si>
  <si>
    <t>27-03-2025</t>
  </si>
  <si>
    <t>26-03-2025</t>
  </si>
  <si>
    <t>25-03-2025</t>
  </si>
  <si>
    <t>24-03-2025</t>
  </si>
  <si>
    <t>21-03-2025</t>
  </si>
  <si>
    <t>20-03-2025</t>
  </si>
  <si>
    <t>19-03-2025</t>
  </si>
  <si>
    <t>18-03-2025</t>
  </si>
  <si>
    <t>17-03-2025</t>
  </si>
  <si>
    <t>13-03-2025</t>
  </si>
  <si>
    <t>28-02-2025</t>
  </si>
  <si>
    <t>27-02-2025</t>
  </si>
  <si>
    <t>25-02-2025</t>
  </si>
  <si>
    <t>24-02-2025</t>
  </si>
  <si>
    <t>21-02-2025</t>
  </si>
  <si>
    <t>20-02-2025</t>
  </si>
  <si>
    <t>19-02-2025</t>
  </si>
  <si>
    <t>18-02-2025</t>
  </si>
  <si>
    <t>17-02-2025</t>
  </si>
  <si>
    <t>14-02-2025</t>
  </si>
  <si>
    <t>13-02-2025</t>
  </si>
  <si>
    <t>31-01-2025</t>
  </si>
  <si>
    <t>30-01-2025</t>
  </si>
  <si>
    <t>29-01-2025</t>
  </si>
  <si>
    <t>28-01-2025</t>
  </si>
  <si>
    <t>27-01-2025</t>
  </si>
  <si>
    <t>24-01-2025</t>
  </si>
  <si>
    <t>23-01-2025</t>
  </si>
  <si>
    <t>22-01-2025</t>
  </si>
  <si>
    <t>21-01-2025</t>
  </si>
  <si>
    <t>20-01-2025</t>
  </si>
  <si>
    <t>17-01-2025</t>
  </si>
  <si>
    <t>16-01-2025</t>
  </si>
  <si>
    <t>15-01-2025</t>
  </si>
  <si>
    <t>14-01-2025</t>
  </si>
  <si>
    <t>13-01-2025</t>
  </si>
  <si>
    <t>31-12-2024</t>
  </si>
  <si>
    <t>30-12-2024</t>
  </si>
  <si>
    <t>27-12-2024</t>
  </si>
  <si>
    <t>26-12-2024</t>
  </si>
  <si>
    <t>24-12-2024</t>
  </si>
  <si>
    <t>23-12-2024</t>
  </si>
  <si>
    <t>20-12-2024</t>
  </si>
  <si>
    <t>19-12-2024</t>
  </si>
  <si>
    <t>18-12-2024</t>
  </si>
  <si>
    <t>17-12-2024</t>
  </si>
  <si>
    <t>16-12-2024</t>
  </si>
  <si>
    <t>13-12-2024</t>
  </si>
  <si>
    <t>29-11-2024</t>
  </si>
  <si>
    <t>28-11-2024</t>
  </si>
  <si>
    <t>27-11-2024</t>
  </si>
  <si>
    <t>26-11-2024</t>
  </si>
  <si>
    <t>25-11-2024</t>
  </si>
  <si>
    <t>22-11-2024</t>
  </si>
  <si>
    <t>21-11-2024</t>
  </si>
  <si>
    <t>19-11-2024</t>
  </si>
  <si>
    <t>18-11-2024</t>
  </si>
  <si>
    <t>14-11-2024</t>
  </si>
  <si>
    <t>13-11-2024</t>
  </si>
  <si>
    <t>31-10-2024</t>
  </si>
  <si>
    <t>30-10-2024</t>
  </si>
  <si>
    <t>29-10-2024</t>
  </si>
  <si>
    <t>28-10-2024</t>
  </si>
  <si>
    <t>25-10-2024</t>
  </si>
  <si>
    <t>24-10-2024</t>
  </si>
  <si>
    <t>23-10-2024</t>
  </si>
  <si>
    <t>22-10-2024</t>
  </si>
  <si>
    <t>21-10-2024</t>
  </si>
  <si>
    <t>18-10-2024</t>
  </si>
  <si>
    <t>17-10-2024</t>
  </si>
  <si>
    <t>16-10-2024</t>
  </si>
  <si>
    <t>15-10-2024</t>
  </si>
  <si>
    <t>14-10-2024</t>
  </si>
  <si>
    <t>30-09-2024</t>
  </si>
  <si>
    <t>27-09-2024</t>
  </si>
  <si>
    <t>26-09-2024</t>
  </si>
  <si>
    <t>25-09-2024</t>
  </si>
  <si>
    <t>24-09-2024</t>
  </si>
  <si>
    <t>23-09-2024</t>
  </si>
  <si>
    <t>20-09-2024</t>
  </si>
  <si>
    <t>19-09-2024</t>
  </si>
  <si>
    <t>18-09-2024</t>
  </si>
  <si>
    <t>17-09-2024</t>
  </si>
  <si>
    <t>16-09-2024</t>
  </si>
  <si>
    <t>13-09-2024</t>
  </si>
  <si>
    <t>30-08-2024</t>
  </si>
  <si>
    <t>29-08-2024</t>
  </si>
  <si>
    <t>28-08-2024</t>
  </si>
  <si>
    <t>27-08-2024</t>
  </si>
  <si>
    <t>26-08-2024</t>
  </si>
  <si>
    <t>23-08-2024</t>
  </si>
  <si>
    <t>22-08-2024</t>
  </si>
  <si>
    <t>21-08-2024</t>
  </si>
  <si>
    <t>20-08-2024</t>
  </si>
  <si>
    <t>19-08-2024</t>
  </si>
  <si>
    <t>16-08-2024</t>
  </si>
  <si>
    <t>14-08-2024</t>
  </si>
  <si>
    <t>13-08-2024</t>
  </si>
  <si>
    <t>31-07-2024</t>
  </si>
  <si>
    <t>30-07-2024</t>
  </si>
  <si>
    <t>29-07-2024</t>
  </si>
  <si>
    <t>26-07-2024</t>
  </si>
  <si>
    <t>25-07-2024</t>
  </si>
  <si>
    <t>24-07-2024</t>
  </si>
  <si>
    <t>23-07-2024</t>
  </si>
  <si>
    <t>22-07-2024</t>
  </si>
  <si>
    <t>19-07-2024</t>
  </si>
  <si>
    <t>18-07-2024</t>
  </si>
  <si>
    <t>16-07-2024</t>
  </si>
  <si>
    <t>15-07-2024</t>
  </si>
  <si>
    <t>28-06-2024</t>
  </si>
  <si>
    <t>27-06-2024</t>
  </si>
  <si>
    <t>26-06-2024</t>
  </si>
  <si>
    <t>25-06-2024</t>
  </si>
  <si>
    <t>24-06-2024</t>
  </si>
  <si>
    <t>21-06-2024</t>
  </si>
  <si>
    <t>20-06-2024</t>
  </si>
  <si>
    <t>19-06-2024</t>
  </si>
  <si>
    <t>18-06-2024</t>
  </si>
  <si>
    <t>14-06-2024</t>
  </si>
  <si>
    <t>13-06-2024</t>
  </si>
  <si>
    <t>31-05-2024</t>
  </si>
  <si>
    <t>30-05-2024</t>
  </si>
  <si>
    <t>29-05-2024</t>
  </si>
  <si>
    <t>28-05-2024</t>
  </si>
  <si>
    <t>27-05-2024</t>
  </si>
  <si>
    <t>24-05-2024</t>
  </si>
  <si>
    <t>23-05-2024</t>
  </si>
  <si>
    <t>22-05-2024</t>
  </si>
  <si>
    <t>21-05-2024</t>
  </si>
  <si>
    <t>18-05-2024</t>
  </si>
  <si>
    <t>17-05-2024</t>
  </si>
  <si>
    <t>16-05-2024</t>
  </si>
  <si>
    <t>15-05-2024</t>
  </si>
  <si>
    <t>14-05-2024</t>
  </si>
  <si>
    <t>13-05-2024</t>
  </si>
  <si>
    <t>30-04-2024</t>
  </si>
  <si>
    <t>29-04-2024</t>
  </si>
  <si>
    <t>26-04-2024</t>
  </si>
  <si>
    <t>25-04-2024</t>
  </si>
  <si>
    <t>24-04-2024</t>
  </si>
  <si>
    <t>23-04-2024</t>
  </si>
  <si>
    <t>22-04-2024</t>
  </si>
  <si>
    <t>19-04-2024</t>
  </si>
  <si>
    <t>18-04-2024</t>
  </si>
  <si>
    <t>16-04-2024</t>
  </si>
  <si>
    <t>15-04-2024</t>
  </si>
  <si>
    <t>28-03-2024</t>
  </si>
  <si>
    <t>27-03-2024</t>
  </si>
  <si>
    <t>26-03-2024</t>
  </si>
  <si>
    <t>22-03-2024</t>
  </si>
  <si>
    <t>21-03-2024</t>
  </si>
  <si>
    <t>20-03-2024</t>
  </si>
  <si>
    <t>19-03-2024</t>
  </si>
  <si>
    <t>18-03-2024</t>
  </si>
  <si>
    <t>15-03-2024</t>
  </si>
  <si>
    <t>14-03-2024</t>
  </si>
  <si>
    <t>13-03-2024</t>
  </si>
  <si>
    <t>29-02-2024</t>
  </si>
  <si>
    <t>28-02-2024</t>
  </si>
  <si>
    <t>27-02-2024</t>
  </si>
  <si>
    <t>26-02-2024</t>
  </si>
  <si>
    <t>23-02-2024</t>
  </si>
  <si>
    <t>22-02-2024</t>
  </si>
  <si>
    <t>21-02-2024</t>
  </si>
  <si>
    <t>20-02-2024</t>
  </si>
  <si>
    <t>19-02-2024</t>
  </si>
  <si>
    <t>16-02-2024</t>
  </si>
  <si>
    <t>15-02-2024</t>
  </si>
  <si>
    <t>14-02-2024</t>
  </si>
  <si>
    <t>13-02-2024</t>
  </si>
  <si>
    <t>31-01-2024</t>
  </si>
  <si>
    <t>30-01-2024</t>
  </si>
  <si>
    <t>29-01-2024</t>
  </si>
  <si>
    <t>25-01-2024</t>
  </si>
  <si>
    <t>24-01-2024</t>
  </si>
  <si>
    <t>23-01-2024</t>
  </si>
  <si>
    <t>20-01-2024</t>
  </si>
  <si>
    <t>19-01-2024</t>
  </si>
  <si>
    <t>18-01-2024</t>
  </si>
  <si>
    <t>17-01-2024</t>
  </si>
  <si>
    <t>16-01-2024</t>
  </si>
  <si>
    <t>15-01-2024</t>
  </si>
  <si>
    <t>29-12-2023</t>
  </si>
  <si>
    <t>28-12-2023</t>
  </si>
  <si>
    <t>27-12-2023</t>
  </si>
  <si>
    <t>26-12-2023</t>
  </si>
  <si>
    <t>22-12-2023</t>
  </si>
  <si>
    <t>21-12-2023</t>
  </si>
  <si>
    <t>20-12-2023</t>
  </si>
  <si>
    <t>19-12-2023</t>
  </si>
  <si>
    <t>18-12-2023</t>
  </si>
  <si>
    <t>15-12-2023</t>
  </si>
  <si>
    <t>14-12-2023</t>
  </si>
  <si>
    <t>13-12-2023</t>
  </si>
  <si>
    <t>30-11-2023</t>
  </si>
  <si>
    <t>29-11-2023</t>
  </si>
  <si>
    <t>28-11-2023</t>
  </si>
  <si>
    <t>24-11-2023</t>
  </si>
  <si>
    <t>23-11-2023</t>
  </si>
  <si>
    <t>22-11-2023</t>
  </si>
  <si>
    <t>21-11-2023</t>
  </si>
  <si>
    <t>20-11-2023</t>
  </si>
  <si>
    <t>17-11-2023</t>
  </si>
  <si>
    <t>16-11-2023</t>
  </si>
  <si>
    <t>15-11-2023</t>
  </si>
  <si>
    <t>13-11-2023</t>
  </si>
  <si>
    <t>31-10-2023</t>
  </si>
  <si>
    <t>30-10-2023</t>
  </si>
  <si>
    <t>27-10-2023</t>
  </si>
  <si>
    <t>26-10-2023</t>
  </si>
  <si>
    <t>25-10-2023</t>
  </si>
  <si>
    <t>23-10-2023</t>
  </si>
  <si>
    <t>20-10-2023</t>
  </si>
  <si>
    <t>19-10-2023</t>
  </si>
  <si>
    <t>18-10-2023</t>
  </si>
  <si>
    <t>17-10-2023</t>
  </si>
  <si>
    <t>16-10-2023</t>
  </si>
  <si>
    <t>13-10-2023</t>
  </si>
  <si>
    <t>29-09-2023</t>
  </si>
  <si>
    <t>28-09-2023</t>
  </si>
  <si>
    <t>27-09-2023</t>
  </si>
  <si>
    <t>26-09-2023</t>
  </si>
  <si>
    <t>25-09-2023</t>
  </si>
  <si>
    <t>22-09-2023</t>
  </si>
  <si>
    <t>21-09-2023</t>
  </si>
  <si>
    <t>20-09-2023</t>
  </si>
  <si>
    <t>18-09-2023</t>
  </si>
  <si>
    <t>15-09-2023</t>
  </si>
  <si>
    <t>14-09-2023</t>
  </si>
  <si>
    <t>13-09-2023</t>
  </si>
  <si>
    <t>31-08-2023</t>
  </si>
  <si>
    <t>30-08-2023</t>
  </si>
  <si>
    <t>29-08-2023</t>
  </si>
  <si>
    <t>28-08-2023</t>
  </si>
  <si>
    <t>25-08-2023</t>
  </si>
  <si>
    <t>24-08-2023</t>
  </si>
  <si>
    <t>23-08-2023</t>
  </si>
  <si>
    <t>22-08-2023</t>
  </si>
  <si>
    <t>21-08-2023</t>
  </si>
  <si>
    <t>18-08-2023</t>
  </si>
  <si>
    <t>17-08-2023</t>
  </si>
  <si>
    <t>16-08-2023</t>
  </si>
  <si>
    <t>14-08-2023</t>
  </si>
  <si>
    <t>31-07-2023</t>
  </si>
  <si>
    <t>28-07-2023</t>
  </si>
  <si>
    <t>27-07-2023</t>
  </si>
  <si>
    <t>26-07-2023</t>
  </si>
  <si>
    <t>25-07-2023</t>
  </si>
  <si>
    <t>24-07-2023</t>
  </si>
  <si>
    <t>21-07-2023</t>
  </si>
  <si>
    <t>20-07-2023</t>
  </si>
  <si>
    <t>19-07-2023</t>
  </si>
  <si>
    <t>18-07-2023</t>
  </si>
  <si>
    <t>17-07-2023</t>
  </si>
  <si>
    <t>14-07-2023</t>
  </si>
  <si>
    <t>13-07-2023</t>
  </si>
  <si>
    <t>30-06-2023</t>
  </si>
  <si>
    <t>28-06-2023</t>
  </si>
  <si>
    <t>27-06-2023</t>
  </si>
  <si>
    <t>26-06-2023</t>
  </si>
  <si>
    <t>23-06-2023</t>
  </si>
  <si>
    <t>22-06-2023</t>
  </si>
  <si>
    <t>21-06-2023</t>
  </si>
  <si>
    <t>20-06-2023</t>
  </si>
  <si>
    <t>19-06-2023</t>
  </si>
  <si>
    <t>16-06-2023</t>
  </si>
  <si>
    <t>15-06-2023</t>
  </si>
  <si>
    <t>14-06-2023</t>
  </si>
  <si>
    <t>13-06-2023</t>
  </si>
  <si>
    <t>31-05-2023</t>
  </si>
  <si>
    <t>30-05-2023</t>
  </si>
  <si>
    <t>29-05-2023</t>
  </si>
  <si>
    <t>26-05-2023</t>
  </si>
  <si>
    <t>25-05-2023</t>
  </si>
  <si>
    <t>24-05-2023</t>
  </si>
  <si>
    <t>23-05-2023</t>
  </si>
  <si>
    <t>22-05-2023</t>
  </si>
  <si>
    <t>19-05-2023</t>
  </si>
  <si>
    <t>18-05-2023</t>
  </si>
  <si>
    <t>17-05-2023</t>
  </si>
  <si>
    <t>16-05-2023</t>
  </si>
  <si>
    <t>15-05-2023</t>
  </si>
  <si>
    <t>28-04-2023</t>
  </si>
  <si>
    <t>27-04-2023</t>
  </si>
  <si>
    <t>26-04-2023</t>
  </si>
  <si>
    <t>25-04-2023</t>
  </si>
  <si>
    <t>24-04-2023</t>
  </si>
  <si>
    <t>21-04-2023</t>
  </si>
  <si>
    <t>20-04-2023</t>
  </si>
  <si>
    <t>19-04-2023</t>
  </si>
  <si>
    <t>18-04-2023</t>
  </si>
  <si>
    <t>17-04-2023</t>
  </si>
  <si>
    <t>13-04-2023</t>
  </si>
  <si>
    <t>31-03-2023</t>
  </si>
  <si>
    <t>29-03-2023</t>
  </si>
  <si>
    <t>28-03-2023</t>
  </si>
  <si>
    <t>27-03-2023</t>
  </si>
  <si>
    <t>24-03-2023</t>
  </si>
  <si>
    <t>23-03-2023</t>
  </si>
  <si>
    <t>22-03-2023</t>
  </si>
  <si>
    <t>21-03-2023</t>
  </si>
  <si>
    <t>20-03-2023</t>
  </si>
  <si>
    <t>17-03-2023</t>
  </si>
  <si>
    <t>16-03-2023</t>
  </si>
  <si>
    <t>15-03-2023</t>
  </si>
  <si>
    <t>14-03-2023</t>
  </si>
  <si>
    <t>13-03-2023</t>
  </si>
  <si>
    <t>28-02-2023</t>
  </si>
  <si>
    <t>27-02-2023</t>
  </si>
  <si>
    <t>24-02-2023</t>
  </si>
  <si>
    <t>23-02-2023</t>
  </si>
  <si>
    <t>22-02-2023</t>
  </si>
  <si>
    <t>21-02-2023</t>
  </si>
  <si>
    <t>20-02-2023</t>
  </si>
  <si>
    <t>17-02-2023</t>
  </si>
  <si>
    <t>16-02-2023</t>
  </si>
  <si>
    <t>15-02-2023</t>
  </si>
  <si>
    <t>14-02-2023</t>
  </si>
  <si>
    <t>13-02-2023</t>
  </si>
  <si>
    <t>31-01-2023</t>
  </si>
  <si>
    <t>30-01-2023</t>
  </si>
  <si>
    <t>27-01-2023</t>
  </si>
  <si>
    <t>25-01-2023</t>
  </si>
  <si>
    <t>24-01-2023</t>
  </si>
  <si>
    <t>23-01-2023</t>
  </si>
  <si>
    <t>20-01-2023</t>
  </si>
  <si>
    <t>19-01-2023</t>
  </si>
  <si>
    <t>18-01-2023</t>
  </si>
  <si>
    <t>17-01-2023</t>
  </si>
  <si>
    <t>16-01-2023</t>
  </si>
  <si>
    <t>13-01-2023</t>
  </si>
  <si>
    <t>30-12-2022</t>
  </si>
  <si>
    <t>29-12-2022</t>
  </si>
  <si>
    <t>28-12-2022</t>
  </si>
  <si>
    <t>27-12-2022</t>
  </si>
  <si>
    <t>26-12-2022</t>
  </si>
  <si>
    <t>23-12-2022</t>
  </si>
  <si>
    <t>22-12-2022</t>
  </si>
  <si>
    <t>21-12-2022</t>
  </si>
  <si>
    <t>20-12-2022</t>
  </si>
  <si>
    <t>19-12-2022</t>
  </si>
  <si>
    <t>16-12-2022</t>
  </si>
  <si>
    <t>15-12-2022</t>
  </si>
  <si>
    <t>14-12-2022</t>
  </si>
  <si>
    <t>13-12-2022</t>
  </si>
  <si>
    <t>30-11-2022</t>
  </si>
  <si>
    <t>29-11-2022</t>
  </si>
  <si>
    <t>28-11-2022</t>
  </si>
  <si>
    <t>25-11-2022</t>
  </si>
  <si>
    <t>24-11-2022</t>
  </si>
  <si>
    <t>23-11-2022</t>
  </si>
  <si>
    <t>22-11-2022</t>
  </si>
  <si>
    <t>21-11-2022</t>
  </si>
  <si>
    <t>18-11-2022</t>
  </si>
  <si>
    <t>17-11-2022</t>
  </si>
  <si>
    <t>16-11-2022</t>
  </si>
  <si>
    <t>15-11-2022</t>
  </si>
  <si>
    <t>14-11-2022</t>
  </si>
  <si>
    <t>31-10-2022</t>
  </si>
  <si>
    <t>28-10-2022</t>
  </si>
  <si>
    <t>27-10-2022</t>
  </si>
  <si>
    <t>25-10-2022</t>
  </si>
  <si>
    <t>24-10-2022</t>
  </si>
  <si>
    <t>21-10-2022</t>
  </si>
  <si>
    <t>20-10-2022</t>
  </si>
  <si>
    <t>19-10-2022</t>
  </si>
  <si>
    <t>18-10-2022</t>
  </si>
  <si>
    <t>17-10-2022</t>
  </si>
  <si>
    <t>14-10-2022</t>
  </si>
  <si>
    <t>13-10-2022</t>
  </si>
  <si>
    <t>30-09-2022</t>
  </si>
  <si>
    <t>29-09-2022</t>
  </si>
  <si>
    <t>28-09-2022</t>
  </si>
  <si>
    <t>27-09-2022</t>
  </si>
  <si>
    <t>26-09-2022</t>
  </si>
  <si>
    <t>23-09-2022</t>
  </si>
  <si>
    <t>22-09-2022</t>
  </si>
  <si>
    <t>21-09-2022</t>
  </si>
  <si>
    <t>20-09-2022</t>
  </si>
  <si>
    <t>19-09-2022</t>
  </si>
  <si>
    <t>16-09-2022</t>
  </si>
  <si>
    <t>15-09-2022</t>
  </si>
  <si>
    <t>14-09-2022</t>
  </si>
  <si>
    <t>13-09-2022</t>
  </si>
  <si>
    <t>30-08-2022</t>
  </si>
  <si>
    <t>29-08-2022</t>
  </si>
  <si>
    <t>26-08-2022</t>
  </si>
  <si>
    <t>25-08-2022</t>
  </si>
  <si>
    <t>24-08-2022</t>
  </si>
  <si>
    <t>23-08-2022</t>
  </si>
  <si>
    <t>22-08-2022</t>
  </si>
  <si>
    <t>19-08-2022</t>
  </si>
  <si>
    <t>18-08-2022</t>
  </si>
  <si>
    <t>17-08-2022</t>
  </si>
  <si>
    <t>16-08-2022</t>
  </si>
  <si>
    <t>29-07-2022</t>
  </si>
  <si>
    <t>28-07-2022</t>
  </si>
  <si>
    <t>27-07-2022</t>
  </si>
  <si>
    <t>26-07-2022</t>
  </si>
  <si>
    <t>25-07-2022</t>
  </si>
  <si>
    <t>22-07-2022</t>
  </si>
  <si>
    <t>21-07-2022</t>
  </si>
  <si>
    <t>20-07-2022</t>
  </si>
  <si>
    <t>19-07-2022</t>
  </si>
  <si>
    <t>18-07-2022</t>
  </si>
  <si>
    <t>15-07-2022</t>
  </si>
  <si>
    <t>14-07-2022</t>
  </si>
  <si>
    <t>13-07-2022</t>
  </si>
  <si>
    <t>30-06-2022</t>
  </si>
  <si>
    <t>29-06-2022</t>
  </si>
  <si>
    <t>28-06-2022</t>
  </si>
  <si>
    <t>27-06-2022</t>
  </si>
  <si>
    <t>24-06-2022</t>
  </si>
  <si>
    <t>23-06-2022</t>
  </si>
  <si>
    <t>22-06-2022</t>
  </si>
  <si>
    <t>21-06-2022</t>
  </si>
  <si>
    <t>20-06-2022</t>
  </si>
  <si>
    <t>17-06-2022</t>
  </si>
  <si>
    <t>16-06-2022</t>
  </si>
  <si>
    <t>15-06-2022</t>
  </si>
  <si>
    <t>14-06-2022</t>
  </si>
  <si>
    <t>13-06-2022</t>
  </si>
  <si>
    <t>31-05-2022</t>
  </si>
  <si>
    <t>30-05-2022</t>
  </si>
  <si>
    <t>27-05-2022</t>
  </si>
  <si>
    <t>26-05-2022</t>
  </si>
  <si>
    <t>25-05-2022</t>
  </si>
  <si>
    <t>24-05-2022</t>
  </si>
  <si>
    <t>23-05-2022</t>
  </si>
  <si>
    <t>20-05-2022</t>
  </si>
  <si>
    <t>19-05-2022</t>
  </si>
  <si>
    <t>18-05-2022</t>
  </si>
  <si>
    <t>17-05-2022</t>
  </si>
  <si>
    <t>16-05-2022</t>
  </si>
  <si>
    <t>13-05-2022</t>
  </si>
  <si>
    <t>29-04-2022</t>
  </si>
  <si>
    <t>28-04-2022</t>
  </si>
  <si>
    <t>27-04-2022</t>
  </si>
  <si>
    <t>26-04-2022</t>
  </si>
  <si>
    <t>25-04-2022</t>
  </si>
  <si>
    <t>22-04-2022</t>
  </si>
  <si>
    <t>21-04-2022</t>
  </si>
  <si>
    <t>20-04-2022</t>
  </si>
  <si>
    <t>19-04-2022</t>
  </si>
  <si>
    <t>18-04-2022</t>
  </si>
  <si>
    <t>13-04-2022</t>
  </si>
  <si>
    <t>31-03-2022</t>
  </si>
  <si>
    <t>30-03-2022</t>
  </si>
  <si>
    <t>29-03-2022</t>
  </si>
  <si>
    <t>28-03-2022</t>
  </si>
  <si>
    <t>25-03-2022</t>
  </si>
  <si>
    <t>24-03-2022</t>
  </si>
  <si>
    <t>23-03-2022</t>
  </si>
  <si>
    <t>22-03-2022</t>
  </si>
  <si>
    <t>21-03-2022</t>
  </si>
  <si>
    <t>17-03-2022</t>
  </si>
  <si>
    <t>16-03-2022</t>
  </si>
  <si>
    <t>15-03-2022</t>
  </si>
  <si>
    <t>14-03-2022</t>
  </si>
  <si>
    <t>28-02-2022</t>
  </si>
  <si>
    <t>25-02-2022</t>
  </si>
  <si>
    <t>24-02-2022</t>
  </si>
  <si>
    <t>23-02-2022</t>
  </si>
  <si>
    <t>22-02-2022</t>
  </si>
  <si>
    <t>21-02-2022</t>
  </si>
  <si>
    <t>18-02-2022</t>
  </si>
  <si>
    <t>17-02-2022</t>
  </si>
  <si>
    <t>16-02-2022</t>
  </si>
  <si>
    <t>15-02-2022</t>
  </si>
  <si>
    <t>14-02-2022</t>
  </si>
  <si>
    <t>31-01-2022</t>
  </si>
  <si>
    <t>28-01-2022</t>
  </si>
  <si>
    <t>27-01-2022</t>
  </si>
  <si>
    <t>25-01-2022</t>
  </si>
  <si>
    <t>24-01-2022</t>
  </si>
  <si>
    <t>21-01-2022</t>
  </si>
  <si>
    <t>20-01-2022</t>
  </si>
  <si>
    <t>19-01-2022</t>
  </si>
  <si>
    <t>18-01-2022</t>
  </si>
  <si>
    <t>17-01-2022</t>
  </si>
  <si>
    <t>14-01-2022</t>
  </si>
  <si>
    <t>13-01-2022</t>
  </si>
  <si>
    <t>31-12-2021</t>
  </si>
  <si>
    <t>30-12-2021</t>
  </si>
  <si>
    <t>29-12-2021</t>
  </si>
  <si>
    <t>28-12-2021</t>
  </si>
  <si>
    <t>27-12-2021</t>
  </si>
  <si>
    <t>24-12-2021</t>
  </si>
  <si>
    <t>23-12-2021</t>
  </si>
  <si>
    <t>22-12-2021</t>
  </si>
  <si>
    <t>21-12-2021</t>
  </si>
  <si>
    <t>20-12-2021</t>
  </si>
  <si>
    <t>17-12-2021</t>
  </si>
  <si>
    <t>16-12-2021</t>
  </si>
  <si>
    <t>15-12-2021</t>
  </si>
  <si>
    <t>14-12-2021</t>
  </si>
  <si>
    <t>13-12-2021</t>
  </si>
  <si>
    <t>30-11-2021</t>
  </si>
  <si>
    <t>29-11-2021</t>
  </si>
  <si>
    <t>26-11-2021</t>
  </si>
  <si>
    <t>25-11-2021</t>
  </si>
  <si>
    <t>24-11-2021</t>
  </si>
  <si>
    <t>23-11-2021</t>
  </si>
  <si>
    <t>22-11-2021</t>
  </si>
  <si>
    <t>18-11-2021</t>
  </si>
  <si>
    <t>17-11-2021</t>
  </si>
  <si>
    <t>16-11-2021</t>
  </si>
  <si>
    <t>15-11-2021</t>
  </si>
  <si>
    <t>29-10-2021</t>
  </si>
  <si>
    <t>28-10-2021</t>
  </si>
  <si>
    <t>27-10-2021</t>
  </si>
  <si>
    <t>26-10-2021</t>
  </si>
  <si>
    <t>25-10-2021</t>
  </si>
  <si>
    <t>22-10-2021</t>
  </si>
  <si>
    <t>21-10-2021</t>
  </si>
  <si>
    <t>20-10-2021</t>
  </si>
  <si>
    <t>19-10-2021</t>
  </si>
  <si>
    <t>18-10-2021</t>
  </si>
  <si>
    <t>14-10-2021</t>
  </si>
  <si>
    <t>13-10-2021</t>
  </si>
  <si>
    <t>30-09-2021</t>
  </si>
  <si>
    <t>29-09-2021</t>
  </si>
  <si>
    <t>28-09-2021</t>
  </si>
  <si>
    <t>27-09-2021</t>
  </si>
  <si>
    <t>24-09-2021</t>
  </si>
  <si>
    <t>23-09-2021</t>
  </si>
  <si>
    <t>22-09-2021</t>
  </si>
  <si>
    <t>21-09-2021</t>
  </si>
  <si>
    <t>20-09-2021</t>
  </si>
  <si>
    <t>17-09-2021</t>
  </si>
  <si>
    <t>16-09-2021</t>
  </si>
  <si>
    <t>15-09-2021</t>
  </si>
  <si>
    <t>14-09-2021</t>
  </si>
  <si>
    <t>13-09-2021</t>
  </si>
  <si>
    <t>31-08-2021</t>
  </si>
  <si>
    <t>30-08-2021</t>
  </si>
  <si>
    <t>27-08-2021</t>
  </si>
  <si>
    <t>26-08-2021</t>
  </si>
  <si>
    <t>25-08-2021</t>
  </si>
  <si>
    <t>24-08-2021</t>
  </si>
  <si>
    <t>23-08-2021</t>
  </si>
  <si>
    <t>20-08-2021</t>
  </si>
  <si>
    <t>18-08-2021</t>
  </si>
  <si>
    <t>17-08-2021</t>
  </si>
  <si>
    <t>16-08-2021</t>
  </si>
  <si>
    <t>13-08-2021</t>
  </si>
  <si>
    <t>30-07-2021</t>
  </si>
  <si>
    <t>29-07-2021</t>
  </si>
  <si>
    <t>28-07-2021</t>
  </si>
  <si>
    <t>27-07-2021</t>
  </si>
  <si>
    <t>26-07-2021</t>
  </si>
  <si>
    <t>23-07-2021</t>
  </si>
  <si>
    <t>22-07-2021</t>
  </si>
  <si>
    <t>20-07-2021</t>
  </si>
  <si>
    <t>19-07-2021</t>
  </si>
  <si>
    <t>16-07-2021</t>
  </si>
  <si>
    <t>15-07-2021</t>
  </si>
  <si>
    <t>14-07-2021</t>
  </si>
  <si>
    <t>13-07-2021</t>
  </si>
  <si>
    <t>30-06-2021</t>
  </si>
  <si>
    <t>29-06-2021</t>
  </si>
  <si>
    <t>28-06-2021</t>
  </si>
  <si>
    <t>25-06-2021</t>
  </si>
  <si>
    <t>24-06-2021</t>
  </si>
  <si>
    <t>23-06-2021</t>
  </si>
  <si>
    <t>22-06-2021</t>
  </si>
  <si>
    <t>21-06-2021</t>
  </si>
  <si>
    <t>18-06-2021</t>
  </si>
  <si>
    <t>17-06-2021</t>
  </si>
  <si>
    <t>16-06-2021</t>
  </si>
  <si>
    <t>15-06-2021</t>
  </si>
  <si>
    <t>14-06-2021</t>
  </si>
  <si>
    <t>31-05-2021</t>
  </si>
  <si>
    <t>28-05-2021</t>
  </si>
  <si>
    <t>27-05-2021</t>
  </si>
  <si>
    <t>26-05-2021</t>
  </si>
  <si>
    <t>25-05-2021</t>
  </si>
  <si>
    <t>24-05-2021</t>
  </si>
  <si>
    <t>21-05-2021</t>
  </si>
  <si>
    <t>20-05-2021</t>
  </si>
  <si>
    <t>19-05-2021</t>
  </si>
  <si>
    <t>18-05-2021</t>
  </si>
  <si>
    <t>17-05-2021</t>
  </si>
  <si>
    <t>14-05-2021</t>
  </si>
  <si>
    <t>30-04-2021</t>
  </si>
  <si>
    <t>29-04-2021</t>
  </si>
  <si>
    <t>28-04-2021</t>
  </si>
  <si>
    <t>27-04-2021</t>
  </si>
  <si>
    <t>26-04-2021</t>
  </si>
  <si>
    <t>23-04-2021</t>
  </si>
  <si>
    <t>22-04-2021</t>
  </si>
  <si>
    <t>20-04-2021</t>
  </si>
  <si>
    <t>19-04-2021</t>
  </si>
  <si>
    <t>16-04-2021</t>
  </si>
  <si>
    <t>15-04-2021</t>
  </si>
  <si>
    <t>13-04-2021</t>
  </si>
  <si>
    <t>31-03-2021</t>
  </si>
  <si>
    <t>30-03-2021</t>
  </si>
  <si>
    <t>26-03-2021</t>
  </si>
  <si>
    <t>25-03-2021</t>
  </si>
  <si>
    <t>24-03-2021</t>
  </si>
  <si>
    <t>23-03-2021</t>
  </si>
  <si>
    <t>22-03-2021</t>
  </si>
  <si>
    <t>19-03-2021</t>
  </si>
  <si>
    <t>18-03-2021</t>
  </si>
  <si>
    <t>17-03-2021</t>
  </si>
  <si>
    <t>16-03-2021</t>
  </si>
  <si>
    <t>15-03-2021</t>
  </si>
  <si>
    <t>26-02-2021</t>
  </si>
  <si>
    <t>25-02-2021</t>
  </si>
  <si>
    <t>24-02-2021</t>
  </si>
  <si>
    <t>23-02-2021</t>
  </si>
  <si>
    <t>22-02-2021</t>
  </si>
  <si>
    <t>19-02-2021</t>
  </si>
  <si>
    <t>18-02-2021</t>
  </si>
  <si>
    <t>17-02-2021</t>
  </si>
  <si>
    <t>16-02-2021</t>
  </si>
  <si>
    <t>15-02-2021</t>
  </si>
  <si>
    <t>29-01-2021</t>
  </si>
  <si>
    <t>28-01-2021</t>
  </si>
  <si>
    <t>27-01-2021</t>
  </si>
  <si>
    <t>25-01-2021</t>
  </si>
  <si>
    <t>22-01-2021</t>
  </si>
  <si>
    <t>21-01-2021</t>
  </si>
  <si>
    <t>20-01-2021</t>
  </si>
  <si>
    <t>19-01-2021</t>
  </si>
  <si>
    <t>18-01-2021</t>
  </si>
  <si>
    <t>15-01-2021</t>
  </si>
  <si>
    <t>14-01-2021</t>
  </si>
  <si>
    <t>13-01-2021</t>
  </si>
  <si>
    <t>31-12-2020</t>
  </si>
  <si>
    <t>30-12-2020</t>
  </si>
  <si>
    <t>29-12-2020</t>
  </si>
  <si>
    <t>28-12-2020</t>
  </si>
  <si>
    <t>24-12-2020</t>
  </si>
  <si>
    <t>23-12-2020</t>
  </si>
  <si>
    <t>22-12-2020</t>
  </si>
  <si>
    <t>21-12-2020</t>
  </si>
  <si>
    <t>18-12-2020</t>
  </si>
  <si>
    <t>17-12-2020</t>
  </si>
  <si>
    <t>16-12-2020</t>
  </si>
  <si>
    <t>15-12-2020</t>
  </si>
  <si>
    <t>14-12-2020</t>
  </si>
  <si>
    <t>27-11-2020</t>
  </si>
  <si>
    <t>26-11-2020</t>
  </si>
  <si>
    <t>25-11-2020</t>
  </si>
  <si>
    <t>24-11-2020</t>
  </si>
  <si>
    <t>23-11-2020</t>
  </si>
  <si>
    <t>20-11-2020</t>
  </si>
  <si>
    <t>19-11-2020</t>
  </si>
  <si>
    <t>18-11-2020</t>
  </si>
  <si>
    <t>17-11-2020</t>
  </si>
  <si>
    <t>13-11-2020</t>
  </si>
  <si>
    <t>30-10-2020</t>
  </si>
  <si>
    <t>29-10-2020</t>
  </si>
  <si>
    <t>28-10-2020</t>
  </si>
  <si>
    <t>27-10-2020</t>
  </si>
  <si>
    <t>26-10-2020</t>
  </si>
  <si>
    <t>23-10-2020</t>
  </si>
  <si>
    <t>22-10-2020</t>
  </si>
  <si>
    <t>21-10-2020</t>
  </si>
  <si>
    <t>20-10-2020</t>
  </si>
  <si>
    <t>19-10-2020</t>
  </si>
  <si>
    <t>16-10-2020</t>
  </si>
  <si>
    <t>15-10-2020</t>
  </si>
  <si>
    <t>14-10-2020</t>
  </si>
  <si>
    <t>13-10-2020</t>
  </si>
  <si>
    <t>30-09-2020</t>
  </si>
  <si>
    <t>29-09-2020</t>
  </si>
  <si>
    <t>28-09-2020</t>
  </si>
  <si>
    <t>25-09-2020</t>
  </si>
  <si>
    <t>24-09-2020</t>
  </si>
  <si>
    <t>23-09-2020</t>
  </si>
  <si>
    <t>22-09-2020</t>
  </si>
  <si>
    <t>Year</t>
  </si>
  <si>
    <t>Others </t>
  </si>
  <si>
    <t>Public </t>
  </si>
  <si>
    <t>DIIs </t>
  </si>
  <si>
    <t>FIIs </t>
  </si>
  <si>
    <t>Gov.</t>
  </si>
  <si>
    <t>Prom.</t>
  </si>
  <si>
    <t>Goodwill</t>
  </si>
  <si>
    <t>Investments</t>
  </si>
  <si>
    <t>Loan &amp; Advances</t>
  </si>
  <si>
    <t>Long Term Lease Liabilities</t>
  </si>
  <si>
    <t>Other Non Current Liabilities</t>
  </si>
  <si>
    <t>Gain on Fair Valuation of Investments</t>
  </si>
  <si>
    <t>Gain on Fair Valuation of VAT Deferment Loan</t>
  </si>
  <si>
    <t>Provision for Exceptional Item</t>
  </si>
  <si>
    <t>Compensation Expenses Under ESOS</t>
  </si>
  <si>
    <t>Allowance for Credit</t>
  </si>
  <si>
    <t>Impairment in Value of Investments</t>
  </si>
  <si>
    <t>Bad Debts Written off</t>
  </si>
  <si>
    <t>Excess Provision Written Back</t>
  </si>
  <si>
    <t>Interest Income &amp; Dividend Income</t>
  </si>
  <si>
    <t>(Profit) / Loss on Sale / Retirement of PPE)</t>
  </si>
  <si>
    <t>Movements in Working Capital</t>
  </si>
  <si>
    <t>Increase in Trade Payables &amp; Other Liabilities</t>
  </si>
  <si>
    <t>Increase / Decrease in Trade Receivables</t>
  </si>
  <si>
    <t>Decrease / Increase in Inventories</t>
  </si>
  <si>
    <t>Increase in Financial &amp; Other Assets</t>
  </si>
  <si>
    <t>Sale of Property, Plant &amp; Equipment</t>
  </si>
  <si>
    <t>Payment for Cost of Tranfer of Assets</t>
  </si>
  <si>
    <t>Purchase / Sale of Liquid Investment</t>
  </si>
  <si>
    <t>Sale of Invesments</t>
  </si>
  <si>
    <t>Redmp. / (Investment) in Non Current Bank FD</t>
  </si>
  <si>
    <t>(Investment) / Redmp. in Other Bank Deposits</t>
  </si>
  <si>
    <t>Investment in Subsidiaries / Joint Venture &amp; Asso.</t>
  </si>
  <si>
    <t>Investment in Other Corporate Bodies</t>
  </si>
  <si>
    <t>Inter Corporate Deposit Repaid by Subsidiary</t>
  </si>
  <si>
    <t>Proceeds from Issue of Share Capital on ESOS</t>
  </si>
  <si>
    <t>Purchase of Treasury Shares</t>
  </si>
  <si>
    <t>Issue of Treasury Shares</t>
  </si>
  <si>
    <t>Repayment of Non Current Borrowings</t>
  </si>
  <si>
    <t>Proceeds from Non Current Borrowings</t>
  </si>
  <si>
    <t>Proceeds / Repayment of Current Borrowings</t>
  </si>
  <si>
    <t>Repayment of Principal Towards Lease Liability</t>
  </si>
  <si>
    <t>Interest Paid on Lease Liability</t>
  </si>
  <si>
    <t xml:space="preserve">Interest Paid </t>
  </si>
  <si>
    <t>(Profit) on Sale of Current &amp; Non Current Invest.</t>
  </si>
  <si>
    <t>Dividend Paid Including Div. Distribution Tax</t>
  </si>
  <si>
    <t>Net Cash From Operating Activities (A)</t>
  </si>
  <si>
    <t>Net Cash From Investing Activities (B)</t>
  </si>
  <si>
    <t>Net Cash From Financing Activities (C)</t>
  </si>
  <si>
    <t>Sale of Manufactured Products</t>
  </si>
  <si>
    <t>Price per 50 kg bag (In R.s)</t>
  </si>
  <si>
    <t xml:space="preserve">1 Bag 50 Kg in tonnes </t>
  </si>
  <si>
    <t>Approx. Bags according to revenue (In Cr.)</t>
  </si>
  <si>
    <t>Approximate Production in Million Tonnes (MT)</t>
  </si>
  <si>
    <t>Sale of Traded Products</t>
  </si>
  <si>
    <t>(Best Case)</t>
  </si>
  <si>
    <t>(Base Case)</t>
  </si>
  <si>
    <t>(Worst Case)</t>
  </si>
  <si>
    <t>% of Rev</t>
  </si>
  <si>
    <t>Sale of Service</t>
  </si>
  <si>
    <t>Other Operating Revenue</t>
  </si>
  <si>
    <t>Sale of Products &amp; Services</t>
  </si>
  <si>
    <t>Scrap Sales</t>
  </si>
  <si>
    <t>Lease Rent</t>
  </si>
  <si>
    <t>Miscellaneous Income</t>
  </si>
  <si>
    <t>Government Grants</t>
  </si>
  <si>
    <t>Unclaimed Liabilities Written Back</t>
  </si>
  <si>
    <t>Provisions no Longer Required Written Back</t>
  </si>
  <si>
    <t>Insurance Claim</t>
  </si>
  <si>
    <t>Production Growth</t>
  </si>
  <si>
    <t>Estimated Total Revenue from Operations</t>
  </si>
  <si>
    <t>OTHER INCOME SCHEDULE</t>
  </si>
  <si>
    <t>Interest Income</t>
  </si>
  <si>
    <t>Government &amp; Other Securities</t>
  </si>
  <si>
    <t>Bank &amp; Other Accounts</t>
  </si>
  <si>
    <t>Dividend Income</t>
  </si>
  <si>
    <t>Current Investments (Mutual Funds)</t>
  </si>
  <si>
    <t>Non Current Investments (From Subsidiary Comp.)</t>
  </si>
  <si>
    <t>Other</t>
  </si>
  <si>
    <t>Exchange Gain (Net)</t>
  </si>
  <si>
    <t>Profit on Sale of PPE (Net)</t>
  </si>
  <si>
    <t xml:space="preserve">Gain on Fair Valuation of Investments </t>
  </si>
  <si>
    <t>Profit on Sale of Current &amp; Non Current Investment</t>
  </si>
  <si>
    <t>Others</t>
  </si>
  <si>
    <t>% of Other Income</t>
  </si>
  <si>
    <t>Cost of Material Consumed</t>
  </si>
  <si>
    <t>COGS &amp; OPEX SCHEDULE</t>
  </si>
  <si>
    <t>Cogs</t>
  </si>
  <si>
    <t>% of COGS</t>
  </si>
  <si>
    <t>Purchases of Stock in Trade</t>
  </si>
  <si>
    <t>Changes in Inventories</t>
  </si>
  <si>
    <t>% of REV</t>
  </si>
  <si>
    <t>Cogs % of Rev</t>
  </si>
  <si>
    <t>Employee Benefit Expense</t>
  </si>
  <si>
    <t>Indirect Expenses</t>
  </si>
  <si>
    <t>% of Indirect Expenses</t>
  </si>
  <si>
    <t>S &amp; G Ex. % of Rev</t>
  </si>
  <si>
    <t>PPE / DEPRECIATION SCHEDIULE</t>
  </si>
  <si>
    <t>Opening PPE</t>
  </si>
  <si>
    <t>CapEx</t>
  </si>
  <si>
    <t>Disposals</t>
  </si>
  <si>
    <t>Closing Net PPE</t>
  </si>
  <si>
    <t>Actual Case</t>
  </si>
  <si>
    <t>Best Case</t>
  </si>
  <si>
    <t>Base Case</t>
  </si>
  <si>
    <t>Worst Case</t>
  </si>
  <si>
    <t>Notes</t>
  </si>
  <si>
    <t>For Other Income schedule I have taken the highest number observed within last 5 years for best case, average for base case &amp; lowest for worst case.</t>
  </si>
  <si>
    <t>Unlike income schedule I have just taken average % for all expenses that contribute to COGS (Direct Expenses) &amp; S &amp; G Expenses (Indirect Expenses), it is done because those figures doesn’t really have significant impact on overall model.</t>
  </si>
  <si>
    <t>FINANCE COST SCHEDULE</t>
  </si>
  <si>
    <t>#4)   Depreciation has steady growth which is expected by looking at PPE.</t>
  </si>
  <si>
    <t>Short Term Debt</t>
  </si>
  <si>
    <t>Opening Debt</t>
  </si>
  <si>
    <t>New Borrowings</t>
  </si>
  <si>
    <t>Debt Repayments</t>
  </si>
  <si>
    <t>Closing Debt</t>
  </si>
  <si>
    <t>Average Debt</t>
  </si>
  <si>
    <t>Interest Rate %</t>
  </si>
  <si>
    <t>Finance Charges</t>
  </si>
  <si>
    <t>Total Finance Cost</t>
  </si>
  <si>
    <t>Long Term Debt</t>
  </si>
  <si>
    <t>Interest Rate</t>
  </si>
  <si>
    <t>TAX SCHEDULE</t>
  </si>
  <si>
    <t>Closing Deferred Tax Liability</t>
  </si>
  <si>
    <t>Deferred Tax Assets</t>
  </si>
  <si>
    <t>Provision Allowed Under Tax on Payment Basis</t>
  </si>
  <si>
    <t>Deferred Tax Liabilities</t>
  </si>
  <si>
    <t>Tangiable and Intangiable Assets</t>
  </si>
  <si>
    <t>Fair Valuation of Investments</t>
  </si>
  <si>
    <t>Current Tax Liabilities</t>
  </si>
  <si>
    <t>Closing Balance</t>
  </si>
  <si>
    <t>YoY Growth %</t>
  </si>
  <si>
    <t>EQUITY SCHEDULE</t>
  </si>
  <si>
    <t>Opening Balance</t>
  </si>
  <si>
    <t>Fresh Issue of Shares</t>
  </si>
  <si>
    <t>Buyback</t>
  </si>
  <si>
    <t>YoY Diffrence</t>
  </si>
  <si>
    <t>No of Equity Shares (Best Case)</t>
  </si>
  <si>
    <t>No of Equity Shares (Base Case)</t>
  </si>
  <si>
    <t>No of Equity Shares (Worst Case)</t>
  </si>
  <si>
    <t>Dividends Base C</t>
  </si>
  <si>
    <t>Dividends Best C</t>
  </si>
  <si>
    <t>Dividends Worst C</t>
  </si>
  <si>
    <t>For best case I have considered some buyback for equity and YoY growth for other equity</t>
  </si>
  <si>
    <t>For worst case I have considered some issuance for equity and YoY growth for other equity</t>
  </si>
  <si>
    <t>For base case I have considered no buyback or issuance for equity and YoY growth for other equity</t>
  </si>
  <si>
    <t>Note : Orange font refers to assumptions, also note that assumptions are made on the basis of focusing base case scenario first on which best case scenario as well as worst case scenario are dependent.</t>
  </si>
  <si>
    <t>Change in NTWC</t>
  </si>
  <si>
    <t>WORKING CAPITAL SCHEDULE</t>
  </si>
  <si>
    <t>Net Working Capital</t>
  </si>
  <si>
    <t>Inventory Days (BEC)</t>
  </si>
  <si>
    <t>Inventory Days (BAC)</t>
  </si>
  <si>
    <t>Inventory Days (WC)</t>
  </si>
  <si>
    <t>Payables Days (BEC)</t>
  </si>
  <si>
    <t>Payables Days (BAC)</t>
  </si>
  <si>
    <t>Payables Days (WC)</t>
  </si>
  <si>
    <t>Debtor Days (BEC)</t>
  </si>
  <si>
    <t>Debtor Days (BAC)</t>
  </si>
  <si>
    <t>Debtor Days (WC)</t>
  </si>
  <si>
    <t>Interest + Dividend Income</t>
  </si>
  <si>
    <t>T &amp; I Assets</t>
  </si>
  <si>
    <t>LONG TERM SOLVENCY SCHEDULE</t>
  </si>
  <si>
    <t>Fixed Assets - Fixed Liabilities</t>
  </si>
  <si>
    <t>Extra cash and bank balance to be added in order to balance the balance sheet</t>
  </si>
  <si>
    <t>Short Term Debt (Best Case)</t>
  </si>
  <si>
    <t>Short Term Debt (Base Case)</t>
  </si>
  <si>
    <t>Short Term Debt (Worst Case)</t>
  </si>
  <si>
    <t>Total From Operating Activity</t>
  </si>
  <si>
    <t>Investing Activity</t>
  </si>
  <si>
    <t>Financing Activities</t>
  </si>
  <si>
    <t>Proceeds / Repayment of Non Current Borrowings</t>
  </si>
  <si>
    <t>Note that sale of PPE &amp; Investments are high for best case in order to increase the net Cash - Flow</t>
  </si>
  <si>
    <t>Net Cash Flow</t>
  </si>
  <si>
    <t>Operating Activity</t>
  </si>
  <si>
    <t>WHY YOU SHOULD INVEST</t>
  </si>
  <si>
    <t>WHY YOU SHOULD WAIT</t>
  </si>
  <si>
    <t>MARKET CAP.</t>
  </si>
  <si>
    <t>Asset Turnover Ratio</t>
  </si>
  <si>
    <t>Accumulated Depreciation</t>
  </si>
  <si>
    <t>Net Non Current Assets</t>
  </si>
  <si>
    <t>NOT A FINANCIAL ADVICE, DONE FOR EDUCATIONAL PURPOSE</t>
  </si>
  <si>
    <t>FORECAST SIMPLIFICATION</t>
  </si>
  <si>
    <t>Dividends per Share</t>
  </si>
  <si>
    <t xml:space="preserve">Base Case </t>
  </si>
  <si>
    <t>Slightly overvalued but justified</t>
  </si>
  <si>
    <t>Consistent revenue growth</t>
  </si>
  <si>
    <t>Bad</t>
  </si>
  <si>
    <t>Extremely low dividend yeild</t>
  </si>
  <si>
    <t>At current rate slightly overvalued</t>
  </si>
  <si>
    <t>Sales grows aggresively showing strong demand in future</t>
  </si>
  <si>
    <t>Sales grow steadily at sustainable speed aligned with historical growth</t>
  </si>
  <si>
    <t>Equity rises strongly indicating consistent value creation</t>
  </si>
  <si>
    <t>Equity grows at moderate speed with stable profitabilty</t>
  </si>
  <si>
    <t>Equity grows slowly shows cautious growth and limited internal value generation</t>
  </si>
  <si>
    <t>Net cash flow strengthens meaningfully, showing strong cash generation</t>
  </si>
  <si>
    <t>EPS Growth Rate %</t>
  </si>
  <si>
    <t>Description</t>
  </si>
  <si>
    <t>In Ratio for Better Understanding</t>
  </si>
  <si>
    <t>Ultratech is shown by yellow color, and we can conclude that company is overvalued in P/E ; EV/EBITDA  as well as in EV/Revenue</t>
  </si>
  <si>
    <t>Note : Estimate is followed by or based on the best, base &amp; worst case conditions which are calculated in assumption sheet. It is also followed by choose function for easier data visualization.</t>
  </si>
  <si>
    <t>C.F. STATEMENT (OTHERS) SCHEDULE</t>
  </si>
  <si>
    <t>If you observe worst case sales growth slows notably due to market pressure</t>
  </si>
  <si>
    <t>DPS in best case grows at rapid speed showing robust profitability</t>
  </si>
  <si>
    <t>INTRINSIC GROWTH</t>
  </si>
  <si>
    <t>Equity Research Report</t>
  </si>
  <si>
    <t>Ultratech Cement Ltd.</t>
  </si>
  <si>
    <t>About Company :</t>
  </si>
  <si>
    <t>Recommended</t>
  </si>
  <si>
    <t>Target Price</t>
  </si>
  <si>
    <t>Potential Target</t>
  </si>
  <si>
    <t>Nifty</t>
  </si>
  <si>
    <t>52 Week H/L (in Rs)</t>
  </si>
  <si>
    <t>Market Cap (in Rs)</t>
  </si>
  <si>
    <t>No. of Shares (in Crore)</t>
  </si>
  <si>
    <t>Dividend Yeild (%)</t>
  </si>
  <si>
    <t>NSE Code</t>
  </si>
  <si>
    <t>Executive Summary :</t>
  </si>
  <si>
    <t>Absolute Return</t>
  </si>
  <si>
    <t>Shareholding Pattern as of Recent Times</t>
  </si>
  <si>
    <t>Promoter</t>
  </si>
  <si>
    <t>FII</t>
  </si>
  <si>
    <t>DII</t>
  </si>
  <si>
    <t>Public</t>
  </si>
  <si>
    <t>Gov</t>
  </si>
  <si>
    <t>Figures in Crores</t>
  </si>
  <si>
    <t>FY24</t>
  </si>
  <si>
    <t>Net Sales</t>
  </si>
  <si>
    <t>EPS (in Rs)</t>
  </si>
  <si>
    <t>Mcap/Sales</t>
  </si>
  <si>
    <t>RoE</t>
  </si>
  <si>
    <t>RoCE</t>
  </si>
  <si>
    <t>FY23</t>
  </si>
  <si>
    <t>13097 / 10047</t>
  </si>
  <si>
    <t>UltraTech Cement Limited is India’s largest cement and building materials company and a flagship of the Aditya Birla Group. Headquartered in Mumbai, it is the country’s leading producer of grey cement, ready-mix concrete (RMC), and white cement, with a strong presence across India and select overseas markets. Financially, the company has shown steady revenue growth, improving margins in favorable cost cycles, and strong operating cash generation. However, it remains a capital-intensive business, sensitive to energy costs, freight rates, and the construction cycle. Overall, UltraTech is considered a sector leader with long-term growth potential linked to India’s infrastructure and housing development. In short UltraTech Cement is one of the leaders who has been excellent overall.</t>
  </si>
  <si>
    <t>Strength</t>
  </si>
  <si>
    <t xml:space="preserve">that </t>
  </si>
  <si>
    <t>builds</t>
  </si>
  <si>
    <t xml:space="preserve">White Cement (1 Unit) and </t>
  </si>
  <si>
    <t>Wall care (3 Units) capacity.</t>
  </si>
  <si>
    <t>2.6 MTPA</t>
  </si>
  <si>
    <t>Their</t>
  </si>
  <si>
    <t>vision</t>
  </si>
  <si>
    <t>To be leader in building solutions.</t>
  </si>
  <si>
    <t>Strategy</t>
  </si>
  <si>
    <t>Enhancing</t>
  </si>
  <si>
    <t>Value</t>
  </si>
  <si>
    <t>Partners</t>
  </si>
  <si>
    <t>Presence</t>
  </si>
  <si>
    <t>with purpose</t>
  </si>
  <si>
    <t>Network</t>
  </si>
  <si>
    <t>37000+</t>
  </si>
  <si>
    <t>Dealers</t>
  </si>
  <si>
    <t>108000 +</t>
  </si>
  <si>
    <t>Retailers</t>
  </si>
  <si>
    <t>4615 +</t>
  </si>
  <si>
    <t>UBS outlets</t>
  </si>
  <si>
    <t>Nationwide Reach</t>
  </si>
  <si>
    <t>50000 +</t>
  </si>
  <si>
    <t>Truck Fleet</t>
  </si>
  <si>
    <t>30000 +</t>
  </si>
  <si>
    <t>Destinations served</t>
  </si>
  <si>
    <t>25000 +</t>
  </si>
  <si>
    <t>Daily rake movement</t>
  </si>
  <si>
    <t>Daily truck movement</t>
  </si>
  <si>
    <t>Warehouses</t>
  </si>
  <si>
    <t>Railheads</t>
  </si>
  <si>
    <t>3 Mon.</t>
  </si>
  <si>
    <t>6 Mon.</t>
  </si>
  <si>
    <t xml:space="preserve"> 1 yr</t>
  </si>
  <si>
    <t>ULTRATECH CEM. &amp; NIFTY PERFORMANCE</t>
  </si>
  <si>
    <t>ConCall Analysis is done in 2 parts. ( ~ Refers to approximation)</t>
  </si>
  <si>
    <t>FY2025</t>
  </si>
  <si>
    <t>#</t>
  </si>
  <si>
    <t>Increase / Decrease in Provisions</t>
  </si>
  <si>
    <t>Investment in Subsidiaries / Joint Venture &amp; Aso.</t>
  </si>
  <si>
    <t>Actual / Estimated Total Other Income</t>
  </si>
  <si>
    <t>#1)   PPE has shown consistent growth from 2021 to 2025.</t>
  </si>
  <si>
    <t>#2)   CapEx growth continues, understandable since it's capex heavy business.</t>
  </si>
  <si>
    <t>#3)   Disposals don’t carry that much weight in model hence we just assumed it.</t>
  </si>
  <si>
    <t>Note : As we have taken % of PPE for CapEx, Depreciation &amp; CWIP some adjustments are made by using some estimations.</t>
  </si>
  <si>
    <t>Takeaway : The company executes its capex projects successfully, commissioning assets on time and expanding operations aggressively.</t>
  </si>
  <si>
    <t>Company conserves cash, prioritizes asset sustenance &amp; remains defensive due to: 1) Market downturn 2) Demand slowdown 3) Cement pricing pressure 4) High energy cost etc.</t>
  </si>
  <si>
    <t>YoY Difference</t>
  </si>
  <si>
    <t>YoY Difference %</t>
  </si>
  <si>
    <t>YoY Difference No.</t>
  </si>
  <si>
    <t>Closing Bal. Dif</t>
  </si>
  <si>
    <t>To deliver superior value to our stakeholders on the four pillars of :                                   1. Sustainability                      2. Innovation team                      3. Empowerment                      4. Customer centricity.</t>
  </si>
  <si>
    <r>
      <t xml:space="preserve">UltraTech Cement Ltd. The cement flagship company of the Aditya Birla Group, stands as a formidable building solutions powerhouse. they are the only cement company in the world (outside of china) to boast an impressive 183.36 MTPA of cement manufacturing capacity within single country. It includes </t>
    </r>
    <r>
      <rPr>
        <b/>
        <i/>
        <sz val="11"/>
        <color theme="1"/>
        <rFont val="Arial"/>
        <family val="2"/>
      </rPr>
      <t>19.2 %</t>
    </r>
    <r>
      <rPr>
        <sz val="11"/>
        <color theme="1"/>
        <rFont val="Arial"/>
        <family val="2"/>
      </rPr>
      <t xml:space="preserve"> in North India,</t>
    </r>
    <r>
      <rPr>
        <i/>
        <sz val="11"/>
        <color theme="1"/>
        <rFont val="Arial"/>
        <family val="2"/>
      </rPr>
      <t xml:space="preserve"> </t>
    </r>
    <r>
      <rPr>
        <b/>
        <i/>
        <sz val="11"/>
        <color theme="1"/>
        <rFont val="Arial"/>
        <family val="2"/>
      </rPr>
      <t>18.1 %</t>
    </r>
    <r>
      <rPr>
        <sz val="11"/>
        <color theme="1"/>
        <rFont val="Arial"/>
        <family val="2"/>
      </rPr>
      <t xml:space="preserve"> East India,</t>
    </r>
    <r>
      <rPr>
        <sz val="11"/>
        <color theme="4"/>
        <rFont val="Arial"/>
        <family val="2"/>
      </rPr>
      <t xml:space="preserve"> </t>
    </r>
    <r>
      <rPr>
        <b/>
        <i/>
        <sz val="11"/>
        <color theme="1"/>
        <rFont val="Arial"/>
        <family val="2"/>
      </rPr>
      <t>27.5 %</t>
    </r>
    <r>
      <rPr>
        <sz val="11"/>
        <color theme="1"/>
        <rFont val="Arial"/>
        <family val="2"/>
      </rPr>
      <t xml:space="preserve"> South India, </t>
    </r>
    <r>
      <rPr>
        <b/>
        <i/>
        <sz val="11"/>
        <color theme="1"/>
        <rFont val="Arial"/>
        <family val="2"/>
      </rPr>
      <t>18.2 %</t>
    </r>
    <r>
      <rPr>
        <sz val="11"/>
        <color theme="1"/>
        <rFont val="Arial"/>
        <family val="2"/>
      </rPr>
      <t xml:space="preserve"> West India, </t>
    </r>
    <r>
      <rPr>
        <b/>
        <i/>
        <sz val="11"/>
        <color theme="1"/>
        <rFont val="Arial"/>
        <family val="2"/>
      </rPr>
      <t>17.0 %</t>
    </r>
    <r>
      <rPr>
        <sz val="11"/>
        <color theme="1"/>
        <rFont val="Arial"/>
        <family val="2"/>
      </rPr>
      <t xml:space="preserve"> Central India.</t>
    </r>
  </si>
  <si>
    <t>Long term schedule is not a usual schedule that should be made, still by making this we can access long term financial health of company &amp; also we have chosen to consider YoY difference in the form of percentages as well as direct numbers whichever makes more sense.</t>
  </si>
  <si>
    <t>Inventory, Payables, Debtor days are taken from observing ratio analysis, also note that assumptions are made by focusing on base case first on which other scenarios are dependent. Also we have added or subtracted figures by looking at YoY difference in the form of percentages or direct numbers whichever is more suitable.</t>
  </si>
  <si>
    <t>Note : Green font for EBT from schedule, orange font for assumptions and all the other metrics are taken from notes. Also note that we have made assumption based on YoY difference from historical data.</t>
  </si>
  <si>
    <t xml:space="preserve">Dalmia Bharat </t>
  </si>
  <si>
    <t>Dalmia Bharat</t>
  </si>
  <si>
    <t>DALMIA BHARAT</t>
  </si>
  <si>
    <t>CapEx % of Rev (Best Case)</t>
  </si>
  <si>
    <t>CapEx % of Rev (Base Case)</t>
  </si>
  <si>
    <t>CapEx % of Rev (Worst Case)</t>
  </si>
  <si>
    <t>Depreciation % of Rev (Best Case)</t>
  </si>
  <si>
    <t>Depreciation % of Rev (Base Case)</t>
  </si>
  <si>
    <t>Depreciation % of Rev (Worst Case)</t>
  </si>
  <si>
    <t>CWIP % of Capex (Best Case)</t>
  </si>
  <si>
    <t>CWIP % of Capex (Base Case)</t>
  </si>
  <si>
    <t>CWIP % of Capex (Worst Case)</t>
  </si>
  <si>
    <t>P/E is slightly overvalued compared to industry average but P/B is always being traded at 4x - 5x</t>
  </si>
  <si>
    <t>DPS grows at steady speed but after falling significantly next year</t>
  </si>
  <si>
    <t>Wacc</t>
  </si>
  <si>
    <t xml:space="preserve">UltraTech Cement stands out as a structurally strong and resilient business, supported by its industry leadership, scale advantages, and disciplined financial management. </t>
  </si>
  <si>
    <t>Your YoY analysis and forecasts show consistent revenue growth across historical and projected periods, with base and best-case scenarios indicating stable demand aligned with India’s infrastructure, housing, and urbanisation cycle. Operating performance remains robust, as reflected in steady EBITDA generation and positive operating cash flows.</t>
  </si>
  <si>
    <t>Intrinsic growth calculations based on reinvestment rate and ROIC suggest the company is reinvesting meaningfully to sustain long-term growth</t>
  </si>
  <si>
    <t>Balance sheet strength is evident through a consistently strong Altman Z-score, signalling low financial distress risk.</t>
  </si>
  <si>
    <t xml:space="preserve">DuPont analysis shows that ROE is primarily driven by operating efficiency and asset utilisation rather than excessive leverage, which improves the quality of returns. Despite heavy capital expenditure, debt levels remain manageable, and interest coverage stays comfortable. Football field analysis indicates that while valuation varies across methodologies, UltraTech consistently appears as a high-quality core asset within the cement sector. </t>
  </si>
  <si>
    <t>For long-term investors seeking business durability, market leadership, and predictable earnings power</t>
  </si>
  <si>
    <t>UltraTech represents a fundamentally sound compounder capable of delivering steady value over an extended horizon.</t>
  </si>
  <si>
    <t>Across all DCF–FCFF scenarios—best, base, and worst case—the intrinsic equity value per share remains significantly below the current market price, indicating that the stock is trading at a meaningful premium.</t>
  </si>
  <si>
    <t xml:space="preserve">Free cash flow generation remains structurally constrained due to high reinvestment needs inherent to the cement industry. </t>
  </si>
  <si>
    <t>While reinvestment supports growth, it also limits cash available for shareholders and increases sensitivity to execution risk.</t>
  </si>
  <si>
    <t xml:space="preserve">Sensitivity and football field analysis highlight sharp downside risk if assumptions around growth, margins, or WACC weaken even modestly. Any slowdown in infrastructure spending, demand cyclicality, or cost inflation could materially compress valuation. </t>
  </si>
  <si>
    <t>In such a scenario, premium multiples may de-rate quickly. Therefore, while UltraTech is a strong business, current pricing implies near-perfect execution, making risk-reward unattractive for valuation-conscious investors.</t>
  </si>
  <si>
    <t>Ratio analysis shows declining or volatile ROCE and ROA trends, suggesting incremental capital may generate lower returns over time as capacity expands. Dividend yeild is very low which can concern many investors.</t>
  </si>
  <si>
    <t>Proper equity research report is also made on ultratech cement by analyzing the financial model</t>
  </si>
  <si>
    <t>SALES  GROWTH  FROM  OPERATIONS</t>
  </si>
  <si>
    <t>GROSS  PROFIT  GROWTH</t>
  </si>
  <si>
    <t>EBITDA  GROWTH</t>
  </si>
  <si>
    <t>NET  PROFIT  GROWTH</t>
  </si>
  <si>
    <t>WORKING  CAPITAL  DAYS</t>
  </si>
  <si>
    <t>WHAT  ULTRATECH  STANDS  FOR</t>
  </si>
  <si>
    <t>CONCALL  ANALYSIS   (PART 2)</t>
  </si>
  <si>
    <t>CONCALL  ANALYSIS   (PART 1)</t>
  </si>
  <si>
    <t>FY25</t>
  </si>
  <si>
    <t>They have firmly established a robust manufacturing and distribution presence across both domestic and international markets. Their widespread operational footprint enables them to stay closer to customers, ensuring timely delivery &amp; support local economies.</t>
  </si>
  <si>
    <t>With an extensive network of facilities and operations spanning the entire country. they are positioned at forefront of every major construction initiative.</t>
  </si>
  <si>
    <t>Exhibit : 1</t>
  </si>
  <si>
    <t>Exhibit : 2</t>
  </si>
  <si>
    <t>Exhibit : 3</t>
  </si>
  <si>
    <t>Exhibit : 4</t>
  </si>
  <si>
    <t>Exhibit : 5</t>
  </si>
  <si>
    <t>Financial Performance :</t>
  </si>
  <si>
    <t>_ Consolidated revenue and EBITDA growth were driven primarily by volume expansion, including contributions from recent acquisitions.
_ EBITDA margins improved sequentially, supported by cost efficiencies and operating leverage, despite pricing remaining largely stable.
_ Management reiterated focus on cost-led profitability improvement rather than price hikes.</t>
  </si>
  <si>
    <t>Volume, Demand &amp; Market Trends :</t>
  </si>
  <si>
    <t>Capacity Expansion &amp; Capex :</t>
  </si>
  <si>
    <t>Cost Structure &amp; Margin Outlook :</t>
  </si>
  <si>
    <t>Balance Sheet &amp; Capital Allocation :</t>
  </si>
  <si>
    <t>_ Cement demand growth for FY25 remained moderate, impacted by weather disruptions and uneven regional demand.
_ Rural and infrastructure-led demand showed relative resilience, and while looking at urban housing demand remained stable.
_ Management expects double-digit volume growth in FY26, which is supported by infrastructure spending and capacity additions.</t>
  </si>
  <si>
    <t>_ Management targets ₹300+/ton structural cost savings by FY27, driven by:
                                                                                                                                                                                             &gt;&gt;&gt; Higher use of renewable energy and WHRS
&gt;&gt;&gt; Logistics optimization
&gt;&gt;&gt; Improved fuel mix and operational efficiencies
&gt;&gt;&gt; Margin expansion is expected even in a flat pricing environment, enhancing earnings visibility.</t>
  </si>
  <si>
    <t>Overall Assessment :</t>
  </si>
  <si>
    <t>Pricing &amp; Competitive Enviornment :</t>
  </si>
  <si>
    <t>Management Commentary &amp; Risk :</t>
  </si>
  <si>
    <t>Q1 - 2026 &amp; Q2 - 2026 Analysis</t>
  </si>
  <si>
    <t>Revenue Growth</t>
  </si>
  <si>
    <t>Our Model</t>
  </si>
  <si>
    <t>Quarterly Results</t>
  </si>
  <si>
    <t>Metrics</t>
  </si>
  <si>
    <t>Conclusion</t>
  </si>
  <si>
    <t>Ebitda Growth</t>
  </si>
  <si>
    <t>Capex Assumption</t>
  </si>
  <si>
    <t>Pricing Assumption</t>
  </si>
  <si>
    <t>Valuation Framework</t>
  </si>
  <si>
    <t>Aligned</t>
  </si>
  <si>
    <t xml:space="preserve">No mismatch identified, base case is aligned </t>
  </si>
  <si>
    <t>_ Management refrained from giving explicit pricing guidance.
_ Pricing trends improved modestly post-March, but pricing is not a key assumption for margin recovery.
_ Competitive intensity remains elevated in select regions, particularly the South.</t>
  </si>
  <si>
    <t>_ Management commentary remained measured and execution-focused.
_ Key risks highlighted include:
&gt;&gt;&gt; Weather-related demand volatility
&gt;&gt;&gt; Fuel cost fluctuations
&gt;&gt;&gt; Regional pricing pressure
&gt;&gt;&gt; No structural concerns flagged.</t>
  </si>
  <si>
    <t>_ Q4 FY25 concall reinforces UltraTech’s volume-led growth strategy, cost-driven margin expansion and disciplined capital allocation.
_ Management guidance supports a stable to improving earnings trajectory over the medium term, aligned with ongoing capacity expansion and efficiency initiatives.</t>
  </si>
  <si>
    <t>_ Significant capacity additions were completed during FY25, taking total capacity materially higher.
_ FY26 capex guidance of ₹9,000–10,000 crore was reiterated, largely focused on brownfield expansions and efficiency enhancement which is aligned with our model.
_ Further expansion phases are under evaluation, indicating confidence in medium-term demand outlook.</t>
  </si>
  <si>
    <t>_ Net debt remains within management’s comfort range, with Net Debt/EBITDA ~ 1.1–1.5x.
_ Management reiterated a medium-term target of reducing leverage to ~ 0.5x through internal accruals.
_ Capital allocation remains disciplined, balancing growth and balance sheet strength.</t>
  </si>
  <si>
    <t>Average or middle line is at 11499</t>
  </si>
  <si>
    <t>Average or middle line is at 342834</t>
  </si>
  <si>
    <t>Stock data (as on 31 Mar 2025)</t>
  </si>
  <si>
    <t>Mission</t>
  </si>
  <si>
    <t>ULTRATECH'S  EXISTENCE</t>
  </si>
  <si>
    <t>Quarter 1  2025</t>
  </si>
  <si>
    <r>
      <t>Cemented its position as India's largest cement manufacturer,</t>
    </r>
    <r>
      <rPr>
        <sz val="11"/>
        <color theme="1"/>
        <rFont val="Arial"/>
        <family val="2"/>
      </rPr>
      <t xml:space="preserve">                                                                                                                                                                                                                                                                                                                                       Ultratech commissioned two new units to surpass the groundbreaing 150 MTPA grey cement production.</t>
    </r>
  </si>
  <si>
    <t>Quarter 2  2025</t>
  </si>
  <si>
    <r>
      <t xml:space="preserve">Strengthened international footprint                     </t>
    </r>
    <r>
      <rPr>
        <sz val="11"/>
        <color theme="1"/>
        <rFont val="Arial"/>
        <family val="2"/>
      </rPr>
      <t>Ultratech acquired an additional stake in Ras Al Khaimah Co. for white cement and construction materials PSC, making a latter a subsidiary.</t>
    </r>
  </si>
  <si>
    <t>Quarter 3  2025</t>
  </si>
  <si>
    <r>
      <rPr>
        <b/>
        <sz val="11"/>
        <color theme="1"/>
        <rFont val="Arial"/>
        <family val="2"/>
      </rPr>
      <t>Expanded the company's production capabilities</t>
    </r>
    <r>
      <rPr>
        <sz val="11"/>
        <color theme="1"/>
        <rFont val="Arial"/>
        <family val="2"/>
      </rPr>
      <t xml:space="preserve"> Ultratech acquired India Cements, making it a subsidiary of the company</t>
    </r>
  </si>
  <si>
    <t>Quarter 4  2025</t>
  </si>
  <si>
    <r>
      <rPr>
        <b/>
        <sz val="11"/>
        <color theme="1"/>
        <rFont val="Arial"/>
        <family val="2"/>
      </rPr>
      <t>At the forefront of sustainability</t>
    </r>
    <r>
      <rPr>
        <sz val="11"/>
        <color theme="1"/>
        <rFont val="Arial"/>
        <family val="2"/>
      </rPr>
      <t xml:space="preserve">                                Ultratech ranked No. 1 in sustainability in cement &amp; building materials sector in India by BW (Business World) topping the sectoral ranking for fourth consecutive time.</t>
    </r>
  </si>
  <si>
    <r>
      <rPr>
        <b/>
        <sz val="11"/>
        <color theme="1"/>
        <rFont val="Arial"/>
        <family val="2"/>
      </rPr>
      <t xml:space="preserve">Reaffirmed the company's commitment to sustainability and ESG goals                                                           </t>
    </r>
    <r>
      <rPr>
        <sz val="11"/>
        <color theme="1"/>
        <rFont val="Arial"/>
        <family val="2"/>
      </rPr>
      <t xml:space="preserve"> Ultratech raised 4500 crore through sustainability linked financing.</t>
    </r>
  </si>
  <si>
    <r>
      <rPr>
        <b/>
        <sz val="11"/>
        <color theme="1"/>
        <rFont val="Arial"/>
        <family val="2"/>
      </rPr>
      <t>Expanded the company's footprint</t>
    </r>
    <r>
      <rPr>
        <sz val="11"/>
        <color theme="1"/>
        <rFont val="Arial"/>
        <family val="2"/>
      </rPr>
      <t xml:space="preserve">                                   Effective 1st March, 2025 Ultratech has successfully completed the acquisition of the cement business of kesoram Industries Limited.</t>
    </r>
  </si>
  <si>
    <r>
      <rPr>
        <b/>
        <sz val="11"/>
        <color theme="1"/>
        <rFont val="Arial"/>
        <family val="2"/>
      </rPr>
      <t>Championed green logistics at scale</t>
    </r>
    <r>
      <rPr>
        <sz val="11"/>
        <color theme="1"/>
        <rFont val="Arial"/>
        <family val="2"/>
      </rPr>
      <t xml:space="preserve">                       Ultratech announced transport service contract to deploy hundred more Electric Vehicals trucks in its logistics operations.</t>
    </r>
  </si>
  <si>
    <r>
      <rPr>
        <b/>
        <sz val="11"/>
        <color theme="1"/>
        <rFont val="Arial"/>
        <family val="2"/>
      </rPr>
      <t>Leveraged innovation to decarbonise the cemet sector</t>
    </r>
    <r>
      <rPr>
        <sz val="11"/>
        <color theme="1"/>
        <rFont val="Arial"/>
        <family val="2"/>
      </rPr>
      <t xml:space="preserve">                                                                                                   Ultratech collaborated with University of California, Los Angeles, to pilot a groundbreaking and innovative new decarbonisation technology which is named ZeroCAL.         (Zero Carbon Lime)</t>
    </r>
  </si>
  <si>
    <t>Non Controlling Assets</t>
  </si>
  <si>
    <t>In Revenue schedule I have observed that the section "Sale From Manufactured Products" makes upto almost 92% of total revenue from operations on average hence the other 8% are distributed among other sources by considering historical trend, production growth are approximate calculations made by observing revenue over last 5 years.</t>
  </si>
  <si>
    <t>Long Term D. (Best Case)</t>
  </si>
  <si>
    <t>Long Term D. (Base Case)</t>
  </si>
  <si>
    <t>Long Term D. (Worst Case)</t>
  </si>
  <si>
    <t>Years</t>
  </si>
  <si>
    <t>DPS declines hugely potentially next year and then tries to rise back up</t>
  </si>
  <si>
    <t>Borrowings decrease suddenly in best case next year then rise back again due to low cash</t>
  </si>
  <si>
    <t>Borrowings decreases in base case resulting from last year then rises even more due to low cash E.</t>
  </si>
  <si>
    <t>Borrowings decreases aggresively next year and the builds heavily again due to cash shortage</t>
  </si>
  <si>
    <t>Base case also shows good net cash flow like historical figures</t>
  </si>
  <si>
    <t>Worst case shows inconsistency in net cash flow through next 5 years</t>
  </si>
  <si>
    <t>Okay</t>
  </si>
  <si>
    <t>is always below 0.50x</t>
  </si>
  <si>
    <t>PEG has been inconsistent and volatile</t>
  </si>
  <si>
    <t>Football field analysis</t>
  </si>
  <si>
    <t>Dcf to equity</t>
  </si>
  <si>
    <t>Value of operating Assets</t>
  </si>
  <si>
    <t>Takeaway : Capex supports market demand + maintenance ; no over expansion. Most realistic case for long term modelling.</t>
  </si>
  <si>
    <t>N. of Shares (Cr.)</t>
  </si>
  <si>
    <t>60 +</t>
  </si>
  <si>
    <t>300 +</t>
  </si>
  <si>
    <t xml:space="preserve">Except for DPS all other metrics even in worst case shows growth but they borrowed significantly last year it is hard to estimate the borrowings next year, we assumed debt will fall fastly &amp; then rise  </t>
  </si>
  <si>
    <t>Yearly Overview of 2024 - 2025</t>
  </si>
  <si>
    <t>North India</t>
  </si>
  <si>
    <t>South India</t>
  </si>
  <si>
    <t>East India</t>
  </si>
  <si>
    <t>Central India</t>
  </si>
  <si>
    <t>West India</t>
  </si>
  <si>
    <t xml:space="preserve">Exhibit : 6 </t>
  </si>
  <si>
    <t>IN CRORE UNLESS STATED OTHERWISE</t>
  </si>
  <si>
    <t>Total Revenue</t>
  </si>
  <si>
    <t>Gross Profit Margin %</t>
  </si>
  <si>
    <t>EBITDA Margin %</t>
  </si>
  <si>
    <t>Net Profit Margin %</t>
  </si>
  <si>
    <t>Q4FY24</t>
  </si>
  <si>
    <t>Q4FY25</t>
  </si>
  <si>
    <t>Q3FY25</t>
  </si>
  <si>
    <t>EBIT YoY Change %</t>
  </si>
  <si>
    <t xml:space="preserve">YoY % </t>
  </si>
  <si>
    <t>QoQ %</t>
  </si>
  <si>
    <t>Exhibit : 7</t>
  </si>
  <si>
    <t>FY26 - E</t>
  </si>
  <si>
    <t>FY27 - E</t>
  </si>
  <si>
    <t>FY25 - A</t>
  </si>
  <si>
    <t>FY24 - A</t>
  </si>
  <si>
    <t>FY23 - A</t>
  </si>
  <si>
    <t>Exhibit : 8</t>
  </si>
  <si>
    <t>Q1FY25</t>
  </si>
  <si>
    <t>Q1FY26</t>
  </si>
  <si>
    <t>Q2FY26</t>
  </si>
  <si>
    <t>Exhibit : 9</t>
  </si>
  <si>
    <t>PARTICULARS</t>
  </si>
  <si>
    <t>Cash EPS</t>
  </si>
  <si>
    <t>DPS</t>
  </si>
  <si>
    <t>Cash per Share</t>
  </si>
  <si>
    <t>Exhibit : 10</t>
  </si>
  <si>
    <t>OPERATING RATIOS %</t>
  </si>
  <si>
    <t>ACTIVITY RATIOS</t>
  </si>
  <si>
    <t>RETURN RATIOS %</t>
  </si>
  <si>
    <t>VALUATION RATIOS %</t>
  </si>
  <si>
    <t>SOLVENCY RATIOS</t>
  </si>
  <si>
    <t>Creditor Days</t>
  </si>
  <si>
    <t>ROE</t>
  </si>
  <si>
    <t>ROCE</t>
  </si>
  <si>
    <t>EV / Net Sales</t>
  </si>
  <si>
    <t>P / E</t>
  </si>
  <si>
    <t>Debt / EBITDA</t>
  </si>
  <si>
    <t>Current Ratio</t>
  </si>
  <si>
    <t>Quick Ratio</t>
  </si>
  <si>
    <t>BVPS</t>
  </si>
  <si>
    <t>N/A</t>
  </si>
  <si>
    <t>Note that for ratios we have considered base case meaning what we think is most likely to happen and you can also notice that roic is assumed by directly taking average of last 5 years since further analysis would have been needed otherwise, for valuation ratios we can observe that 2027 estimated are mentioned as not applicable since we can not directly predict the metrics which are needed for calculating those ratios, for 2026 we have analyzed relative valuation from our financial model and from our model we can only make assumptions about next year only.</t>
  </si>
  <si>
    <t>Exhibit : 11</t>
  </si>
  <si>
    <t>Peers</t>
  </si>
  <si>
    <t>Ultratech Cements</t>
  </si>
  <si>
    <t>J. K. Cements</t>
  </si>
  <si>
    <t>Acc</t>
  </si>
  <si>
    <t>EV / Revenue</t>
  </si>
  <si>
    <t>Broker / Research house</t>
  </si>
  <si>
    <t>Reco.</t>
  </si>
  <si>
    <t>Target price</t>
  </si>
  <si>
    <t>% Change</t>
  </si>
  <si>
    <t>Axis Direct</t>
  </si>
  <si>
    <t>Motilal Oswal</t>
  </si>
  <si>
    <t>Prabhudas Lilladhar</t>
  </si>
  <si>
    <t>Sharekhan</t>
  </si>
  <si>
    <t>BOB Capital Markets</t>
  </si>
  <si>
    <t>Geojit BNP Paribas</t>
  </si>
  <si>
    <t>ICICI Direct</t>
  </si>
  <si>
    <t>Axis Direct (Earlier Series)</t>
  </si>
  <si>
    <t>BUY</t>
  </si>
  <si>
    <t>Focus on growth</t>
  </si>
  <si>
    <t>Strong volume</t>
  </si>
  <si>
    <t>Positive trend</t>
  </si>
  <si>
    <t>Capacity expansion</t>
  </si>
  <si>
    <t>Stable margins</t>
  </si>
  <si>
    <t>Long term view</t>
  </si>
  <si>
    <t>Consistent buy stance</t>
  </si>
  <si>
    <t>Slightly lower older target</t>
  </si>
  <si>
    <t>Our Analysis</t>
  </si>
  <si>
    <t>Volume led growth</t>
  </si>
  <si>
    <t>This equity research report has been prepared solely for educational and academic purposes and should not be considered as investment advice or a recommendation of any kind. The information, analysis, assumptions, and opinions presented in this report are based on publicly available data, company disclosures, and sources believed to be reliable at the time of preparation. However, the author does not make any representation or warranty, express or implied, as to the accuracy, completeness, or reliability of the information contained herein, and no responsibility is accepted for any errors or omissions.
This document does not constitute an offer, solicitation, or recommendation to buy, sell, or hold any securities, financial instruments, or investment products. The author is not a SEBI-registered research analyst or investment advisor, and this report has not been prepared in accordance with the regulatory requirements applicable to professional investment research.
Investments in the securities market are subject to market risks, including the risk of loss of capital. Past performance is not indicative of future results. Readers are advised to conduct their own independent research and seek advice from a qualified financial advisor before making any investment or financial decisions based on this report. The securities discussed are for illustration purposes only and may not be suitable for all investors.</t>
  </si>
  <si>
    <t>The key risk highlighted by model is valuation rather than business quality.</t>
  </si>
  <si>
    <t>QUARTERLY  SNAPSHOTS</t>
  </si>
  <si>
    <t>YEARLY  SNAPSHOTS</t>
  </si>
  <si>
    <t>FY26  QUARTER  1,2  ANALYSIS</t>
  </si>
  <si>
    <t>KEY  RATIOS</t>
  </si>
  <si>
    <t>PEER  FINANCIAL  PERFORMANCE</t>
  </si>
  <si>
    <t>ANALYST  COVERAGE  UNIVERSE</t>
  </si>
  <si>
    <t>GLOBAL  PRESENSE</t>
  </si>
  <si>
    <t>WITHIN  COUNTRY</t>
  </si>
  <si>
    <t>DEFINING  MOMENTS</t>
  </si>
  <si>
    <r>
      <t xml:space="preserve">UltraTech Cement Limited has demonstrated steady revenue expansion over the historical period, with total income growing by </t>
    </r>
    <r>
      <rPr>
        <sz val="11"/>
        <color rgb="FF00B050"/>
        <rFont val="Arial"/>
        <family val="2"/>
      </rPr>
      <t>16.82%</t>
    </r>
    <r>
      <rPr>
        <sz val="11"/>
        <color theme="1"/>
        <rFont val="Arial"/>
        <family val="2"/>
      </rPr>
      <t xml:space="preserve"> in 2022, </t>
    </r>
    <r>
      <rPr>
        <sz val="11"/>
        <color rgb="FF00B050"/>
        <rFont val="Arial"/>
        <family val="2"/>
      </rPr>
      <t>20.03%</t>
    </r>
    <r>
      <rPr>
        <sz val="11"/>
        <color theme="1"/>
        <rFont val="Arial"/>
        <family val="2"/>
      </rPr>
      <t xml:space="preserve"> in 2023, </t>
    </r>
    <r>
      <rPr>
        <sz val="11"/>
        <color rgb="FF00B050"/>
        <rFont val="Arial"/>
        <family val="2"/>
      </rPr>
      <t>12.21%</t>
    </r>
    <r>
      <rPr>
        <sz val="11"/>
        <color theme="1"/>
        <rFont val="Arial"/>
        <family val="2"/>
      </rPr>
      <t xml:space="preserve"> in 2024, and</t>
    </r>
    <r>
      <rPr>
        <sz val="11"/>
        <color rgb="FF00B050"/>
        <rFont val="Arial"/>
        <family val="2"/>
      </rPr>
      <t xml:space="preserve"> 7.23%</t>
    </r>
    <r>
      <rPr>
        <sz val="11"/>
        <color theme="1"/>
        <rFont val="Arial"/>
        <family val="2"/>
      </rPr>
      <t xml:space="preserve"> in 2025, reflecting consistent demand momentum across cycles. Sales growth remained strong despite cost pressures, highlighting the company’s scale advantage and pricing ability. Direct expenses increased sharply in certain years, rising by </t>
    </r>
    <r>
      <rPr>
        <sz val="11"/>
        <color rgb="FF00B050"/>
        <rFont val="Arial"/>
        <family val="2"/>
      </rPr>
      <t>24.97%</t>
    </r>
    <r>
      <rPr>
        <sz val="11"/>
        <color theme="1"/>
        <rFont val="Arial"/>
        <family val="2"/>
      </rPr>
      <t xml:space="preserve"> in 2022 and </t>
    </r>
    <r>
      <rPr>
        <sz val="11"/>
        <color rgb="FF00B050"/>
        <rFont val="Arial"/>
        <family val="2"/>
      </rPr>
      <t>32.69%</t>
    </r>
    <r>
      <rPr>
        <sz val="11"/>
        <color theme="1"/>
        <rFont val="Arial"/>
        <family val="2"/>
      </rPr>
      <t xml:space="preserve"> in 2023, which impacted operating profitability. As a result, EBITDA growth turned negative in 2022</t>
    </r>
    <r>
      <rPr>
        <sz val="11"/>
        <color rgb="FFFF0000"/>
        <rFont val="Arial"/>
        <family val="2"/>
      </rPr>
      <t xml:space="preserve"> -2.11%</t>
    </r>
    <r>
      <rPr>
        <sz val="11"/>
        <color theme="1"/>
        <rFont val="Arial"/>
        <family val="2"/>
      </rPr>
      <t xml:space="preserve"> and 2023 </t>
    </r>
    <r>
      <rPr>
        <sz val="11"/>
        <color rgb="FFFF0000"/>
        <rFont val="Arial"/>
        <family val="2"/>
      </rPr>
      <t>-7.48%</t>
    </r>
    <r>
      <rPr>
        <sz val="11"/>
        <color theme="1"/>
        <rFont val="Arial"/>
        <family val="2"/>
      </rPr>
      <t>, before recovering strongly in 2024 with</t>
    </r>
    <r>
      <rPr>
        <sz val="11"/>
        <color rgb="FF00B050"/>
        <rFont val="Arial"/>
        <family val="2"/>
      </rPr>
      <t xml:space="preserve"> 22.16%</t>
    </r>
    <r>
      <rPr>
        <sz val="11"/>
        <color theme="1"/>
        <rFont val="Arial"/>
        <family val="2"/>
      </rPr>
      <t xml:space="preserve"> growth, indicating margin normalization and improved cost management. Gross margins declined from earlier peaks but stabilized in 2024 at </t>
    </r>
    <r>
      <rPr>
        <sz val="11"/>
        <color rgb="FF00B050"/>
        <rFont val="Arial"/>
        <family val="2"/>
      </rPr>
      <t>35.60%</t>
    </r>
    <r>
      <rPr>
        <sz val="11"/>
        <color theme="1"/>
        <rFont val="Arial"/>
        <family val="2"/>
      </rPr>
      <t xml:space="preserve">, while EBITDA margins stood at </t>
    </r>
    <r>
      <rPr>
        <sz val="11"/>
        <color theme="4"/>
        <rFont val="Arial"/>
        <family val="2"/>
      </rPr>
      <t>19.00%</t>
    </r>
    <r>
      <rPr>
        <sz val="11"/>
        <color theme="1"/>
        <rFont val="Arial"/>
        <family val="2"/>
      </rPr>
      <t>. Operating performance showed volatility during periods of elevated costs. EBIT declined by</t>
    </r>
    <r>
      <rPr>
        <sz val="11"/>
        <color rgb="FFFF0000"/>
        <rFont val="Arial"/>
        <family val="2"/>
      </rPr>
      <t xml:space="preserve"> -2.86%</t>
    </r>
    <r>
      <rPr>
        <sz val="11"/>
        <color theme="1"/>
        <rFont val="Arial"/>
        <family val="2"/>
      </rPr>
      <t xml:space="preserve"> in 2022 and </t>
    </r>
    <r>
      <rPr>
        <sz val="11"/>
        <color rgb="FFFF0000"/>
        <rFont val="Arial"/>
        <family val="2"/>
      </rPr>
      <t>-11.52%</t>
    </r>
    <r>
      <rPr>
        <sz val="11"/>
        <color theme="1"/>
        <rFont val="Arial"/>
        <family val="2"/>
      </rPr>
      <t xml:space="preserve"> in 2023, before rebounding in 2024 with 26.81</t>
    </r>
    <r>
      <rPr>
        <sz val="11"/>
        <color rgb="FF00B050"/>
        <rFont val="Arial"/>
        <family val="2"/>
      </rPr>
      <t>%</t>
    </r>
    <r>
      <rPr>
        <sz val="11"/>
        <color theme="1"/>
        <rFont val="Arial"/>
        <family val="2"/>
      </rPr>
      <t xml:space="preserve"> growth. EBT followed a similar trend, contracting by</t>
    </r>
    <r>
      <rPr>
        <sz val="11"/>
        <color rgb="FFFF0000"/>
        <rFont val="Arial"/>
        <family val="2"/>
      </rPr>
      <t xml:space="preserve"> -11.37%</t>
    </r>
    <r>
      <rPr>
        <sz val="11"/>
        <color theme="1"/>
        <rFont val="Arial"/>
        <family val="2"/>
      </rPr>
      <t xml:space="preserve"> in 2023 and recovering with</t>
    </r>
    <r>
      <rPr>
        <sz val="11"/>
        <color rgb="FF00B050"/>
        <rFont val="Arial"/>
        <family val="2"/>
      </rPr>
      <t xml:space="preserve"> 23.83%</t>
    </r>
    <r>
      <rPr>
        <sz val="11"/>
        <color theme="1"/>
        <rFont val="Arial"/>
        <family val="2"/>
      </rPr>
      <t xml:space="preserve"> growth in 2024, aided by lower interest costs. Net profit growth remained uneven, increasing by </t>
    </r>
    <r>
      <rPr>
        <sz val="11"/>
        <color rgb="FF00B050"/>
        <rFont val="Arial"/>
        <family val="2"/>
      </rPr>
      <t>29.05%</t>
    </r>
    <r>
      <rPr>
        <sz val="11"/>
        <color theme="1"/>
        <rFont val="Arial"/>
        <family val="2"/>
      </rPr>
      <t xml:space="preserve"> in 2022, declining by </t>
    </r>
    <r>
      <rPr>
        <sz val="11"/>
        <color rgb="FFFF0000"/>
        <rFont val="Arial"/>
        <family val="2"/>
      </rPr>
      <t>-29.32%</t>
    </r>
    <r>
      <rPr>
        <sz val="11"/>
        <color theme="1"/>
        <rFont val="Arial"/>
        <family val="2"/>
      </rPr>
      <t xml:space="preserve"> in 2023, and then recovering strongly with </t>
    </r>
    <r>
      <rPr>
        <sz val="11"/>
        <color rgb="FF00B050"/>
        <rFont val="Arial"/>
        <family val="2"/>
      </rPr>
      <t>39.21%</t>
    </r>
    <r>
      <rPr>
        <sz val="11"/>
        <color theme="1"/>
        <rFont val="Arial"/>
        <family val="2"/>
      </rPr>
      <t xml:space="preserve"> growth in 2024. Net profit margins stood at </t>
    </r>
    <r>
      <rPr>
        <sz val="11"/>
        <color rgb="FF00B050"/>
        <rFont val="Arial"/>
        <family val="2"/>
      </rPr>
      <t>8.02%</t>
    </r>
    <r>
      <rPr>
        <sz val="11"/>
        <color theme="1"/>
        <rFont val="Arial"/>
        <family val="2"/>
      </rPr>
      <t xml:space="preserve"> in 2025, reflecting improved profitability compared to the prior year. From a capital efficiency standpoint, UltraTech maintained stable returns, with ROCE at</t>
    </r>
    <r>
      <rPr>
        <sz val="11"/>
        <color rgb="FF0070C0"/>
        <rFont val="Arial"/>
        <family val="2"/>
      </rPr>
      <t xml:space="preserve"> </t>
    </r>
    <r>
      <rPr>
        <sz val="11"/>
        <color theme="4"/>
        <rFont val="Arial"/>
        <family val="2"/>
      </rPr>
      <t xml:space="preserve">9.47% </t>
    </r>
    <r>
      <rPr>
        <sz val="11"/>
        <color theme="1"/>
        <rFont val="Arial"/>
        <family val="2"/>
      </rPr>
      <t xml:space="preserve">and ROE at </t>
    </r>
    <r>
      <rPr>
        <sz val="11"/>
        <color theme="4"/>
        <rFont val="Arial"/>
        <family val="2"/>
      </rPr>
      <t>8.70%</t>
    </r>
    <r>
      <rPr>
        <sz val="11"/>
        <color theme="1"/>
        <rFont val="Arial"/>
        <family val="2"/>
      </rPr>
      <t xml:space="preserve"> in 2025, supported by disciplined capital deployment. Working capital efficiency remained strong, with debtor days at 20 days, inventory days at 65 days, and a cash conversion cycle of 22 days in 2025. The balance sheet strengthened significantly over the period, with debt-to-equity declining from 0.34x in 2021 to 0.28x in 2025. supported by strong operating cash flows. Cash generation remained healthy, with CFO to Sales at </t>
    </r>
    <r>
      <rPr>
        <sz val="11"/>
        <color rgb="FF00B050"/>
        <rFont val="Arial"/>
        <family val="2"/>
      </rPr>
      <t>14.58%</t>
    </r>
    <r>
      <rPr>
        <sz val="11"/>
        <color theme="1"/>
        <rFont val="Arial"/>
        <family val="2"/>
      </rPr>
      <t>.</t>
    </r>
  </si>
  <si>
    <t xml:space="preserve">PEER  STOCK  PERFORMANCE  INDEXED  (1  YEAR) </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</si>
</sst>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164" formatCode="#,##0;\(#,##0\);&quot;--&quot;"/>
    <numFmt numFmtId="165" formatCode="yyyy\/\A"/>
    <numFmt numFmtId="166" formatCode="0.0%"/>
    <numFmt numFmtId="167" formatCode="yyyy\A"/>
    <numFmt numFmtId="168" formatCode="0.0"/>
    <numFmt numFmtId="169" formatCode="0.000"/>
    <numFmt numFmtId="170" formatCode="yyyy\E"/>
    <numFmt numFmtId="171" formatCode="0.00\x"/>
    <numFmt numFmtId="172" formatCode="#,##0_);\(#,##0\)&quot;--&quot;"/>
    <numFmt numFmtId="173" formatCode="#,##0_);\(#,##0\);&quot;--&quot;"/>
    <numFmt numFmtId="174" formatCode="\-\-"/>
    <numFmt numFmtId="175" formatCode="yyyy"/>
    <numFmt numFmtId="176" formatCode="yyyy\/\E"/>
    <numFmt numFmtId="177" formatCode="0.0000%"/>
    <numFmt numFmtId="178" formatCode="0.00%;[Red]\-0.00%"/>
    <numFmt numFmtId="179" formatCode="mmm\-yy\A"/>
    <numFmt numFmtId="180" formatCode="mmm\-yy\E"/>
  </numFmts>
  <fonts count="71" x14ac:knownFonts="1">
    <font>
      <sz val="11"/>
      <color theme="1"/>
      <name val="Calibri"/>
      <family val="2"/>
      <scheme val="minor"/>
    </font>
    <font>
      <sz val="18"/>
      <color theme="3"/>
      <name val="Calibri Light"/>
      <family val="2"/>
      <scheme val="major"/>
    </font>
    <font>
      <b/>
      <sz val="11"/>
      <color theme="1"/>
      <name val="Calibri"/>
      <family val="2"/>
      <scheme val="minor"/>
    </font>
    <font>
      <i/>
      <sz val="11"/>
      <color theme="1"/>
      <name val="Calibri"/>
      <family val="2"/>
      <scheme val="minor"/>
    </font>
    <font>
      <vertAlign val="superscript"/>
      <sz val="11"/>
      <color theme="1"/>
      <name val="Calibri"/>
      <family val="2"/>
      <scheme val="minor"/>
    </font>
    <font>
      <b/>
      <vertAlign val="superscript"/>
      <sz val="11"/>
      <color theme="1"/>
      <name val="Calibri"/>
      <family val="2"/>
      <scheme val="minor"/>
    </font>
    <font>
      <sz val="11"/>
      <color theme="1"/>
      <name val="Calibri"/>
      <family val="2"/>
      <scheme val="minor"/>
    </font>
    <font>
      <b/>
      <i/>
      <sz val="11"/>
      <color theme="1"/>
      <name val="Calibri"/>
      <family val="2"/>
      <scheme val="minor"/>
    </font>
    <font>
      <sz val="11"/>
      <color rgb="FF606F7B"/>
      <name val="Arial"/>
      <family val="2"/>
    </font>
    <font>
      <sz val="11"/>
      <color rgb="FF22222F"/>
      <name val="Arial"/>
      <family val="2"/>
    </font>
    <font>
      <sz val="11"/>
      <color rgb="FF22222F"/>
      <name val="Arial"/>
      <family val="2"/>
    </font>
    <font>
      <sz val="11"/>
      <color theme="1"/>
      <name val="Blackadder ITC"/>
      <family val="5"/>
    </font>
    <font>
      <b/>
      <sz val="18"/>
      <color theme="1"/>
      <name val="Calibri"/>
      <family val="2"/>
      <scheme val="minor"/>
    </font>
    <font>
      <sz val="36"/>
      <color theme="0" tint="-0.499984740745262"/>
      <name val="Engravers MT"/>
      <family val="1"/>
    </font>
    <font>
      <b/>
      <sz val="11"/>
      <color rgb="FF00B0F0"/>
      <name val="Calibri"/>
      <family val="2"/>
      <scheme val="minor"/>
    </font>
    <font>
      <i/>
      <sz val="11"/>
      <color rgb="FF7F7F7F"/>
      <name val="Calibri"/>
      <family val="2"/>
      <scheme val="minor"/>
    </font>
    <font>
      <sz val="11"/>
      <color rgb="FF232526"/>
      <name val="Calibri"/>
      <family val="2"/>
      <scheme val="minor"/>
    </font>
    <font>
      <sz val="11"/>
      <color rgb="FF00B0F0"/>
      <name val="Calibri"/>
      <family val="2"/>
      <scheme val="minor"/>
    </font>
    <font>
      <i/>
      <sz val="11"/>
      <color rgb="FF00B0F0"/>
      <name val="Calibri"/>
      <family val="2"/>
      <scheme val="minor"/>
    </font>
    <font>
      <i/>
      <sz val="11"/>
      <color theme="0" tint="-0.249977111117893"/>
      <name val="Calibri"/>
      <family val="2"/>
      <scheme val="minor"/>
    </font>
    <font>
      <b/>
      <i/>
      <sz val="11"/>
      <color theme="0" tint="-0.249977111117893"/>
      <name val="Calibri"/>
      <family val="2"/>
      <scheme val="minor"/>
    </font>
    <font>
      <sz val="11"/>
      <color rgb="FFFF0000"/>
      <name val="Calibri"/>
      <family val="2"/>
      <scheme val="minor"/>
    </font>
    <font>
      <sz val="11"/>
      <color theme="0"/>
      <name val="Calibri"/>
      <family val="2"/>
      <scheme val="minor"/>
    </font>
    <font>
      <sz val="11"/>
      <color rgb="FF006100"/>
      <name val="Calibri"/>
      <family val="2"/>
      <scheme val="minor"/>
    </font>
    <font>
      <sz val="11"/>
      <color rgb="FF9C5700"/>
      <name val="Calibri"/>
      <family val="2"/>
      <scheme val="minor"/>
    </font>
    <font>
      <sz val="7"/>
      <color theme="1"/>
      <name val="Calibri"/>
      <family val="2"/>
      <scheme val="minor"/>
    </font>
    <font>
      <b/>
      <sz val="11"/>
      <color rgb="FFFFFF00"/>
      <name val="Calibri"/>
      <family val="2"/>
      <scheme val="minor"/>
    </font>
    <font>
      <sz val="11"/>
      <color rgb="FFC00000"/>
      <name val="Calibri"/>
      <family val="2"/>
      <scheme val="minor"/>
    </font>
    <font>
      <sz val="11"/>
      <color theme="1" tint="0.499984740745262"/>
      <name val="Calibri"/>
      <family val="2"/>
      <scheme val="minor"/>
    </font>
    <font>
      <sz val="11"/>
      <color theme="7" tint="-0.249977111117893"/>
      <name val="Calibri"/>
      <family val="2"/>
      <scheme val="minor"/>
    </font>
    <font>
      <sz val="11"/>
      <color theme="4"/>
      <name val="Calibri"/>
      <family val="2"/>
      <scheme val="minor"/>
    </font>
    <font>
      <sz val="11"/>
      <color theme="9"/>
      <name val="Calibri"/>
      <family val="2"/>
      <scheme val="minor"/>
    </font>
    <font>
      <sz val="11"/>
      <color theme="4" tint="-0.499984740745262"/>
      <name val="Calibri"/>
      <family val="2"/>
      <scheme val="minor"/>
    </font>
    <font>
      <sz val="11"/>
      <color theme="7" tint="-0.499984740745262"/>
      <name val="Calibri"/>
      <family val="2"/>
      <scheme val="minor"/>
    </font>
    <font>
      <sz val="11"/>
      <color theme="5" tint="-0.249977111117893"/>
      <name val="Calibri"/>
      <family val="2"/>
      <scheme val="minor"/>
    </font>
    <font>
      <sz val="11"/>
      <color rgb="FF606F7B"/>
      <name val="Calibri"/>
      <family val="2"/>
      <scheme val="minor"/>
    </font>
    <font>
      <sz val="11"/>
      <name val="Calibri"/>
      <family val="2"/>
      <scheme val="minor"/>
    </font>
    <font>
      <b/>
      <i/>
      <u/>
      <sz val="11"/>
      <color theme="1"/>
      <name val="Calibri"/>
      <family val="2"/>
      <scheme val="minor"/>
    </font>
    <font>
      <b/>
      <sz val="11"/>
      <color theme="0" tint="-0.249977111117893"/>
      <name val="Calibri"/>
      <family val="2"/>
      <scheme val="minor"/>
    </font>
    <font>
      <i/>
      <sz val="11"/>
      <name val="Calibri"/>
      <family val="2"/>
      <scheme val="minor"/>
    </font>
    <font>
      <sz val="11"/>
      <color theme="5"/>
      <name val="Calibri"/>
      <family val="2"/>
      <scheme val="minor"/>
    </font>
    <font>
      <i/>
      <sz val="11"/>
      <color theme="0" tint="-0.34998626667073579"/>
      <name val="Calibri"/>
      <family val="2"/>
      <scheme val="minor"/>
    </font>
    <font>
      <sz val="11"/>
      <color rgb="FF92D050"/>
      <name val="Calibri"/>
      <family val="2"/>
      <scheme val="minor"/>
    </font>
    <font>
      <sz val="12"/>
      <color theme="1"/>
      <name val="Calibri"/>
      <family val="2"/>
      <scheme val="minor"/>
    </font>
    <font>
      <sz val="11"/>
      <color rgb="FF9C0006"/>
      <name val="Calibri"/>
      <family val="2"/>
      <scheme val="minor"/>
    </font>
    <font>
      <sz val="16"/>
      <color theme="0" tint="-0.249977111117893"/>
      <name val="Arial"/>
      <family val="2"/>
    </font>
    <font>
      <i/>
      <sz val="14"/>
      <color theme="1"/>
      <name val="Arial"/>
      <family val="2"/>
    </font>
    <font>
      <b/>
      <sz val="14"/>
      <color theme="1"/>
      <name val="Arial"/>
      <family val="2"/>
    </font>
    <font>
      <sz val="11"/>
      <color theme="1"/>
      <name val="Arial"/>
      <family val="2"/>
    </font>
    <font>
      <b/>
      <sz val="11"/>
      <color theme="1"/>
      <name val="Arial"/>
      <family val="2"/>
    </font>
    <font>
      <b/>
      <sz val="26"/>
      <color theme="1"/>
      <name val="Calibri"/>
      <family val="2"/>
      <scheme val="minor"/>
    </font>
    <font>
      <b/>
      <sz val="26"/>
      <color theme="1"/>
      <name val="Arial"/>
      <family val="2"/>
    </font>
    <font>
      <sz val="26"/>
      <color theme="1"/>
      <name val="Arial"/>
      <family val="2"/>
    </font>
    <font>
      <b/>
      <sz val="24"/>
      <color theme="1"/>
      <name val="Arial"/>
      <family val="2"/>
    </font>
    <font>
      <sz val="20"/>
      <color theme="1"/>
      <name val="Arial"/>
      <family val="2"/>
    </font>
    <font>
      <sz val="11"/>
      <color rgb="FF00B050"/>
      <name val="Arial"/>
      <family val="2"/>
    </font>
    <font>
      <sz val="11"/>
      <color rgb="FFFF0000"/>
      <name val="Arial"/>
      <family val="2"/>
    </font>
    <font>
      <sz val="11"/>
      <color theme="4"/>
      <name val="Arial"/>
      <family val="2"/>
    </font>
    <font>
      <b/>
      <sz val="16"/>
      <color theme="1"/>
      <name val="Arial"/>
      <family val="2"/>
    </font>
    <font>
      <b/>
      <sz val="40"/>
      <color theme="1"/>
      <name val="Arial"/>
      <family val="2"/>
    </font>
    <font>
      <b/>
      <i/>
      <sz val="11"/>
      <color theme="1"/>
      <name val="Arial"/>
      <family val="2"/>
    </font>
    <font>
      <i/>
      <sz val="11"/>
      <color theme="1"/>
      <name val="Arial"/>
      <family val="2"/>
    </font>
    <font>
      <b/>
      <sz val="8"/>
      <color theme="1"/>
      <name val="Calibri"/>
      <family val="2"/>
      <scheme val="minor"/>
    </font>
    <font>
      <sz val="11"/>
      <color rgb="FF0070C0"/>
      <name val="Arial"/>
      <family val="2"/>
    </font>
    <font>
      <sz val="11"/>
      <color rgb="FF3F3F76"/>
      <name val="Calibri"/>
      <family val="2"/>
      <scheme val="minor"/>
    </font>
    <font>
      <b/>
      <sz val="18"/>
      <color theme="1"/>
      <name val="Arial"/>
      <family val="2"/>
    </font>
    <font>
      <i/>
      <sz val="11"/>
      <color rgb="FF7F7F7F"/>
      <name val="Arial"/>
      <family val="2"/>
    </font>
    <font>
      <i/>
      <sz val="11"/>
      <color theme="0" tint="-0.34998626667073579"/>
      <name val="Arial"/>
      <family val="2"/>
    </font>
    <font>
      <b/>
      <i/>
      <sz val="11"/>
      <color theme="0" tint="-0.34998626667073579"/>
      <name val="Arial"/>
      <family val="2"/>
    </font>
    <font>
      <sz val="11"/>
      <color theme="8"/>
      <name val="Arial"/>
      <family val="2"/>
    </font>
    <font>
      <b/>
      <sz val="24"/>
      <color theme="1" tint="0.499984740745262"/>
      <name val="Arial"/>
      <family val="2"/>
    </font>
  </fonts>
  <fills count="22">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7"/>
        <bgColor indexed="64"/>
      </patternFill>
    </fill>
    <fill>
      <patternFill patternType="solid">
        <fgColor theme="7" tint="0.5999938962981048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9" tint="0.79998168889431442"/>
        <bgColor indexed="65"/>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FFCC"/>
      </patternFill>
    </fill>
    <fill>
      <patternFill patternType="solid">
        <fgColor theme="0" tint="-0.249977111117893"/>
        <bgColor indexed="64"/>
      </patternFill>
    </fill>
    <fill>
      <patternFill patternType="solid">
        <fgColor theme="8" tint="0.59999389629810485"/>
        <bgColor indexed="65"/>
      </patternFill>
    </fill>
    <fill>
      <patternFill patternType="solid">
        <fgColor theme="7" tint="0.79998168889431442"/>
        <bgColor indexed="64"/>
      </patternFill>
    </fill>
    <fill>
      <patternFill patternType="solid">
        <fgColor rgb="FFFFCC99"/>
      </patternFill>
    </fill>
    <fill>
      <patternFill patternType="solid">
        <fgColor theme="8" tint="0.79998168889431442"/>
        <bgColor indexed="64"/>
      </patternFill>
    </fill>
    <fill>
      <patternFill patternType="solid">
        <fgColor theme="8" tint="0.79998168889431442"/>
        <bgColor indexed="65"/>
      </patternFill>
    </fill>
  </fills>
  <borders count="50">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bottom style="medium">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thin">
        <color theme="1"/>
      </bottom>
      <diagonal/>
    </border>
    <border>
      <left/>
      <right/>
      <top/>
      <bottom style="double">
        <color indexed="64"/>
      </bottom>
      <diagonal/>
    </border>
    <border>
      <left/>
      <right/>
      <top/>
      <bottom style="double">
        <color theme="1"/>
      </bottom>
      <diagonal/>
    </border>
    <border>
      <left style="dotted">
        <color indexed="64"/>
      </left>
      <right/>
      <top style="dotted">
        <color indexed="64"/>
      </top>
      <bottom/>
      <diagonal/>
    </border>
    <border>
      <left/>
      <right/>
      <top style="dotted">
        <color indexed="64"/>
      </top>
      <bottom/>
      <diagonal/>
    </border>
    <border>
      <left/>
      <right style="dotted">
        <color indexed="64"/>
      </right>
      <top style="dotted">
        <color indexed="64"/>
      </top>
      <bottom/>
      <diagonal/>
    </border>
    <border>
      <left style="dotted">
        <color indexed="64"/>
      </left>
      <right/>
      <top/>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bottom style="dotted">
        <color indexed="64"/>
      </bottom>
      <diagonal/>
    </border>
    <border>
      <left style="dotted">
        <color indexed="64"/>
      </left>
      <right style="dotted">
        <color indexed="64"/>
      </right>
      <top/>
      <bottom style="thin">
        <color indexed="64"/>
      </bottom>
      <diagonal/>
    </border>
    <border>
      <left style="dotted">
        <color indexed="64"/>
      </left>
      <right style="dotted">
        <color indexed="64"/>
      </right>
      <top/>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style="thin">
        <color indexed="64"/>
      </bottom>
      <diagonal/>
    </border>
    <border>
      <left/>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style="dotted">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theme="0" tint="-0.14999847407452621"/>
      </top>
      <bottom style="thin">
        <color theme="0" tint="-0.14999847407452621"/>
      </bottom>
      <diagonal/>
    </border>
    <border>
      <left/>
      <right/>
      <top style="thin">
        <color theme="0" tint="-0.14999847407452621"/>
      </top>
      <bottom/>
      <diagonal/>
    </border>
    <border>
      <left/>
      <right/>
      <top/>
      <bottom style="thin">
        <color theme="0" tint="-0.14999847407452621"/>
      </bottom>
      <diagonal/>
    </border>
    <border>
      <left style="thin">
        <color indexed="64"/>
      </left>
      <right style="thin">
        <color theme="1" tint="4.9989318521683403E-2"/>
      </right>
      <top style="thin">
        <color indexed="64"/>
      </top>
      <bottom/>
      <diagonal/>
    </border>
    <border>
      <left style="thin">
        <color indexed="64"/>
      </left>
      <right style="thin">
        <color theme="1" tint="4.9989318521683403E-2"/>
      </right>
      <top/>
      <bottom style="thin">
        <color indexed="64"/>
      </bottom>
      <diagonal/>
    </border>
    <border>
      <left style="thin">
        <color indexed="64"/>
      </left>
      <right style="thin">
        <color theme="1" tint="4.9989318521683403E-2"/>
      </right>
      <top/>
      <bottom/>
      <diagonal/>
    </border>
    <border>
      <left style="thin">
        <color theme="1" tint="4.9989318521683403E-2"/>
      </left>
      <right style="thin">
        <color theme="1" tint="4.9989318521683403E-2"/>
      </right>
      <top style="thin">
        <color indexed="64"/>
      </top>
      <bottom/>
      <diagonal/>
    </border>
    <border>
      <left style="thin">
        <color theme="1" tint="4.9989318521683403E-2"/>
      </left>
      <right style="thin">
        <color theme="1" tint="4.9989318521683403E-2"/>
      </right>
      <top/>
      <bottom style="thin">
        <color indexed="64"/>
      </bottom>
      <diagonal/>
    </border>
    <border>
      <left style="thin">
        <color theme="1" tint="4.9989318521683403E-2"/>
      </left>
      <right style="thin">
        <color theme="1" tint="4.9989318521683403E-2"/>
      </right>
      <top/>
      <bottom/>
      <diagonal/>
    </border>
  </borders>
  <cellStyleXfs count="14">
    <xf numFmtId="0" fontId="0" fillId="0" borderId="0"/>
    <xf numFmtId="0" fontId="1" fillId="0" borderId="0" applyNumberFormat="0" applyFill="0" applyBorder="0" applyAlignment="0" applyProtection="0"/>
    <xf numFmtId="9" fontId="6" fillId="0" borderId="0" applyFont="0" applyFill="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15" fillId="0" borderId="0" applyNumberFormat="0" applyFill="0" applyBorder="0" applyAlignment="0" applyProtection="0"/>
    <xf numFmtId="0" fontId="23" fillId="12" borderId="0" applyNumberFormat="0" applyBorder="0" applyAlignment="0" applyProtection="0"/>
    <xf numFmtId="0" fontId="24" fillId="14" borderId="0" applyNumberFormat="0" applyBorder="0" applyAlignment="0" applyProtection="0"/>
    <xf numFmtId="0" fontId="44" fillId="13" borderId="0" applyNumberFormat="0" applyBorder="0" applyAlignment="0" applyProtection="0"/>
    <xf numFmtId="0" fontId="6" fillId="15" borderId="32" applyNumberFormat="0" applyFont="0" applyAlignment="0" applyProtection="0"/>
    <xf numFmtId="0" fontId="6" fillId="17" borderId="0" applyNumberFormat="0" applyBorder="0" applyAlignment="0" applyProtection="0"/>
    <xf numFmtId="0" fontId="64" fillId="19" borderId="34" applyNumberFormat="0" applyAlignment="0" applyProtection="0"/>
    <xf numFmtId="0" fontId="6" fillId="21" borderId="0" applyNumberFormat="0" applyBorder="0" applyAlignment="0" applyProtection="0"/>
  </cellStyleXfs>
  <cellXfs count="731">
    <xf numFmtId="0" fontId="0" fillId="0" borderId="0" xfId="0"/>
    <xf numFmtId="164" fontId="2" fillId="2" borderId="0" xfId="0" applyNumberFormat="1" applyFont="1" applyFill="1"/>
    <xf numFmtId="164" fontId="2" fillId="2" borderId="0" xfId="0" applyNumberFormat="1" applyFont="1" applyFill="1" applyAlignment="1">
      <alignment horizontal="left"/>
    </xf>
    <xf numFmtId="164" fontId="0" fillId="2" borderId="0" xfId="0" applyNumberFormat="1" applyFill="1"/>
    <xf numFmtId="164" fontId="2" fillId="2" borderId="1" xfId="0" applyNumberFormat="1" applyFont="1" applyFill="1" applyBorder="1"/>
    <xf numFmtId="0" fontId="2" fillId="2" borderId="0" xfId="0" applyFont="1" applyFill="1"/>
    <xf numFmtId="0" fontId="2" fillId="2" borderId="2" xfId="0" applyFont="1" applyFill="1" applyBorder="1" applyAlignment="1">
      <alignment horizontal="left" indent="1"/>
    </xf>
    <xf numFmtId="0" fontId="2" fillId="2" borderId="2" xfId="0" applyFont="1" applyFill="1" applyBorder="1"/>
    <xf numFmtId="0" fontId="2" fillId="2" borderId="3" xfId="0" applyFont="1" applyFill="1" applyBorder="1" applyAlignment="1">
      <alignment horizontal="left"/>
    </xf>
    <xf numFmtId="0" fontId="2" fillId="2" borderId="3" xfId="0" applyFont="1" applyFill="1" applyBorder="1"/>
    <xf numFmtId="0" fontId="2" fillId="2" borderId="2" xfId="0" applyFont="1" applyFill="1" applyBorder="1" applyAlignment="1">
      <alignment horizontal="right"/>
    </xf>
    <xf numFmtId="0" fontId="2" fillId="2" borderId="3" xfId="0" applyFont="1" applyFill="1" applyBorder="1" applyAlignment="1">
      <alignment horizontal="right"/>
    </xf>
    <xf numFmtId="0" fontId="2" fillId="2" borderId="0" xfId="0" applyFont="1" applyFill="1" applyAlignment="1">
      <alignment horizontal="right"/>
    </xf>
    <xf numFmtId="164" fontId="2" fillId="2" borderId="2" xfId="0" applyNumberFormat="1" applyFont="1" applyFill="1" applyBorder="1"/>
    <xf numFmtId="2" fontId="2" fillId="2" borderId="0" xfId="0" applyNumberFormat="1" applyFont="1" applyFill="1"/>
    <xf numFmtId="10" fontId="2" fillId="3" borderId="0" xfId="0" applyNumberFormat="1" applyFont="1" applyFill="1"/>
    <xf numFmtId="164" fontId="0" fillId="2" borderId="0" xfId="0" applyNumberFormat="1" applyFill="1" applyAlignment="1">
      <alignment horizontal="right"/>
    </xf>
    <xf numFmtId="164" fontId="2" fillId="2" borderId="1" xfId="0" applyNumberFormat="1" applyFont="1" applyFill="1" applyBorder="1" applyAlignment="1">
      <alignment horizontal="right" indent="1"/>
    </xf>
    <xf numFmtId="164" fontId="2" fillId="2" borderId="1" xfId="0" applyNumberFormat="1" applyFont="1" applyFill="1" applyBorder="1" applyAlignment="1">
      <alignment horizontal="left"/>
    </xf>
    <xf numFmtId="10" fontId="2" fillId="2" borderId="1" xfId="0" applyNumberFormat="1" applyFont="1" applyFill="1" applyBorder="1"/>
    <xf numFmtId="164" fontId="2" fillId="2" borderId="3" xfId="0" applyNumberFormat="1" applyFont="1" applyFill="1" applyBorder="1"/>
    <xf numFmtId="10" fontId="2" fillId="2" borderId="0" xfId="0" applyNumberFormat="1" applyFont="1" applyFill="1"/>
    <xf numFmtId="164" fontId="2" fillId="3" borderId="0" xfId="0" applyNumberFormat="1" applyFont="1" applyFill="1"/>
    <xf numFmtId="2" fontId="2" fillId="2" borderId="3" xfId="0" applyNumberFormat="1" applyFont="1" applyFill="1" applyBorder="1"/>
    <xf numFmtId="10" fontId="2" fillId="2" borderId="0" xfId="0" applyNumberFormat="1" applyFont="1" applyFill="1" applyAlignment="1">
      <alignment horizontal="left"/>
    </xf>
    <xf numFmtId="0" fontId="2" fillId="2" borderId="1" xfId="0" applyFont="1" applyFill="1" applyBorder="1"/>
    <xf numFmtId="10" fontId="2" fillId="2" borderId="1" xfId="2" applyNumberFormat="1" applyFont="1" applyFill="1" applyBorder="1"/>
    <xf numFmtId="171" fontId="2" fillId="2" borderId="1" xfId="0" applyNumberFormat="1" applyFont="1" applyFill="1" applyBorder="1"/>
    <xf numFmtId="164" fontId="3" fillId="2" borderId="0" xfId="0" applyNumberFormat="1" applyFont="1" applyFill="1" applyAlignment="1">
      <alignment horizontal="center"/>
    </xf>
    <xf numFmtId="164" fontId="3" fillId="2" borderId="0" xfId="0" applyNumberFormat="1" applyFont="1" applyFill="1"/>
    <xf numFmtId="164" fontId="2" fillId="2" borderId="6" xfId="0" applyNumberFormat="1" applyFont="1" applyFill="1" applyBorder="1" applyAlignment="1">
      <alignment horizontal="left"/>
    </xf>
    <xf numFmtId="164" fontId="2" fillId="2" borderId="9" xfId="0" applyNumberFormat="1" applyFont="1" applyFill="1" applyBorder="1" applyAlignment="1">
      <alignment horizontal="right" vertical="top" wrapText="1"/>
    </xf>
    <xf numFmtId="164" fontId="2" fillId="2" borderId="9" xfId="0" applyNumberFormat="1" applyFont="1" applyFill="1" applyBorder="1" applyAlignment="1">
      <alignment horizontal="right" wrapText="1"/>
    </xf>
    <xf numFmtId="164" fontId="2" fillId="2" borderId="9" xfId="0" applyNumberFormat="1" applyFont="1" applyFill="1" applyBorder="1" applyAlignment="1">
      <alignment horizontal="right"/>
    </xf>
    <xf numFmtId="164" fontId="2" fillId="2" borderId="6" xfId="0" applyNumberFormat="1" applyFont="1" applyFill="1" applyBorder="1" applyAlignment="1">
      <alignment horizontal="right" vertical="top" wrapText="1"/>
    </xf>
    <xf numFmtId="164" fontId="2" fillId="2" borderId="6" xfId="0" applyNumberFormat="1" applyFont="1" applyFill="1" applyBorder="1" applyAlignment="1">
      <alignment horizontal="right"/>
    </xf>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171" fontId="2" fillId="3" borderId="0" xfId="0" applyNumberFormat="1" applyFont="1" applyFill="1"/>
    <xf numFmtId="164" fontId="2" fillId="2" borderId="14" xfId="0" applyNumberFormat="1" applyFont="1" applyFill="1" applyBorder="1"/>
    <xf numFmtId="0" fontId="2" fillId="2" borderId="1" xfId="0" applyFont="1" applyFill="1" applyBorder="1" applyAlignment="1">
      <alignment horizontal="left"/>
    </xf>
    <xf numFmtId="0" fontId="2" fillId="2" borderId="1" xfId="0" applyFont="1" applyFill="1" applyBorder="1" applyAlignment="1">
      <alignment horizontal="right"/>
    </xf>
    <xf numFmtId="10" fontId="0" fillId="2" borderId="0" xfId="2" applyNumberFormat="1" applyFont="1" applyFill="1"/>
    <xf numFmtId="0" fontId="2" fillId="2" borderId="1" xfId="0" applyFont="1" applyFill="1" applyBorder="1" applyAlignment="1">
      <alignment horizontal="center"/>
    </xf>
    <xf numFmtId="0" fontId="2" fillId="2" borderId="0" xfId="0" applyFont="1" applyFill="1" applyAlignment="1">
      <alignment horizontal="left" vertical="center" wrapText="1"/>
    </xf>
    <xf numFmtId="0" fontId="2" fillId="2" borderId="0" xfId="0" applyFont="1" applyFill="1" applyAlignment="1">
      <alignment horizontal="right" vertical="center" wrapText="1"/>
    </xf>
    <xf numFmtId="164" fontId="0" fillId="0" borderId="0" xfId="0" applyNumberFormat="1"/>
    <xf numFmtId="164" fontId="0" fillId="2" borderId="0" xfId="0" applyNumberFormat="1" applyFill="1" applyAlignment="1">
      <alignment wrapText="1"/>
    </xf>
    <xf numFmtId="164" fontId="0" fillId="2" borderId="2" xfId="0" applyNumberFormat="1" applyFill="1" applyBorder="1"/>
    <xf numFmtId="10" fontId="0" fillId="2" borderId="0" xfId="0" applyNumberFormat="1" applyFill="1"/>
    <xf numFmtId="2" fontId="0" fillId="2" borderId="0" xfId="0" applyNumberFormat="1" applyFill="1"/>
    <xf numFmtId="164" fontId="0" fillId="2" borderId="3" xfId="0" applyNumberFormat="1" applyFill="1" applyBorder="1"/>
    <xf numFmtId="171" fontId="0" fillId="2" borderId="0" xfId="0" applyNumberFormat="1" applyFill="1"/>
    <xf numFmtId="0" fontId="0" fillId="2" borderId="0" xfId="0" applyFill="1"/>
    <xf numFmtId="0" fontId="0" fillId="2" borderId="0" xfId="0" applyFill="1" applyAlignment="1">
      <alignment vertical="center" wrapText="1"/>
    </xf>
    <xf numFmtId="164" fontId="0" fillId="2" borderId="3" xfId="0" quotePrefix="1" applyNumberFormat="1" applyFill="1" applyBorder="1" applyAlignment="1">
      <alignment horizontal="right"/>
    </xf>
    <xf numFmtId="164" fontId="0" fillId="2" borderId="0" xfId="0" applyNumberFormat="1" applyFill="1" applyAlignment="1">
      <alignment horizontal="left" indent="1"/>
    </xf>
    <xf numFmtId="165" fontId="2" fillId="2" borderId="0" xfId="0" applyNumberFormat="1" applyFont="1" applyFill="1"/>
    <xf numFmtId="14" fontId="0" fillId="2" borderId="0" xfId="0" applyNumberFormat="1" applyFill="1" applyAlignment="1">
      <alignment horizontal="left"/>
    </xf>
    <xf numFmtId="4" fontId="0" fillId="2" borderId="0" xfId="0" applyNumberFormat="1" applyFill="1" applyAlignment="1">
      <alignment horizontal="right"/>
    </xf>
    <xf numFmtId="4" fontId="0" fillId="2" borderId="0" xfId="0" applyNumberFormat="1" applyFill="1"/>
    <xf numFmtId="0" fontId="0" fillId="4" borderId="0" xfId="0" applyFill="1"/>
    <xf numFmtId="0" fontId="0" fillId="2" borderId="0" xfId="0" applyFill="1" applyAlignment="1">
      <alignment horizontal="left"/>
    </xf>
    <xf numFmtId="0" fontId="0" fillId="2" borderId="0" xfId="0" applyFill="1" applyAlignment="1">
      <alignment horizontal="right"/>
    </xf>
    <xf numFmtId="10" fontId="0" fillId="2" borderId="2" xfId="0" applyNumberFormat="1" applyFill="1" applyBorder="1"/>
    <xf numFmtId="2" fontId="0" fillId="2" borderId="2" xfId="0" applyNumberFormat="1" applyFill="1" applyBorder="1"/>
    <xf numFmtId="10" fontId="0" fillId="2" borderId="3" xfId="0" applyNumberFormat="1" applyFill="1" applyBorder="1"/>
    <xf numFmtId="2" fontId="0" fillId="2" borderId="3" xfId="0" applyNumberFormat="1" applyFill="1" applyBorder="1"/>
    <xf numFmtId="0" fontId="0" fillId="2" borderId="3" xfId="0" applyFill="1" applyBorder="1"/>
    <xf numFmtId="164" fontId="0" fillId="2" borderId="0" xfId="0" applyNumberFormat="1" applyFill="1" applyAlignment="1">
      <alignment horizontal="right" indent="1"/>
    </xf>
    <xf numFmtId="164" fontId="0" fillId="3" borderId="0" xfId="0" applyNumberFormat="1" applyFill="1"/>
    <xf numFmtId="168" fontId="0" fillId="2" borderId="3" xfId="0" applyNumberFormat="1" applyFill="1" applyBorder="1"/>
    <xf numFmtId="169" fontId="0" fillId="2" borderId="3" xfId="0" applyNumberFormat="1" applyFill="1" applyBorder="1"/>
    <xf numFmtId="10" fontId="0" fillId="3" borderId="0" xfId="0" applyNumberFormat="1" applyFill="1"/>
    <xf numFmtId="164" fontId="0" fillId="2" borderId="1" xfId="0" applyNumberFormat="1" applyFill="1" applyBorder="1"/>
    <xf numFmtId="164" fontId="0" fillId="2" borderId="15" xfId="0" applyNumberFormat="1" applyFill="1" applyBorder="1"/>
    <xf numFmtId="164" fontId="0" fillId="2" borderId="5" xfId="0" applyNumberFormat="1" applyFill="1" applyBorder="1"/>
    <xf numFmtId="164" fontId="0" fillId="2" borderId="13" xfId="0" applyNumberFormat="1" applyFill="1" applyBorder="1"/>
    <xf numFmtId="164" fontId="0" fillId="2" borderId="7" xfId="0" applyNumberFormat="1" applyFill="1" applyBorder="1"/>
    <xf numFmtId="164" fontId="0" fillId="2" borderId="8" xfId="0" applyNumberFormat="1" applyFill="1" applyBorder="1"/>
    <xf numFmtId="164" fontId="0" fillId="2" borderId="10" xfId="0" applyNumberFormat="1" applyFill="1" applyBorder="1"/>
    <xf numFmtId="164" fontId="0" fillId="2" borderId="10" xfId="0" applyNumberFormat="1" applyFill="1" applyBorder="1" applyAlignment="1">
      <alignment horizontal="right"/>
    </xf>
    <xf numFmtId="171" fontId="0" fillId="2" borderId="7" xfId="0" applyNumberFormat="1" applyFill="1" applyBorder="1"/>
    <xf numFmtId="164" fontId="0" fillId="2" borderId="14" xfId="0" applyNumberFormat="1" applyFill="1" applyBorder="1"/>
    <xf numFmtId="164" fontId="2" fillId="2" borderId="6" xfId="0" applyNumberFormat="1" applyFont="1" applyFill="1" applyBorder="1"/>
    <xf numFmtId="164" fontId="2" fillId="2" borderId="9" xfId="0" applyNumberFormat="1" applyFont="1" applyFill="1" applyBorder="1"/>
    <xf numFmtId="164" fontId="0" fillId="2" borderId="6" xfId="0" applyNumberFormat="1" applyFill="1" applyBorder="1"/>
    <xf numFmtId="164" fontId="0" fillId="2" borderId="9" xfId="0" applyNumberFormat="1" applyFill="1" applyBorder="1"/>
    <xf numFmtId="171" fontId="0" fillId="3" borderId="0" xfId="0" applyNumberFormat="1" applyFill="1"/>
    <xf numFmtId="171" fontId="0" fillId="2" borderId="3" xfId="0" applyNumberFormat="1" applyFill="1" applyBorder="1"/>
    <xf numFmtId="0" fontId="0" fillId="2" borderId="0" xfId="0" applyFill="1" applyAlignment="1">
      <alignment horizontal="center"/>
    </xf>
    <xf numFmtId="166" fontId="0" fillId="2" borderId="0" xfId="0" applyNumberFormat="1" applyFill="1"/>
    <xf numFmtId="9" fontId="0" fillId="2" borderId="0" xfId="0" applyNumberFormat="1" applyFill="1" applyAlignment="1">
      <alignment horizontal="left"/>
    </xf>
    <xf numFmtId="9" fontId="0" fillId="2" borderId="0" xfId="0" applyNumberFormat="1" applyFill="1"/>
    <xf numFmtId="166" fontId="0" fillId="2" borderId="0" xfId="0" applyNumberFormat="1" applyFill="1" applyAlignment="1">
      <alignment horizontal="left"/>
    </xf>
    <xf numFmtId="0" fontId="0" fillId="2" borderId="2" xfId="0" applyFill="1" applyBorder="1"/>
    <xf numFmtId="0" fontId="0" fillId="3" borderId="0" xfId="0" applyFill="1"/>
    <xf numFmtId="0" fontId="6" fillId="6" borderId="0" xfId="3"/>
    <xf numFmtId="0" fontId="2" fillId="2" borderId="0" xfId="0" applyFont="1" applyFill="1" applyAlignment="1">
      <alignment vertical="center" wrapText="1"/>
    </xf>
    <xf numFmtId="3" fontId="0" fillId="2" borderId="0" xfId="0" applyNumberFormat="1" applyFill="1" applyAlignment="1">
      <alignment vertical="center" wrapText="1"/>
    </xf>
    <xf numFmtId="0" fontId="6" fillId="7" borderId="0" xfId="4"/>
    <xf numFmtId="0" fontId="6" fillId="8" borderId="0" xfId="5"/>
    <xf numFmtId="172" fontId="0" fillId="2" borderId="0" xfId="0" applyNumberFormat="1" applyFill="1"/>
    <xf numFmtId="164" fontId="3" fillId="2" borderId="0" xfId="0" applyNumberFormat="1" applyFont="1" applyFill="1" applyAlignment="1">
      <alignment vertical="top"/>
    </xf>
    <xf numFmtId="164" fontId="11" fillId="9" borderId="0" xfId="0" applyNumberFormat="1" applyFont="1" applyFill="1"/>
    <xf numFmtId="164" fontId="0" fillId="9" borderId="0" xfId="0" applyNumberFormat="1" applyFill="1"/>
    <xf numFmtId="164" fontId="12" fillId="9" borderId="0" xfId="1" applyNumberFormat="1" applyFont="1" applyFill="1"/>
    <xf numFmtId="164" fontId="2" fillId="9" borderId="0" xfId="0" applyNumberFormat="1" applyFont="1" applyFill="1"/>
    <xf numFmtId="167" fontId="2" fillId="9" borderId="0" xfId="0" applyNumberFormat="1" applyFont="1" applyFill="1"/>
    <xf numFmtId="164" fontId="2" fillId="9" borderId="0" xfId="0" applyNumberFormat="1" applyFont="1" applyFill="1" applyAlignment="1">
      <alignment horizontal="right"/>
    </xf>
    <xf numFmtId="165" fontId="2" fillId="9" borderId="0" xfId="0" applyNumberFormat="1" applyFont="1" applyFill="1"/>
    <xf numFmtId="2" fontId="14" fillId="2" borderId="0" xfId="0" applyNumberFormat="1" applyFont="1" applyFill="1"/>
    <xf numFmtId="164" fontId="3" fillId="10" borderId="0" xfId="0" applyNumberFormat="1" applyFont="1" applyFill="1"/>
    <xf numFmtId="164" fontId="0" fillId="10" borderId="0" xfId="0" applyNumberFormat="1" applyFill="1"/>
    <xf numFmtId="0" fontId="2" fillId="2" borderId="17" xfId="0" applyFont="1" applyFill="1" applyBorder="1" applyAlignment="1">
      <alignment vertical="center" wrapText="1"/>
    </xf>
    <xf numFmtId="3" fontId="0" fillId="2" borderId="17" xfId="0" applyNumberFormat="1" applyFill="1" applyBorder="1" applyAlignment="1">
      <alignment vertical="center" wrapText="1"/>
    </xf>
    <xf numFmtId="0" fontId="6" fillId="6" borderId="4" xfId="3" applyBorder="1" applyAlignment="1">
      <alignment horizontal="left" vertical="center" wrapText="1"/>
    </xf>
    <xf numFmtId="0" fontId="6" fillId="6" borderId="4" xfId="3" applyBorder="1" applyAlignment="1">
      <alignment horizontal="right" vertical="center" wrapText="1"/>
    </xf>
    <xf numFmtId="0" fontId="6" fillId="7" borderId="4" xfId="4" applyBorder="1" applyAlignment="1">
      <alignment horizontal="left" vertical="center" wrapText="1"/>
    </xf>
    <xf numFmtId="0" fontId="6" fillId="7" borderId="4" xfId="4" applyBorder="1" applyAlignment="1">
      <alignment horizontal="right" vertical="center" wrapText="1"/>
    </xf>
    <xf numFmtId="0" fontId="0" fillId="2" borderId="17" xfId="0" applyFill="1" applyBorder="1" applyAlignment="1">
      <alignment vertical="center" wrapText="1"/>
    </xf>
    <xf numFmtId="4" fontId="0" fillId="2" borderId="0" xfId="0" applyNumberFormat="1" applyFill="1" applyAlignment="1">
      <alignment vertical="center" wrapText="1"/>
    </xf>
    <xf numFmtId="4" fontId="2" fillId="2" borderId="0" xfId="0" applyNumberFormat="1" applyFont="1" applyFill="1" applyAlignment="1">
      <alignment vertical="center" wrapText="1"/>
    </xf>
    <xf numFmtId="4" fontId="2" fillId="2" borderId="17" xfId="0" applyNumberFormat="1" applyFont="1" applyFill="1" applyBorder="1" applyAlignment="1">
      <alignment vertical="center" wrapText="1"/>
    </xf>
    <xf numFmtId="10" fontId="2" fillId="9" borderId="0" xfId="0" applyNumberFormat="1" applyFont="1" applyFill="1"/>
    <xf numFmtId="0" fontId="2" fillId="9" borderId="0" xfId="0" applyFont="1" applyFill="1"/>
    <xf numFmtId="0" fontId="7" fillId="9" borderId="0" xfId="0" applyFont="1" applyFill="1"/>
    <xf numFmtId="0" fontId="0" fillId="9" borderId="0" xfId="0" applyFill="1"/>
    <xf numFmtId="0" fontId="0" fillId="2" borderId="16" xfId="0" applyFill="1" applyBorder="1"/>
    <xf numFmtId="10" fontId="0" fillId="2" borderId="16" xfId="0" applyNumberFormat="1" applyFill="1" applyBorder="1"/>
    <xf numFmtId="164" fontId="0" fillId="2" borderId="16" xfId="0" applyNumberFormat="1" applyFill="1" applyBorder="1"/>
    <xf numFmtId="2" fontId="0" fillId="2" borderId="16" xfId="0" applyNumberFormat="1" applyFill="1" applyBorder="1"/>
    <xf numFmtId="0" fontId="2" fillId="2" borderId="16" xfId="0" applyFont="1" applyFill="1" applyBorder="1"/>
    <xf numFmtId="0" fontId="6" fillId="8" borderId="0" xfId="5" applyAlignment="1">
      <alignment horizontal="right"/>
    </xf>
    <xf numFmtId="14" fontId="6" fillId="8" borderId="0" xfId="5" applyNumberFormat="1" applyAlignment="1">
      <alignment horizontal="left"/>
    </xf>
    <xf numFmtId="0" fontId="6" fillId="2" borderId="0" xfId="5" applyFill="1" applyAlignment="1">
      <alignment horizontal="right"/>
    </xf>
    <xf numFmtId="0" fontId="0" fillId="8" borderId="0" xfId="5" applyFont="1" applyAlignment="1">
      <alignment horizontal="right"/>
    </xf>
    <xf numFmtId="0" fontId="15" fillId="2" borderId="0" xfId="6" applyFill="1"/>
    <xf numFmtId="0" fontId="15" fillId="2" borderId="0" xfId="6" applyFill="1" applyAlignment="1">
      <alignment horizontal="right"/>
    </xf>
    <xf numFmtId="14" fontId="0" fillId="2" borderId="18" xfId="0" applyNumberFormat="1" applyFill="1" applyBorder="1" applyAlignment="1">
      <alignment horizontal="left"/>
    </xf>
    <xf numFmtId="4" fontId="0" fillId="2" borderId="18" xfId="0" applyNumberFormat="1" applyFill="1" applyBorder="1"/>
    <xf numFmtId="0" fontId="0" fillId="2" borderId="18" xfId="0" applyFill="1" applyBorder="1"/>
    <xf numFmtId="10" fontId="2" fillId="3" borderId="19" xfId="0" applyNumberFormat="1" applyFont="1" applyFill="1" applyBorder="1" applyAlignment="1">
      <alignment horizontal="right"/>
    </xf>
    <xf numFmtId="10" fontId="2" fillId="3" borderId="20" xfId="0" applyNumberFormat="1" applyFont="1" applyFill="1" applyBorder="1" applyAlignment="1">
      <alignment horizontal="right"/>
    </xf>
    <xf numFmtId="2" fontId="2" fillId="3" borderId="20" xfId="0" applyNumberFormat="1" applyFont="1" applyFill="1" applyBorder="1" applyAlignment="1">
      <alignment horizontal="right"/>
    </xf>
    <xf numFmtId="2" fontId="2" fillId="3" borderId="21" xfId="0" applyNumberFormat="1" applyFont="1" applyFill="1" applyBorder="1" applyAlignment="1">
      <alignment horizontal="right"/>
    </xf>
    <xf numFmtId="10" fontId="2" fillId="3" borderId="22" xfId="0" applyNumberFormat="1" applyFont="1" applyFill="1" applyBorder="1" applyAlignment="1">
      <alignment horizontal="right"/>
    </xf>
    <xf numFmtId="2" fontId="2" fillId="3" borderId="23" xfId="0" applyNumberFormat="1" applyFont="1" applyFill="1" applyBorder="1" applyAlignment="1">
      <alignment horizontal="right"/>
    </xf>
    <xf numFmtId="10" fontId="2" fillId="3" borderId="24" xfId="0" applyNumberFormat="1" applyFont="1" applyFill="1" applyBorder="1" applyAlignment="1">
      <alignment horizontal="right"/>
    </xf>
    <xf numFmtId="10" fontId="2" fillId="3" borderId="25" xfId="0" applyNumberFormat="1" applyFont="1" applyFill="1" applyBorder="1" applyAlignment="1">
      <alignment horizontal="right"/>
    </xf>
    <xf numFmtId="2" fontId="2" fillId="3" borderId="25" xfId="0" applyNumberFormat="1" applyFont="1" applyFill="1" applyBorder="1" applyAlignment="1">
      <alignment horizontal="right"/>
    </xf>
    <xf numFmtId="2" fontId="2" fillId="3" borderId="26" xfId="0" applyNumberFormat="1" applyFont="1" applyFill="1" applyBorder="1" applyAlignment="1">
      <alignment horizontal="right"/>
    </xf>
    <xf numFmtId="4" fontId="0" fillId="2" borderId="17" xfId="0" applyNumberFormat="1" applyFill="1" applyBorder="1"/>
    <xf numFmtId="0" fontId="0" fillId="2" borderId="17" xfId="0" applyFill="1" applyBorder="1"/>
    <xf numFmtId="10" fontId="14" fillId="2" borderId="0" xfId="0" applyNumberFormat="1" applyFont="1" applyFill="1"/>
    <xf numFmtId="10" fontId="14" fillId="2" borderId="16" xfId="0" applyNumberFormat="1" applyFont="1" applyFill="1" applyBorder="1"/>
    <xf numFmtId="10" fontId="14" fillId="2" borderId="0" xfId="0" applyNumberFormat="1" applyFont="1" applyFill="1" applyAlignment="1">
      <alignment horizontal="right"/>
    </xf>
    <xf numFmtId="164" fontId="14" fillId="2" borderId="0" xfId="0" applyNumberFormat="1" applyFont="1" applyFill="1" applyAlignment="1">
      <alignment horizontal="right"/>
    </xf>
    <xf numFmtId="0" fontId="11" fillId="2" borderId="0" xfId="0" applyFont="1" applyFill="1"/>
    <xf numFmtId="170" fontId="2" fillId="9" borderId="0" xfId="0" applyNumberFormat="1" applyFont="1" applyFill="1"/>
    <xf numFmtId="164" fontId="0" fillId="3" borderId="27" xfId="0" applyNumberFormat="1" applyFill="1" applyBorder="1"/>
    <xf numFmtId="164" fontId="0" fillId="3" borderId="28" xfId="0" applyNumberFormat="1" applyFill="1" applyBorder="1"/>
    <xf numFmtId="10" fontId="0" fillId="3" borderId="27" xfId="0" applyNumberFormat="1" applyFill="1" applyBorder="1"/>
    <xf numFmtId="164" fontId="0" fillId="3" borderId="29" xfId="0" applyNumberFormat="1" applyFill="1" applyBorder="1"/>
    <xf numFmtId="164" fontId="0" fillId="3" borderId="30" xfId="0" applyNumberFormat="1" applyFill="1" applyBorder="1"/>
    <xf numFmtId="169" fontId="0" fillId="2" borderId="0" xfId="0" applyNumberFormat="1" applyFill="1"/>
    <xf numFmtId="10" fontId="14" fillId="3" borderId="0" xfId="0" applyNumberFormat="1" applyFont="1" applyFill="1"/>
    <xf numFmtId="2" fontId="14" fillId="2" borderId="2" xfId="0" applyNumberFormat="1" applyFont="1" applyFill="1" applyBorder="1"/>
    <xf numFmtId="164" fontId="0" fillId="3" borderId="16" xfId="0" applyNumberFormat="1" applyFill="1" applyBorder="1"/>
    <xf numFmtId="10" fontId="0" fillId="3" borderId="16" xfId="0" applyNumberFormat="1" applyFill="1" applyBorder="1"/>
    <xf numFmtId="171" fontId="0" fillId="3" borderId="16" xfId="0" applyNumberFormat="1" applyFill="1" applyBorder="1"/>
    <xf numFmtId="14" fontId="16" fillId="11" borderId="0" xfId="0" applyNumberFormat="1" applyFont="1" applyFill="1" applyAlignment="1">
      <alignment horizontal="left" vertical="center"/>
    </xf>
    <xf numFmtId="0" fontId="2" fillId="10" borderId="0" xfId="0" applyFont="1" applyFill="1"/>
    <xf numFmtId="164" fontId="2" fillId="10" borderId="0" xfId="0" applyNumberFormat="1" applyFont="1" applyFill="1"/>
    <xf numFmtId="164" fontId="7" fillId="10" borderId="3" xfId="0" applyNumberFormat="1" applyFont="1" applyFill="1" applyBorder="1"/>
    <xf numFmtId="164" fontId="7" fillId="10" borderId="3" xfId="0" applyNumberFormat="1" applyFont="1" applyFill="1" applyBorder="1" applyAlignment="1">
      <alignment horizontal="right"/>
    </xf>
    <xf numFmtId="164" fontId="2" fillId="10" borderId="7" xfId="0" applyNumberFormat="1" applyFont="1" applyFill="1" applyBorder="1"/>
    <xf numFmtId="164" fontId="2" fillId="10" borderId="10" xfId="0" applyNumberFormat="1" applyFont="1" applyFill="1" applyBorder="1"/>
    <xf numFmtId="164" fontId="2" fillId="10" borderId="10" xfId="0" applyNumberFormat="1" applyFont="1" applyFill="1" applyBorder="1" applyAlignment="1">
      <alignment horizontal="right"/>
    </xf>
    <xf numFmtId="171" fontId="2" fillId="10" borderId="7" xfId="0" applyNumberFormat="1" applyFont="1" applyFill="1" applyBorder="1"/>
    <xf numFmtId="164" fontId="2" fillId="10" borderId="1" xfId="0" applyNumberFormat="1" applyFont="1" applyFill="1" applyBorder="1" applyAlignment="1">
      <alignment horizontal="left"/>
    </xf>
    <xf numFmtId="166" fontId="2" fillId="10" borderId="1" xfId="0" applyNumberFormat="1" applyFont="1" applyFill="1" applyBorder="1"/>
    <xf numFmtId="164" fontId="2" fillId="10" borderId="3" xfId="0" applyNumberFormat="1" applyFont="1" applyFill="1" applyBorder="1"/>
    <xf numFmtId="164" fontId="2" fillId="10" borderId="1" xfId="0" applyNumberFormat="1" applyFont="1" applyFill="1" applyBorder="1"/>
    <xf numFmtId="10" fontId="2" fillId="10" borderId="1" xfId="0" applyNumberFormat="1" applyFont="1" applyFill="1" applyBorder="1"/>
    <xf numFmtId="10" fontId="2" fillId="10" borderId="0" xfId="0" applyNumberFormat="1" applyFont="1" applyFill="1" applyAlignment="1">
      <alignment horizontal="right"/>
    </xf>
    <xf numFmtId="2" fontId="2" fillId="10" borderId="0" xfId="0" applyNumberFormat="1" applyFont="1" applyFill="1"/>
    <xf numFmtId="164" fontId="2" fillId="9" borderId="0" xfId="0" applyNumberFormat="1" applyFont="1" applyFill="1" applyAlignment="1">
      <alignment horizontal="center"/>
    </xf>
    <xf numFmtId="173" fontId="11" fillId="9" borderId="0" xfId="0" applyNumberFormat="1" applyFont="1" applyFill="1"/>
    <xf numFmtId="173" fontId="0" fillId="9" borderId="0" xfId="0" applyNumberFormat="1" applyFill="1"/>
    <xf numFmtId="173" fontId="0" fillId="2" borderId="0" xfId="0" applyNumberFormat="1" applyFill="1"/>
    <xf numFmtId="173" fontId="12" fillId="9" borderId="0" xfId="1" applyNumberFormat="1" applyFont="1" applyFill="1"/>
    <xf numFmtId="173" fontId="2" fillId="9" borderId="0" xfId="0" applyNumberFormat="1" applyFont="1" applyFill="1"/>
    <xf numFmtId="173" fontId="2" fillId="2" borderId="0" xfId="0" applyNumberFormat="1" applyFont="1" applyFill="1"/>
    <xf numFmtId="173" fontId="0" fillId="2" borderId="0" xfId="0" applyNumberFormat="1" applyFill="1" applyAlignment="1">
      <alignment horizontal="left" indent="1"/>
    </xf>
    <xf numFmtId="173" fontId="2" fillId="2" borderId="1" xfId="0" applyNumberFormat="1" applyFont="1" applyFill="1" applyBorder="1"/>
    <xf numFmtId="173" fontId="0" fillId="2" borderId="1" xfId="0" applyNumberFormat="1" applyFill="1" applyBorder="1"/>
    <xf numFmtId="173" fontId="0" fillId="2" borderId="7" xfId="0" applyNumberFormat="1" applyFill="1" applyBorder="1"/>
    <xf numFmtId="164" fontId="2" fillId="2" borderId="7" xfId="0" applyNumberFormat="1" applyFont="1" applyFill="1" applyBorder="1"/>
    <xf numFmtId="173" fontId="15" fillId="2" borderId="0" xfId="6" applyNumberFormat="1" applyFill="1"/>
    <xf numFmtId="173" fontId="2" fillId="10" borderId="1" xfId="0" applyNumberFormat="1" applyFont="1" applyFill="1" applyBorder="1"/>
    <xf numFmtId="164" fontId="0" fillId="9" borderId="0" xfId="0" applyNumberFormat="1" applyFill="1" applyAlignment="1">
      <alignment horizontal="center"/>
    </xf>
    <xf numFmtId="174" fontId="0" fillId="2" borderId="0" xfId="0" applyNumberFormat="1" applyFill="1"/>
    <xf numFmtId="173" fontId="3" fillId="3" borderId="0" xfId="0" applyNumberFormat="1" applyFont="1" applyFill="1"/>
    <xf numFmtId="164" fontId="19" fillId="3" borderId="0" xfId="0" applyNumberFormat="1" applyFont="1" applyFill="1" applyAlignment="1">
      <alignment horizontal="left" indent="1"/>
    </xf>
    <xf numFmtId="10" fontId="20" fillId="3" borderId="0" xfId="0" applyNumberFormat="1" applyFont="1" applyFill="1"/>
    <xf numFmtId="164" fontId="3" fillId="2" borderId="7" xfId="0" applyNumberFormat="1" applyFont="1" applyFill="1" applyBorder="1"/>
    <xf numFmtId="173" fontId="0" fillId="2" borderId="0" xfId="0" applyNumberFormat="1" applyFill="1" applyAlignment="1">
      <alignment horizontal="right"/>
    </xf>
    <xf numFmtId="172" fontId="0" fillId="2" borderId="0" xfId="0" applyNumberFormat="1" applyFill="1" applyAlignment="1">
      <alignment horizontal="right"/>
    </xf>
    <xf numFmtId="10" fontId="0" fillId="2" borderId="7" xfId="0" applyNumberFormat="1" applyFill="1" applyBorder="1"/>
    <xf numFmtId="164" fontId="13" fillId="2" borderId="0" xfId="1" applyNumberFormat="1" applyFont="1" applyFill="1" applyAlignment="1">
      <alignment horizontal="center" vertical="center"/>
    </xf>
    <xf numFmtId="164" fontId="0" fillId="2" borderId="3" xfId="0" quotePrefix="1" applyNumberFormat="1" applyFill="1" applyBorder="1" applyAlignment="1">
      <alignment horizontal="center"/>
    </xf>
    <xf numFmtId="164" fontId="0" fillId="2" borderId="3" xfId="0" applyNumberFormat="1" applyFill="1" applyBorder="1" applyAlignment="1">
      <alignment horizontal="center"/>
    </xf>
    <xf numFmtId="164" fontId="0" fillId="2" borderId="0" xfId="0" applyNumberFormat="1" applyFill="1" applyAlignment="1">
      <alignment horizontal="center"/>
    </xf>
    <xf numFmtId="164" fontId="0" fillId="2" borderId="0" xfId="0" quotePrefix="1" applyNumberFormat="1" applyFill="1" applyAlignment="1">
      <alignment horizontal="center"/>
    </xf>
    <xf numFmtId="170" fontId="2" fillId="2" borderId="0" xfId="0" applyNumberFormat="1" applyFont="1" applyFill="1" applyAlignment="1">
      <alignment horizontal="right"/>
    </xf>
    <xf numFmtId="171" fontId="2" fillId="2" borderId="0" xfId="0" applyNumberFormat="1" applyFont="1" applyFill="1"/>
    <xf numFmtId="10" fontId="21" fillId="2" borderId="0" xfId="0" applyNumberFormat="1" applyFont="1" applyFill="1"/>
    <xf numFmtId="167" fontId="2" fillId="2" borderId="7" xfId="0" applyNumberFormat="1" applyFont="1" applyFill="1" applyBorder="1"/>
    <xf numFmtId="2" fontId="0" fillId="2" borderId="7" xfId="0" applyNumberFormat="1" applyFill="1" applyBorder="1"/>
    <xf numFmtId="164" fontId="2" fillId="2" borderId="7" xfId="0" applyNumberFormat="1" applyFont="1" applyFill="1" applyBorder="1" applyAlignment="1">
      <alignment horizontal="right"/>
    </xf>
    <xf numFmtId="164" fontId="0" fillId="2" borderId="7" xfId="0" applyNumberFormat="1" applyFill="1" applyBorder="1" applyAlignment="1">
      <alignment horizontal="center"/>
    </xf>
    <xf numFmtId="164" fontId="2" fillId="2" borderId="7" xfId="0" applyNumberFormat="1" applyFont="1" applyFill="1" applyBorder="1" applyAlignment="1">
      <alignment horizontal="center"/>
    </xf>
    <xf numFmtId="164" fontId="13" fillId="2" borderId="7" xfId="1" applyNumberFormat="1" applyFont="1" applyFill="1" applyBorder="1" applyAlignment="1">
      <alignment horizontal="center" vertical="center"/>
    </xf>
    <xf numFmtId="164" fontId="0" fillId="2" borderId="0" xfId="0" quotePrefix="1" applyNumberFormat="1" applyFill="1" applyAlignment="1">
      <alignment horizontal="right"/>
    </xf>
    <xf numFmtId="164" fontId="0" fillId="5" borderId="1" xfId="0" applyNumberFormat="1" applyFill="1" applyBorder="1"/>
    <xf numFmtId="171" fontId="2" fillId="5" borderId="1" xfId="0" applyNumberFormat="1" applyFont="1" applyFill="1" applyBorder="1"/>
    <xf numFmtId="164" fontId="22" fillId="2" borderId="2" xfId="0" applyNumberFormat="1" applyFont="1" applyFill="1" applyBorder="1"/>
    <xf numFmtId="10" fontId="2" fillId="2" borderId="3" xfId="0" applyNumberFormat="1" applyFont="1" applyFill="1" applyBorder="1" applyAlignment="1">
      <alignment horizontal="left"/>
    </xf>
    <xf numFmtId="10" fontId="2" fillId="2" borderId="2" xfId="0" applyNumberFormat="1" applyFont="1" applyFill="1" applyBorder="1"/>
    <xf numFmtId="10" fontId="0" fillId="2" borderId="0" xfId="0" applyNumberFormat="1" applyFill="1" applyAlignment="1">
      <alignment wrapText="1"/>
    </xf>
    <xf numFmtId="10" fontId="2" fillId="3" borderId="1" xfId="0" applyNumberFormat="1" applyFont="1" applyFill="1" applyBorder="1" applyAlignment="1">
      <alignment horizontal="left"/>
    </xf>
    <xf numFmtId="164" fontId="0" fillId="10" borderId="1" xfId="0" applyNumberFormat="1" applyFill="1" applyBorder="1"/>
    <xf numFmtId="164" fontId="2" fillId="3" borderId="1" xfId="0" applyNumberFormat="1" applyFont="1" applyFill="1" applyBorder="1"/>
    <xf numFmtId="164" fontId="2" fillId="3" borderId="1" xfId="0" applyNumberFormat="1" applyFont="1" applyFill="1" applyBorder="1" applyAlignment="1">
      <alignment wrapText="1"/>
    </xf>
    <xf numFmtId="164" fontId="0" fillId="2" borderId="3" xfId="0" applyNumberFormat="1" applyFill="1" applyBorder="1" applyAlignment="1">
      <alignment wrapText="1"/>
    </xf>
    <xf numFmtId="164" fontId="22" fillId="2" borderId="2" xfId="0" applyNumberFormat="1" applyFont="1" applyFill="1" applyBorder="1" applyAlignment="1">
      <alignment horizontal="left"/>
    </xf>
    <xf numFmtId="173" fontId="22" fillId="2" borderId="2" xfId="0" applyNumberFormat="1" applyFont="1" applyFill="1" applyBorder="1" applyAlignment="1">
      <alignment horizontal="left"/>
    </xf>
    <xf numFmtId="173" fontId="3" fillId="3" borderId="0" xfId="0" applyNumberFormat="1" applyFont="1" applyFill="1" applyAlignment="1">
      <alignment horizontal="center"/>
    </xf>
    <xf numFmtId="1" fontId="0" fillId="9" borderId="0" xfId="0" applyNumberFormat="1" applyFill="1" applyAlignment="1">
      <alignment horizontal="center"/>
    </xf>
    <xf numFmtId="173" fontId="0" fillId="10" borderId="0" xfId="0" applyNumberFormat="1" applyFill="1"/>
    <xf numFmtId="173" fontId="2" fillId="10" borderId="0" xfId="0" applyNumberFormat="1" applyFont="1" applyFill="1"/>
    <xf numFmtId="170" fontId="2" fillId="10" borderId="0" xfId="0" applyNumberFormat="1" applyFont="1" applyFill="1" applyAlignment="1">
      <alignment horizontal="right"/>
    </xf>
    <xf numFmtId="173" fontId="3" fillId="3" borderId="3" xfId="0" applyNumberFormat="1" applyFont="1" applyFill="1" applyBorder="1"/>
    <xf numFmtId="173" fontId="3" fillId="3" borderId="2" xfId="0" applyNumberFormat="1" applyFont="1" applyFill="1" applyBorder="1"/>
    <xf numFmtId="0" fontId="3" fillId="2" borderId="31" xfId="0" applyFont="1" applyFill="1" applyBorder="1" applyAlignment="1">
      <alignment horizontal="centerContinuous"/>
    </xf>
    <xf numFmtId="0" fontId="0" fillId="2" borderId="4" xfId="0" applyFill="1" applyBorder="1"/>
    <xf numFmtId="0" fontId="3" fillId="2" borderId="31" xfId="0" applyFont="1" applyFill="1" applyBorder="1" applyAlignment="1">
      <alignment horizontal="center"/>
    </xf>
    <xf numFmtId="0" fontId="0" fillId="10" borderId="4" xfId="0" applyFill="1" applyBorder="1"/>
    <xf numFmtId="10" fontId="0" fillId="2" borderId="0" xfId="0" applyNumberFormat="1" applyFill="1" applyAlignment="1">
      <alignment horizontal="right"/>
    </xf>
    <xf numFmtId="2" fontId="0" fillId="2" borderId="0" xfId="0" quotePrefix="1" applyNumberFormat="1" applyFill="1" applyAlignment="1">
      <alignment horizontal="center"/>
    </xf>
    <xf numFmtId="0" fontId="6" fillId="8" borderId="0" xfId="5" applyAlignment="1">
      <alignment horizontal="center"/>
    </xf>
    <xf numFmtId="173" fontId="6" fillId="6" borderId="0" xfId="3" applyNumberFormat="1"/>
    <xf numFmtId="173" fontId="8" fillId="2" borderId="0" xfId="0" applyNumberFormat="1" applyFont="1" applyFill="1" applyAlignment="1">
      <alignment horizontal="right" vertical="center" wrapText="1"/>
    </xf>
    <xf numFmtId="173" fontId="6" fillId="6" borderId="0" xfId="3" applyNumberFormat="1" applyAlignment="1">
      <alignment horizontal="left" vertical="center" wrapText="1"/>
    </xf>
    <xf numFmtId="173" fontId="6" fillId="6" borderId="0" xfId="3" applyNumberFormat="1" applyAlignment="1">
      <alignment horizontal="right" vertical="center" wrapText="1"/>
    </xf>
    <xf numFmtId="173" fontId="9" fillId="2" borderId="0" xfId="0" applyNumberFormat="1" applyFont="1" applyFill="1" applyAlignment="1">
      <alignment horizontal="right" vertical="center" wrapText="1"/>
    </xf>
    <xf numFmtId="173" fontId="0" fillId="2" borderId="0" xfId="0" applyNumberFormat="1" applyFill="1" applyAlignment="1">
      <alignment vertical="center" wrapText="1"/>
    </xf>
    <xf numFmtId="173" fontId="0" fillId="2" borderId="0" xfId="0" applyNumberFormat="1" applyFill="1" applyAlignment="1">
      <alignment horizontal="right" vertical="center" wrapText="1"/>
    </xf>
    <xf numFmtId="173" fontId="0" fillId="2" borderId="0" xfId="0" applyNumberFormat="1" applyFill="1" applyAlignment="1">
      <alignment horizontal="right" vertical="center"/>
    </xf>
    <xf numFmtId="173" fontId="10" fillId="2" borderId="0" xfId="0" applyNumberFormat="1" applyFont="1" applyFill="1" applyAlignment="1">
      <alignment horizontal="right" vertical="center" wrapText="1"/>
    </xf>
    <xf numFmtId="173" fontId="0" fillId="2" borderId="17" xfId="0" applyNumberFormat="1" applyFill="1" applyBorder="1" applyAlignment="1">
      <alignment vertical="center" wrapText="1"/>
    </xf>
    <xf numFmtId="173" fontId="0" fillId="2" borderId="17" xfId="0" applyNumberFormat="1" applyFill="1" applyBorder="1" applyAlignment="1">
      <alignment horizontal="right" vertical="center" wrapText="1"/>
    </xf>
    <xf numFmtId="173" fontId="0" fillId="2" borderId="17" xfId="0" applyNumberFormat="1" applyFill="1" applyBorder="1" applyAlignment="1">
      <alignment horizontal="right"/>
    </xf>
    <xf numFmtId="173" fontId="0" fillId="2" borderId="17" xfId="0" applyNumberFormat="1" applyFill="1" applyBorder="1" applyAlignment="1">
      <alignment horizontal="right" vertical="center"/>
    </xf>
    <xf numFmtId="173" fontId="6" fillId="6" borderId="0" xfId="3" applyNumberFormat="1" applyBorder="1" applyAlignment="1">
      <alignment horizontal="left" vertical="center" wrapText="1"/>
    </xf>
    <xf numFmtId="173" fontId="6" fillId="2" borderId="0" xfId="3" applyNumberFormat="1" applyFill="1" applyBorder="1" applyAlignment="1">
      <alignment vertical="center" wrapText="1"/>
    </xf>
    <xf numFmtId="173" fontId="0" fillId="11" borderId="0" xfId="0" applyNumberFormat="1" applyFill="1"/>
    <xf numFmtId="173" fontId="36" fillId="2" borderId="0" xfId="0" applyNumberFormat="1" applyFont="1" applyFill="1"/>
    <xf numFmtId="173" fontId="36" fillId="2" borderId="17" xfId="0" applyNumberFormat="1" applyFont="1" applyFill="1" applyBorder="1"/>
    <xf numFmtId="173" fontId="35" fillId="2" borderId="0" xfId="0" applyNumberFormat="1" applyFont="1" applyFill="1" applyAlignment="1">
      <alignment horizontal="left" vertical="center" wrapText="1" indent="2"/>
    </xf>
    <xf numFmtId="173" fontId="35" fillId="2" borderId="0" xfId="0" applyNumberFormat="1" applyFont="1" applyFill="1" applyAlignment="1">
      <alignment horizontal="right" vertical="center" wrapText="1"/>
    </xf>
    <xf numFmtId="173" fontId="0" fillId="2" borderId="17" xfId="0" applyNumberFormat="1" applyFill="1" applyBorder="1"/>
    <xf numFmtId="175" fontId="6" fillId="6" borderId="0" xfId="3" applyNumberFormat="1" applyBorder="1" applyAlignment="1">
      <alignment vertical="center" wrapText="1"/>
    </xf>
    <xf numFmtId="10" fontId="36" fillId="2" borderId="0" xfId="0" applyNumberFormat="1" applyFont="1" applyFill="1"/>
    <xf numFmtId="10" fontId="36" fillId="2" borderId="17" xfId="0" applyNumberFormat="1" applyFont="1" applyFill="1" applyBorder="1"/>
    <xf numFmtId="3" fontId="0" fillId="2" borderId="0" xfId="0" applyNumberFormat="1" applyFill="1"/>
    <xf numFmtId="164" fontId="37" fillId="2" borderId="0" xfId="0" applyNumberFormat="1" applyFont="1" applyFill="1" applyAlignment="1">
      <alignment horizontal="left"/>
    </xf>
    <xf numFmtId="173" fontId="18" fillId="3" borderId="2" xfId="0" applyNumberFormat="1" applyFont="1" applyFill="1" applyBorder="1" applyAlignment="1">
      <alignment horizontal="right"/>
    </xf>
    <xf numFmtId="176" fontId="2" fillId="9" borderId="0" xfId="0" applyNumberFormat="1" applyFont="1" applyFill="1"/>
    <xf numFmtId="173" fontId="2" fillId="2" borderId="7" xfId="0" applyNumberFormat="1" applyFont="1" applyFill="1" applyBorder="1"/>
    <xf numFmtId="176" fontId="0" fillId="2" borderId="7" xfId="0" applyNumberFormat="1" applyFill="1" applyBorder="1"/>
    <xf numFmtId="2" fontId="2" fillId="2" borderId="1" xfId="0" applyNumberFormat="1" applyFont="1" applyFill="1" applyBorder="1"/>
    <xf numFmtId="164" fontId="3" fillId="9" borderId="0" xfId="0" applyNumberFormat="1" applyFont="1" applyFill="1" applyAlignment="1">
      <alignment horizontal="center"/>
    </xf>
    <xf numFmtId="173" fontId="3" fillId="9" borderId="0" xfId="0" applyNumberFormat="1" applyFont="1" applyFill="1" applyAlignment="1">
      <alignment horizontal="center"/>
    </xf>
    <xf numFmtId="10" fontId="3" fillId="9" borderId="0" xfId="0" applyNumberFormat="1" applyFont="1" applyFill="1"/>
    <xf numFmtId="10" fontId="3" fillId="9" borderId="0" xfId="0" applyNumberFormat="1" applyFont="1" applyFill="1" applyAlignment="1">
      <alignment horizontal="center"/>
    </xf>
    <xf numFmtId="173" fontId="20" fillId="2" borderId="0" xfId="0" applyNumberFormat="1" applyFont="1" applyFill="1"/>
    <xf numFmtId="173" fontId="18" fillId="2" borderId="0" xfId="0" applyNumberFormat="1" applyFont="1" applyFill="1"/>
    <xf numFmtId="173" fontId="38" fillId="2" borderId="0" xfId="0" applyNumberFormat="1" applyFont="1" applyFill="1"/>
    <xf numFmtId="2" fontId="14" fillId="2" borderId="1" xfId="0" applyNumberFormat="1" applyFont="1" applyFill="1" applyBorder="1"/>
    <xf numFmtId="2" fontId="18" fillId="3" borderId="0" xfId="0" applyNumberFormat="1" applyFont="1" applyFill="1"/>
    <xf numFmtId="2" fontId="3" fillId="3" borderId="0" xfId="0" applyNumberFormat="1" applyFont="1" applyFill="1"/>
    <xf numFmtId="10" fontId="0" fillId="9" borderId="0" xfId="0" applyNumberFormat="1" applyFill="1"/>
    <xf numFmtId="173" fontId="14" fillId="2" borderId="1" xfId="0" applyNumberFormat="1" applyFont="1" applyFill="1" applyBorder="1"/>
    <xf numFmtId="173" fontId="2" fillId="2" borderId="2" xfId="0" applyNumberFormat="1" applyFont="1" applyFill="1" applyBorder="1"/>
    <xf numFmtId="10" fontId="3" fillId="3" borderId="3" xfId="0" applyNumberFormat="1" applyFont="1" applyFill="1" applyBorder="1"/>
    <xf numFmtId="2" fontId="2" fillId="2" borderId="2" xfId="0" applyNumberFormat="1" applyFont="1" applyFill="1" applyBorder="1"/>
    <xf numFmtId="177" fontId="3" fillId="3" borderId="3" xfId="0" applyNumberFormat="1" applyFont="1" applyFill="1" applyBorder="1"/>
    <xf numFmtId="10" fontId="18" fillId="3" borderId="3" xfId="0" applyNumberFormat="1" applyFont="1" applyFill="1" applyBorder="1"/>
    <xf numFmtId="165" fontId="2" fillId="2" borderId="7" xfId="0" applyNumberFormat="1" applyFont="1" applyFill="1" applyBorder="1"/>
    <xf numFmtId="173" fontId="0" fillId="2" borderId="2" xfId="0" applyNumberFormat="1" applyFill="1" applyBorder="1"/>
    <xf numFmtId="176" fontId="2" fillId="2" borderId="7" xfId="0" applyNumberFormat="1" applyFont="1" applyFill="1" applyBorder="1"/>
    <xf numFmtId="173" fontId="15" fillId="2" borderId="3" xfId="6" applyNumberFormat="1" applyFill="1" applyBorder="1"/>
    <xf numFmtId="173" fontId="39" fillId="9" borderId="0" xfId="0" applyNumberFormat="1" applyFont="1" applyFill="1" applyAlignment="1">
      <alignment horizontal="center"/>
    </xf>
    <xf numFmtId="173" fontId="15" fillId="2" borderId="0" xfId="6" applyNumberFormat="1" applyFill="1" applyBorder="1"/>
    <xf numFmtId="173" fontId="14" fillId="2" borderId="2" xfId="0" applyNumberFormat="1" applyFont="1" applyFill="1" applyBorder="1"/>
    <xf numFmtId="173" fontId="3" fillId="2" borderId="7" xfId="0" applyNumberFormat="1" applyFont="1" applyFill="1" applyBorder="1"/>
    <xf numFmtId="173" fontId="3" fillId="2" borderId="0" xfId="0" applyNumberFormat="1" applyFont="1" applyFill="1"/>
    <xf numFmtId="173" fontId="14" fillId="2" borderId="0" xfId="0" applyNumberFormat="1" applyFont="1" applyFill="1"/>
    <xf numFmtId="173" fontId="17" fillId="2" borderId="7" xfId="0" applyNumberFormat="1" applyFont="1" applyFill="1" applyBorder="1"/>
    <xf numFmtId="173" fontId="17" fillId="2" borderId="0" xfId="0" applyNumberFormat="1" applyFont="1" applyFill="1"/>
    <xf numFmtId="10" fontId="3" fillId="2" borderId="3" xfId="0" applyNumberFormat="1" applyFont="1" applyFill="1" applyBorder="1"/>
    <xf numFmtId="176" fontId="2" fillId="10" borderId="0" xfId="0" applyNumberFormat="1" applyFont="1" applyFill="1"/>
    <xf numFmtId="173" fontId="0" fillId="2" borderId="3" xfId="0" applyNumberFormat="1" applyFill="1" applyBorder="1"/>
    <xf numFmtId="176" fontId="2" fillId="2" borderId="0" xfId="0" applyNumberFormat="1" applyFont="1" applyFill="1"/>
    <xf numFmtId="173" fontId="2" fillId="3" borderId="1" xfId="0" applyNumberFormat="1" applyFont="1" applyFill="1" applyBorder="1"/>
    <xf numFmtId="10" fontId="18" fillId="3" borderId="0" xfId="0" applyNumberFormat="1" applyFont="1" applyFill="1"/>
    <xf numFmtId="10" fontId="18" fillId="2" borderId="0" xfId="0" applyNumberFormat="1" applyFont="1" applyFill="1"/>
    <xf numFmtId="173" fontId="7" fillId="9" borderId="0" xfId="0" applyNumberFormat="1" applyFont="1" applyFill="1"/>
    <xf numFmtId="173" fontId="40" fillId="2" borderId="0" xfId="0" applyNumberFormat="1" applyFont="1" applyFill="1"/>
    <xf numFmtId="173" fontId="40" fillId="2" borderId="7" xfId="0" applyNumberFormat="1" applyFont="1" applyFill="1" applyBorder="1"/>
    <xf numFmtId="173" fontId="0" fillId="2" borderId="3" xfId="0" applyNumberFormat="1" applyFill="1" applyBorder="1" applyAlignment="1">
      <alignment horizontal="left" indent="1"/>
    </xf>
    <xf numFmtId="0" fontId="0" fillId="2" borderId="0" xfId="0" applyFill="1" applyAlignment="1">
      <alignment horizontal="left" indent="1"/>
    </xf>
    <xf numFmtId="173" fontId="7" fillId="3" borderId="0" xfId="0" applyNumberFormat="1" applyFont="1" applyFill="1"/>
    <xf numFmtId="173" fontId="0" fillId="2" borderId="2" xfId="0" applyNumberFormat="1" applyFill="1" applyBorder="1" applyAlignment="1">
      <alignment horizontal="left" indent="1"/>
    </xf>
    <xf numFmtId="173" fontId="31" fillId="2" borderId="2" xfId="0" applyNumberFormat="1" applyFont="1" applyFill="1" applyBorder="1"/>
    <xf numFmtId="173" fontId="18" fillId="3" borderId="0" xfId="0" applyNumberFormat="1" applyFont="1" applyFill="1"/>
    <xf numFmtId="173" fontId="17" fillId="2" borderId="3" xfId="0" applyNumberFormat="1" applyFont="1" applyFill="1" applyBorder="1"/>
    <xf numFmtId="173" fontId="40" fillId="2" borderId="2" xfId="0" applyNumberFormat="1" applyFont="1" applyFill="1" applyBorder="1"/>
    <xf numFmtId="173" fontId="41" fillId="2" borderId="0" xfId="0" applyNumberFormat="1" applyFont="1" applyFill="1"/>
    <xf numFmtId="173" fontId="3" fillId="9" borderId="0" xfId="0" applyNumberFormat="1" applyFont="1" applyFill="1"/>
    <xf numFmtId="173" fontId="0" fillId="9" borderId="0" xfId="0" applyNumberFormat="1" applyFill="1" applyAlignment="1">
      <alignment horizontal="center"/>
    </xf>
    <xf numFmtId="164" fontId="0" fillId="2" borderId="3" xfId="0" applyNumberFormat="1" applyFill="1" applyBorder="1" applyAlignment="1">
      <alignment horizontal="left" indent="1"/>
    </xf>
    <xf numFmtId="164" fontId="0" fillId="2" borderId="11" xfId="0" applyNumberFormat="1" applyFill="1" applyBorder="1"/>
    <xf numFmtId="164" fontId="0" fillId="2" borderId="12" xfId="0" applyNumberFormat="1" applyFill="1" applyBorder="1"/>
    <xf numFmtId="164" fontId="7" fillId="3" borderId="0" xfId="0" applyNumberFormat="1" applyFont="1" applyFill="1" applyAlignment="1">
      <alignment horizontal="left"/>
    </xf>
    <xf numFmtId="164" fontId="7" fillId="2" borderId="0" xfId="0" applyNumberFormat="1" applyFont="1" applyFill="1" applyAlignment="1">
      <alignment horizontal="left"/>
    </xf>
    <xf numFmtId="164" fontId="0" fillId="10" borderId="0" xfId="0" applyNumberFormat="1" applyFill="1" applyAlignment="1">
      <alignment horizontal="left" indent="1"/>
    </xf>
    <xf numFmtId="164" fontId="15" fillId="2" borderId="0" xfId="6" applyNumberFormat="1" applyFill="1" applyAlignment="1">
      <alignment horizontal="left"/>
    </xf>
    <xf numFmtId="164" fontId="0" fillId="2" borderId="2" xfId="0" applyNumberFormat="1" applyFill="1" applyBorder="1" applyAlignment="1">
      <alignment horizontal="left" indent="1"/>
    </xf>
    <xf numFmtId="173" fontId="3" fillId="10" borderId="0" xfId="0" applyNumberFormat="1" applyFont="1" applyFill="1"/>
    <xf numFmtId="164" fontId="3" fillId="3" borderId="0" xfId="0" applyNumberFormat="1" applyFont="1" applyFill="1" applyAlignment="1">
      <alignment horizontal="left"/>
    </xf>
    <xf numFmtId="173" fontId="42" fillId="2" borderId="3" xfId="0" applyNumberFormat="1" applyFont="1" applyFill="1" applyBorder="1"/>
    <xf numFmtId="173" fontId="42" fillId="2" borderId="7" xfId="0" applyNumberFormat="1" applyFont="1" applyFill="1" applyBorder="1"/>
    <xf numFmtId="173" fontId="42" fillId="2" borderId="0" xfId="0" applyNumberFormat="1" applyFont="1" applyFill="1"/>
    <xf numFmtId="164" fontId="42" fillId="2" borderId="3" xfId="0" applyNumberFormat="1" applyFont="1" applyFill="1" applyBorder="1"/>
    <xf numFmtId="173" fontId="17" fillId="2" borderId="2" xfId="0" applyNumberFormat="1" applyFont="1" applyFill="1" applyBorder="1"/>
    <xf numFmtId="173" fontId="3" fillId="3" borderId="0" xfId="0" applyNumberFormat="1" applyFont="1" applyFill="1" applyAlignment="1">
      <alignment horizontal="right"/>
    </xf>
    <xf numFmtId="10" fontId="3" fillId="3" borderId="0" xfId="0" applyNumberFormat="1" applyFont="1" applyFill="1"/>
    <xf numFmtId="173" fontId="3" fillId="3" borderId="3" xfId="0" applyNumberFormat="1" applyFont="1" applyFill="1" applyBorder="1" applyAlignment="1">
      <alignment horizontal="left" indent="1"/>
    </xf>
    <xf numFmtId="173" fontId="3" fillId="2" borderId="3" xfId="0" applyNumberFormat="1" applyFont="1" applyFill="1" applyBorder="1" applyAlignment="1">
      <alignment horizontal="left" indent="1"/>
    </xf>
    <xf numFmtId="10" fontId="18" fillId="2" borderId="3" xfId="0" applyNumberFormat="1" applyFont="1" applyFill="1" applyBorder="1"/>
    <xf numFmtId="173" fontId="3" fillId="2" borderId="0" xfId="0" applyNumberFormat="1" applyFont="1" applyFill="1" applyAlignment="1">
      <alignment horizontal="left" indent="1"/>
    </xf>
    <xf numFmtId="10" fontId="3" fillId="2" borderId="0" xfId="0" applyNumberFormat="1" applyFont="1" applyFill="1"/>
    <xf numFmtId="173" fontId="15" fillId="2" borderId="0" xfId="6" applyNumberFormat="1" applyFill="1" applyAlignment="1">
      <alignment horizontal="left" indent="1"/>
    </xf>
    <xf numFmtId="173" fontId="0" fillId="2" borderId="1" xfId="0" applyNumberFormat="1" applyFill="1" applyBorder="1" applyAlignment="1">
      <alignment horizontal="left" indent="1"/>
    </xf>
    <xf numFmtId="173" fontId="2" fillId="2" borderId="1" xfId="0" applyNumberFormat="1" applyFont="1" applyFill="1" applyBorder="1" applyAlignment="1">
      <alignment horizontal="left" indent="1"/>
    </xf>
    <xf numFmtId="173" fontId="3" fillId="3" borderId="2" xfId="0" applyNumberFormat="1" applyFont="1" applyFill="1" applyBorder="1" applyAlignment="1">
      <alignment horizontal="left" indent="1"/>
    </xf>
    <xf numFmtId="173" fontId="3" fillId="3" borderId="0" xfId="0" applyNumberFormat="1" applyFont="1" applyFill="1" applyAlignment="1">
      <alignment horizontal="left" indent="1"/>
    </xf>
    <xf numFmtId="173" fontId="2" fillId="2" borderId="2" xfId="0" applyNumberFormat="1" applyFont="1" applyFill="1" applyBorder="1" applyAlignment="1">
      <alignment horizontal="left" indent="1"/>
    </xf>
    <xf numFmtId="173" fontId="2" fillId="2" borderId="0" xfId="0" applyNumberFormat="1" applyFont="1" applyFill="1" applyAlignment="1">
      <alignment horizontal="left" indent="1"/>
    </xf>
    <xf numFmtId="164" fontId="0" fillId="3" borderId="0" xfId="0" applyNumberFormat="1" applyFill="1" applyAlignment="1">
      <alignment horizontal="left" indent="1"/>
    </xf>
    <xf numFmtId="164" fontId="2" fillId="10" borderId="13" xfId="0" applyNumberFormat="1" applyFont="1" applyFill="1" applyBorder="1" applyAlignment="1">
      <alignment horizontal="left" indent="1"/>
    </xf>
    <xf numFmtId="164" fontId="0" fillId="2" borderId="13" xfId="0" applyNumberFormat="1" applyFill="1" applyBorder="1" applyAlignment="1">
      <alignment horizontal="left" indent="1"/>
    </xf>
    <xf numFmtId="164" fontId="2" fillId="3" borderId="0" xfId="0" applyNumberFormat="1" applyFont="1" applyFill="1" applyAlignment="1">
      <alignment horizontal="left" indent="1"/>
    </xf>
    <xf numFmtId="164" fontId="3" fillId="3" borderId="1" xfId="0" applyNumberFormat="1" applyFont="1" applyFill="1" applyBorder="1"/>
    <xf numFmtId="2" fontId="3" fillId="3" borderId="1" xfId="0" applyNumberFormat="1" applyFont="1" applyFill="1" applyBorder="1"/>
    <xf numFmtId="0" fontId="2" fillId="2" borderId="0" xfId="0" applyFont="1" applyFill="1" applyAlignment="1">
      <alignment horizontal="left" vertical="center"/>
    </xf>
    <xf numFmtId="0" fontId="2" fillId="2" borderId="0" xfId="0" applyFont="1" applyFill="1" applyAlignment="1">
      <alignment horizontal="center" vertical="center" wrapText="1"/>
    </xf>
    <xf numFmtId="0" fontId="0" fillId="2" borderId="0" xfId="0" applyFill="1" applyAlignment="1">
      <alignment vertical="top" wrapText="1"/>
    </xf>
    <xf numFmtId="0" fontId="0" fillId="2" borderId="0" xfId="0" applyFill="1" applyAlignment="1">
      <alignment wrapText="1"/>
    </xf>
    <xf numFmtId="0" fontId="0" fillId="2" borderId="0" xfId="0" applyFill="1" applyAlignment="1">
      <alignment horizontal="center" vertical="center" wrapText="1"/>
    </xf>
    <xf numFmtId="0" fontId="2" fillId="2" borderId="0" xfId="0" applyFont="1" applyFill="1" applyAlignment="1">
      <alignment horizontal="left" vertical="center" indent="1"/>
    </xf>
    <xf numFmtId="164" fontId="2" fillId="2" borderId="10" xfId="0" applyNumberFormat="1" applyFont="1" applyFill="1" applyBorder="1"/>
    <xf numFmtId="164" fontId="17" fillId="2" borderId="0" xfId="0" applyNumberFormat="1" applyFont="1" applyFill="1"/>
    <xf numFmtId="10" fontId="20" fillId="2" borderId="3" xfId="0" applyNumberFormat="1" applyFont="1" applyFill="1" applyBorder="1"/>
    <xf numFmtId="178" fontId="2" fillId="10" borderId="1" xfId="0" applyNumberFormat="1" applyFont="1" applyFill="1" applyBorder="1"/>
    <xf numFmtId="178" fontId="0" fillId="2" borderId="0" xfId="0" applyNumberFormat="1" applyFill="1"/>
    <xf numFmtId="164" fontId="2" fillId="2" borderId="0" xfId="0" applyNumberFormat="1" applyFont="1" applyFill="1" applyAlignment="1">
      <alignment horizontal="right" indent="1"/>
    </xf>
    <xf numFmtId="164" fontId="2" fillId="3" borderId="1" xfId="0" applyNumberFormat="1" applyFont="1" applyFill="1" applyBorder="1" applyAlignment="1">
      <alignment horizontal="left"/>
    </xf>
    <xf numFmtId="164" fontId="7" fillId="3" borderId="0" xfId="0" applyNumberFormat="1" applyFont="1" applyFill="1" applyAlignment="1">
      <alignment horizontal="right" indent="1"/>
    </xf>
    <xf numFmtId="10" fontId="17" fillId="2" borderId="3" xfId="0" applyNumberFormat="1" applyFont="1" applyFill="1" applyBorder="1"/>
    <xf numFmtId="0" fontId="2" fillId="0" borderId="1" xfId="0" applyFont="1" applyBorder="1"/>
    <xf numFmtId="175" fontId="6" fillId="2" borderId="0" xfId="3" applyNumberFormat="1" applyFill="1" applyBorder="1" applyAlignment="1">
      <alignment vertical="center" wrapText="1"/>
    </xf>
    <xf numFmtId="173" fontId="0" fillId="2" borderId="0" xfId="3" applyNumberFormat="1" applyFont="1" applyFill="1" applyBorder="1" applyAlignment="1">
      <alignment horizontal="left" vertical="center" wrapText="1"/>
    </xf>
    <xf numFmtId="10" fontId="2" fillId="3" borderId="1" xfId="0" applyNumberFormat="1" applyFont="1" applyFill="1" applyBorder="1"/>
    <xf numFmtId="164" fontId="2" fillId="2" borderId="2" xfId="0" applyNumberFormat="1" applyFont="1" applyFill="1" applyBorder="1" applyAlignment="1">
      <alignment horizontal="left"/>
    </xf>
    <xf numFmtId="173" fontId="0" fillId="2" borderId="0" xfId="0" applyNumberFormat="1" applyFill="1" applyAlignment="1">
      <alignment horizontal="center"/>
    </xf>
    <xf numFmtId="173" fontId="3" fillId="3" borderId="5" xfId="0" applyNumberFormat="1" applyFont="1" applyFill="1" applyBorder="1"/>
    <xf numFmtId="173" fontId="3" fillId="3" borderId="7" xfId="0" applyNumberFormat="1" applyFont="1" applyFill="1" applyBorder="1"/>
    <xf numFmtId="173" fontId="3" fillId="3" borderId="6" xfId="0" applyNumberFormat="1" applyFont="1" applyFill="1" applyBorder="1"/>
    <xf numFmtId="164" fontId="15" fillId="3" borderId="0" xfId="6" applyNumberFormat="1" applyFill="1" applyBorder="1"/>
    <xf numFmtId="171" fontId="15" fillId="3" borderId="0" xfId="6" applyNumberFormat="1" applyFill="1" applyBorder="1" applyAlignment="1">
      <alignment horizontal="right"/>
    </xf>
    <xf numFmtId="0" fontId="0" fillId="2" borderId="0" xfId="0" applyFill="1" applyAlignment="1">
      <alignment vertical="center"/>
    </xf>
    <xf numFmtId="0" fontId="43" fillId="2" borderId="0" xfId="0" applyFont="1" applyFill="1" applyAlignment="1">
      <alignment vertical="top"/>
    </xf>
    <xf numFmtId="0" fontId="0" fillId="2" borderId="0" xfId="0" applyFill="1" applyAlignment="1">
      <alignment horizontal="left" wrapText="1"/>
    </xf>
    <xf numFmtId="0" fontId="48" fillId="2" borderId="0" xfId="0" applyFont="1" applyFill="1"/>
    <xf numFmtId="0" fontId="48" fillId="9" borderId="0" xfId="0" applyFont="1" applyFill="1"/>
    <xf numFmtId="0" fontId="49" fillId="9" borderId="0" xfId="0" applyFont="1" applyFill="1" applyAlignment="1">
      <alignment horizontal="left"/>
    </xf>
    <xf numFmtId="0" fontId="48" fillId="9" borderId="2" xfId="0" applyFont="1" applyFill="1" applyBorder="1"/>
    <xf numFmtId="0" fontId="48" fillId="9" borderId="5" xfId="0" applyFont="1" applyFill="1" applyBorder="1"/>
    <xf numFmtId="0" fontId="48" fillId="9" borderId="15" xfId="0" applyFont="1" applyFill="1" applyBorder="1" applyAlignment="1">
      <alignment horizontal="center"/>
    </xf>
    <xf numFmtId="0" fontId="48" fillId="9" borderId="13" xfId="0" applyFont="1" applyFill="1" applyBorder="1" applyAlignment="1">
      <alignment horizontal="center"/>
    </xf>
    <xf numFmtId="0" fontId="48" fillId="9" borderId="3" xfId="0" applyFont="1" applyFill="1" applyBorder="1"/>
    <xf numFmtId="0" fontId="48" fillId="9" borderId="6" xfId="0" applyFont="1" applyFill="1" applyBorder="1"/>
    <xf numFmtId="0" fontId="0" fillId="9" borderId="3" xfId="0" applyFill="1" applyBorder="1"/>
    <xf numFmtId="0" fontId="0" fillId="9" borderId="0" xfId="0" applyFill="1" applyAlignment="1">
      <alignment horizontal="center"/>
    </xf>
    <xf numFmtId="0" fontId="48" fillId="9" borderId="7" xfId="0" applyFont="1" applyFill="1" applyBorder="1"/>
    <xf numFmtId="0" fontId="49" fillId="9" borderId="0" xfId="0" applyFont="1" applyFill="1" applyAlignment="1">
      <alignment horizontal="center"/>
    </xf>
    <xf numFmtId="0" fontId="48" fillId="9" borderId="8" xfId="0" applyFont="1" applyFill="1" applyBorder="1" applyAlignment="1">
      <alignment horizontal="center"/>
    </xf>
    <xf numFmtId="0" fontId="48" fillId="9" borderId="10" xfId="0" applyFont="1" applyFill="1" applyBorder="1" applyAlignment="1">
      <alignment horizontal="center"/>
    </xf>
    <xf numFmtId="10" fontId="48" fillId="9" borderId="10" xfId="0" applyNumberFormat="1" applyFont="1" applyFill="1" applyBorder="1" applyAlignment="1">
      <alignment horizontal="center"/>
    </xf>
    <xf numFmtId="2" fontId="48" fillId="9" borderId="10" xfId="0" applyNumberFormat="1" applyFont="1" applyFill="1" applyBorder="1" applyAlignment="1">
      <alignment horizontal="center"/>
    </xf>
    <xf numFmtId="171" fontId="48" fillId="9" borderId="10" xfId="0" applyNumberFormat="1" applyFont="1" applyFill="1" applyBorder="1" applyAlignment="1">
      <alignment horizontal="center"/>
    </xf>
    <xf numFmtId="10" fontId="48" fillId="9" borderId="13" xfId="0" applyNumberFormat="1" applyFont="1" applyFill="1" applyBorder="1" applyAlignment="1">
      <alignment horizontal="center"/>
    </xf>
    <xf numFmtId="10" fontId="48" fillId="2" borderId="0" xfId="0" applyNumberFormat="1" applyFont="1" applyFill="1" applyAlignment="1">
      <alignment horizontal="center"/>
    </xf>
    <xf numFmtId="2" fontId="48" fillId="9" borderId="13" xfId="0" applyNumberFormat="1" applyFont="1" applyFill="1" applyBorder="1" applyAlignment="1">
      <alignment horizontal="center"/>
    </xf>
    <xf numFmtId="171" fontId="48" fillId="9" borderId="13" xfId="0" applyNumberFormat="1" applyFont="1" applyFill="1" applyBorder="1" applyAlignment="1">
      <alignment horizontal="center"/>
    </xf>
    <xf numFmtId="0" fontId="0" fillId="16" borderId="0" xfId="0" applyFill="1"/>
    <xf numFmtId="0" fontId="0" fillId="10" borderId="0" xfId="0" applyFill="1"/>
    <xf numFmtId="0" fontId="48" fillId="10" borderId="0" xfId="0" applyFont="1" applyFill="1"/>
    <xf numFmtId="17" fontId="0" fillId="2" borderId="0" xfId="0" applyNumberFormat="1" applyFill="1"/>
    <xf numFmtId="10" fontId="49" fillId="9" borderId="3" xfId="0" applyNumberFormat="1" applyFont="1" applyFill="1" applyBorder="1" applyAlignment="1">
      <alignment horizontal="center"/>
    </xf>
    <xf numFmtId="0" fontId="48" fillId="2" borderId="0" xfId="0" applyFont="1" applyFill="1" applyAlignment="1">
      <alignment vertical="top" wrapText="1"/>
    </xf>
    <xf numFmtId="0" fontId="6" fillId="6" borderId="4" xfId="3" applyBorder="1"/>
    <xf numFmtId="0" fontId="6" fillId="7" borderId="4" xfId="4" applyBorder="1"/>
    <xf numFmtId="179" fontId="2" fillId="9" borderId="0" xfId="0" applyNumberFormat="1" applyFont="1" applyFill="1"/>
    <xf numFmtId="180" fontId="2" fillId="9" borderId="0" xfId="0" applyNumberFormat="1" applyFont="1" applyFill="1"/>
    <xf numFmtId="0" fontId="0" fillId="2" borderId="0" xfId="0" applyFill="1" applyAlignment="1">
      <alignment horizontal="left" vertical="center" wrapText="1" indent="1"/>
    </xf>
    <xf numFmtId="177" fontId="3" fillId="3" borderId="3" xfId="0" applyNumberFormat="1" applyFont="1" applyFill="1" applyBorder="1" applyAlignment="1">
      <alignment horizontal="right"/>
    </xf>
    <xf numFmtId="173" fontId="15" fillId="2" borderId="2" xfId="6" applyNumberFormat="1" applyFill="1" applyBorder="1"/>
    <xf numFmtId="10" fontId="15" fillId="2" borderId="3" xfId="6" applyNumberFormat="1" applyFill="1" applyBorder="1"/>
    <xf numFmtId="173" fontId="7" fillId="18" borderId="0" xfId="0" applyNumberFormat="1" applyFont="1" applyFill="1"/>
    <xf numFmtId="173" fontId="18" fillId="3" borderId="2" xfId="0" applyNumberFormat="1" applyFont="1" applyFill="1" applyBorder="1"/>
    <xf numFmtId="173" fontId="7" fillId="3" borderId="2" xfId="0" applyNumberFormat="1" applyFont="1" applyFill="1" applyBorder="1"/>
    <xf numFmtId="173" fontId="3" fillId="2" borderId="0" xfId="0" applyNumberFormat="1" applyFont="1" applyFill="1" applyAlignment="1">
      <alignment vertical="top" wrapText="1"/>
    </xf>
    <xf numFmtId="164" fontId="0" fillId="3" borderId="3" xfId="0" applyNumberFormat="1" applyFill="1" applyBorder="1"/>
    <xf numFmtId="164" fontId="0" fillId="3" borderId="33" xfId="0" applyNumberFormat="1" applyFill="1" applyBorder="1"/>
    <xf numFmtId="164" fontId="0" fillId="18" borderId="0" xfId="0" applyNumberFormat="1" applyFill="1"/>
    <xf numFmtId="173" fontId="18" fillId="3" borderId="3" xfId="0" applyNumberFormat="1" applyFont="1" applyFill="1" applyBorder="1"/>
    <xf numFmtId="10" fontId="3" fillId="2" borderId="7" xfId="0" applyNumberFormat="1" applyFont="1" applyFill="1" applyBorder="1"/>
    <xf numFmtId="164" fontId="62" fillId="10" borderId="0" xfId="0" applyNumberFormat="1" applyFont="1" applyFill="1" applyAlignment="1">
      <alignment horizontal="right"/>
    </xf>
    <xf numFmtId="10" fontId="0" fillId="3" borderId="33" xfId="0" applyNumberFormat="1" applyFill="1" applyBorder="1"/>
    <xf numFmtId="10" fontId="0" fillId="3" borderId="3" xfId="0" applyNumberFormat="1" applyFill="1" applyBorder="1"/>
    <xf numFmtId="10" fontId="2" fillId="3" borderId="0" xfId="0" applyNumberFormat="1" applyFont="1" applyFill="1" applyAlignment="1">
      <alignment horizontal="right"/>
    </xf>
    <xf numFmtId="2" fontId="2" fillId="3" borderId="0" xfId="0" applyNumberFormat="1" applyFont="1" applyFill="1" applyAlignment="1">
      <alignment horizontal="right"/>
    </xf>
    <xf numFmtId="164" fontId="14" fillId="3" borderId="1" xfId="0" applyNumberFormat="1" applyFont="1" applyFill="1" applyBorder="1" applyAlignment="1">
      <alignment horizontal="right" indent="1"/>
    </xf>
    <xf numFmtId="173" fontId="0" fillId="6" borderId="0" xfId="3" applyNumberFormat="1" applyFont="1"/>
    <xf numFmtId="0" fontId="48" fillId="2" borderId="2" xfId="0" applyFont="1" applyFill="1" applyBorder="1"/>
    <xf numFmtId="0" fontId="48" fillId="2" borderId="5" xfId="0" applyFont="1" applyFill="1" applyBorder="1"/>
    <xf numFmtId="0" fontId="48" fillId="2" borderId="7" xfId="0" applyFont="1" applyFill="1" applyBorder="1"/>
    <xf numFmtId="0" fontId="49" fillId="2" borderId="0" xfId="0" applyFont="1" applyFill="1" applyAlignment="1">
      <alignment horizontal="left"/>
    </xf>
    <xf numFmtId="0" fontId="49" fillId="2" borderId="0" xfId="0" applyFont="1" applyFill="1"/>
    <xf numFmtId="0" fontId="60" fillId="2" borderId="0" xfId="0" applyFont="1" applyFill="1"/>
    <xf numFmtId="0" fontId="48" fillId="2" borderId="0" xfId="0" applyFont="1" applyFill="1" applyAlignment="1">
      <alignment horizontal="center"/>
    </xf>
    <xf numFmtId="0" fontId="48" fillId="2" borderId="7" xfId="0" applyFont="1" applyFill="1" applyBorder="1" applyAlignment="1">
      <alignment horizontal="center"/>
    </xf>
    <xf numFmtId="0" fontId="48" fillId="2" borderId="0" xfId="0" applyFont="1" applyFill="1" applyAlignment="1">
      <alignment wrapText="1"/>
    </xf>
    <xf numFmtId="0" fontId="48" fillId="2" borderId="0" xfId="0" applyFont="1" applyFill="1" applyAlignment="1">
      <alignment horizontal="center" vertical="top" wrapText="1"/>
    </xf>
    <xf numFmtId="0" fontId="49" fillId="2" borderId="0" xfId="0" applyFont="1" applyFill="1" applyAlignment="1">
      <alignment vertical="top" wrapText="1"/>
    </xf>
    <xf numFmtId="0" fontId="49" fillId="2" borderId="3" xfId="0" applyFont="1" applyFill="1" applyBorder="1" applyAlignment="1">
      <alignment vertical="top" wrapText="1"/>
    </xf>
    <xf numFmtId="0" fontId="48" fillId="2" borderId="3" xfId="0" applyFont="1" applyFill="1" applyBorder="1"/>
    <xf numFmtId="0" fontId="48" fillId="2" borderId="3" xfId="0" applyFont="1" applyFill="1" applyBorder="1" applyAlignment="1">
      <alignment vertical="top" wrapText="1"/>
    </xf>
    <xf numFmtId="0" fontId="47" fillId="2" borderId="0" xfId="0" applyFont="1" applyFill="1" applyAlignment="1">
      <alignment horizontal="center"/>
    </xf>
    <xf numFmtId="2" fontId="0" fillId="2" borderId="17" xfId="0" applyNumberFormat="1" applyFill="1" applyBorder="1" applyAlignment="1">
      <alignment vertical="center" wrapText="1"/>
    </xf>
    <xf numFmtId="2" fontId="0" fillId="2" borderId="17" xfId="0" applyNumberFormat="1" applyFill="1" applyBorder="1"/>
    <xf numFmtId="4" fontId="0" fillId="0" borderId="0" xfId="0" applyNumberFormat="1"/>
    <xf numFmtId="173" fontId="17" fillId="3" borderId="0" xfId="0" applyNumberFormat="1" applyFont="1" applyFill="1"/>
    <xf numFmtId="10" fontId="18" fillId="3" borderId="0" xfId="0" applyNumberFormat="1" applyFont="1" applyFill="1" applyAlignment="1">
      <alignment horizontal="right"/>
    </xf>
    <xf numFmtId="173" fontId="23" fillId="12" borderId="35" xfId="7" applyNumberFormat="1" applyBorder="1" applyAlignment="1">
      <alignment horizontal="center"/>
    </xf>
    <xf numFmtId="173" fontId="24" fillId="14" borderId="9" xfId="8" applyNumberFormat="1" applyBorder="1" applyAlignment="1">
      <alignment horizontal="center"/>
    </xf>
    <xf numFmtId="173" fontId="64" fillId="19" borderId="10" xfId="12" applyNumberFormat="1" applyBorder="1" applyAlignment="1">
      <alignment horizontal="center"/>
    </xf>
    <xf numFmtId="173" fontId="44" fillId="13" borderId="35" xfId="9" applyNumberFormat="1" applyBorder="1" applyAlignment="1">
      <alignment horizontal="center"/>
    </xf>
    <xf numFmtId="173" fontId="6" fillId="2" borderId="0" xfId="3" applyNumberFormat="1" applyFill="1"/>
    <xf numFmtId="10" fontId="0" fillId="0" borderId="0" xfId="0" applyNumberFormat="1"/>
    <xf numFmtId="173" fontId="48" fillId="9" borderId="0" xfId="0" applyNumberFormat="1" applyFont="1" applyFill="1"/>
    <xf numFmtId="173" fontId="48" fillId="2" borderId="0" xfId="0" applyNumberFormat="1" applyFont="1" applyFill="1"/>
    <xf numFmtId="173" fontId="48" fillId="2" borderId="0" xfId="0" applyNumberFormat="1" applyFont="1" applyFill="1" applyAlignment="1">
      <alignment horizontal="left"/>
    </xf>
    <xf numFmtId="173" fontId="48" fillId="2" borderId="0" xfId="0" applyNumberFormat="1" applyFont="1" applyFill="1" applyAlignment="1">
      <alignment horizontal="right"/>
    </xf>
    <xf numFmtId="173" fontId="49" fillId="2" borderId="41" xfId="0" applyNumberFormat="1" applyFont="1" applyFill="1" applyBorder="1" applyAlignment="1">
      <alignment horizontal="left"/>
    </xf>
    <xf numFmtId="173" fontId="49" fillId="2" borderId="42" xfId="0" applyNumberFormat="1" applyFont="1" applyFill="1" applyBorder="1" applyAlignment="1">
      <alignment horizontal="left"/>
    </xf>
    <xf numFmtId="173" fontId="48" fillId="2" borderId="42" xfId="0" applyNumberFormat="1" applyFont="1" applyFill="1" applyBorder="1"/>
    <xf numFmtId="173" fontId="67" fillId="2" borderId="43" xfId="0" applyNumberFormat="1" applyFont="1" applyFill="1" applyBorder="1" applyAlignment="1">
      <alignment horizontal="left"/>
    </xf>
    <xf numFmtId="173" fontId="48" fillId="2" borderId="43" xfId="0" applyNumberFormat="1" applyFont="1" applyFill="1" applyBorder="1"/>
    <xf numFmtId="173" fontId="0" fillId="2" borderId="41" xfId="0" applyNumberFormat="1" applyFill="1" applyBorder="1"/>
    <xf numFmtId="173" fontId="49" fillId="2" borderId="42" xfId="0" applyNumberFormat="1" applyFont="1" applyFill="1" applyBorder="1"/>
    <xf numFmtId="173" fontId="0" fillId="2" borderId="42" xfId="0" applyNumberFormat="1" applyFill="1" applyBorder="1"/>
    <xf numFmtId="173" fontId="67" fillId="2" borderId="43" xfId="0" applyNumberFormat="1" applyFont="1" applyFill="1" applyBorder="1"/>
    <xf numFmtId="173" fontId="0" fillId="2" borderId="43" xfId="0" applyNumberFormat="1" applyFill="1" applyBorder="1"/>
    <xf numFmtId="10" fontId="48" fillId="2" borderId="0" xfId="0" applyNumberFormat="1" applyFont="1" applyFill="1" applyAlignment="1">
      <alignment horizontal="right"/>
    </xf>
    <xf numFmtId="173" fontId="48" fillId="18" borderId="0" xfId="0" applyNumberFormat="1" applyFont="1" applyFill="1" applyAlignment="1">
      <alignment horizontal="right"/>
    </xf>
    <xf numFmtId="173" fontId="48" fillId="20" borderId="0" xfId="0" applyNumberFormat="1" applyFont="1" applyFill="1" applyAlignment="1">
      <alignment horizontal="right"/>
    </xf>
    <xf numFmtId="173" fontId="48" fillId="20" borderId="0" xfId="0" applyNumberFormat="1" applyFont="1" applyFill="1"/>
    <xf numFmtId="173" fontId="48" fillId="2" borderId="43" xfId="0" applyNumberFormat="1" applyFont="1" applyFill="1" applyBorder="1" applyAlignment="1">
      <alignment horizontal="left"/>
    </xf>
    <xf numFmtId="10" fontId="48" fillId="2" borderId="0" xfId="0" applyNumberFormat="1" applyFont="1" applyFill="1"/>
    <xf numFmtId="0" fontId="48" fillId="2" borderId="0" xfId="0" applyFont="1" applyFill="1" applyAlignment="1">
      <alignment horizontal="left"/>
    </xf>
    <xf numFmtId="0" fontId="48" fillId="2" borderId="43" xfId="0" applyFont="1" applyFill="1" applyBorder="1" applyAlignment="1">
      <alignment horizontal="left"/>
    </xf>
    <xf numFmtId="164" fontId="0" fillId="2" borderId="44" xfId="0" applyNumberFormat="1" applyFill="1" applyBorder="1"/>
    <xf numFmtId="164" fontId="2" fillId="2" borderId="45" xfId="0" applyNumberFormat="1" applyFont="1" applyFill="1" applyBorder="1" applyAlignment="1">
      <alignment horizontal="right"/>
    </xf>
    <xf numFmtId="164" fontId="0" fillId="2" borderId="46" xfId="0" applyNumberFormat="1" applyFill="1" applyBorder="1"/>
    <xf numFmtId="171" fontId="2" fillId="10" borderId="46" xfId="0" applyNumberFormat="1" applyFont="1" applyFill="1" applyBorder="1"/>
    <xf numFmtId="171" fontId="0" fillId="2" borderId="46" xfId="0" applyNumberFormat="1" applyFill="1" applyBorder="1"/>
    <xf numFmtId="164" fontId="0" fillId="2" borderId="45" xfId="0" applyNumberFormat="1" applyFill="1" applyBorder="1"/>
    <xf numFmtId="164" fontId="0" fillId="2" borderId="47" xfId="0" applyNumberFormat="1" applyFill="1" applyBorder="1"/>
    <xf numFmtId="164" fontId="2" fillId="2" borderId="48" xfId="0" applyNumberFormat="1" applyFont="1" applyFill="1" applyBorder="1" applyAlignment="1">
      <alignment horizontal="right"/>
    </xf>
    <xf numFmtId="164" fontId="0" fillId="2" borderId="49" xfId="0" applyNumberFormat="1" applyFill="1" applyBorder="1"/>
    <xf numFmtId="171" fontId="2" fillId="10" borderId="49" xfId="0" applyNumberFormat="1" applyFont="1" applyFill="1" applyBorder="1"/>
    <xf numFmtId="171" fontId="0" fillId="2" borderId="49" xfId="0" applyNumberFormat="1" applyFill="1" applyBorder="1"/>
    <xf numFmtId="164" fontId="0" fillId="2" borderId="48" xfId="0" applyNumberFormat="1" applyFill="1" applyBorder="1"/>
    <xf numFmtId="0" fontId="48" fillId="2" borderId="43" xfId="0" applyFont="1" applyFill="1" applyBorder="1"/>
    <xf numFmtId="10" fontId="48" fillId="2" borderId="43" xfId="0" applyNumberFormat="1" applyFont="1" applyFill="1" applyBorder="1"/>
    <xf numFmtId="0" fontId="47" fillId="10" borderId="0" xfId="0" applyFont="1" applyFill="1"/>
    <xf numFmtId="2" fontId="0" fillId="0" borderId="0" xfId="0" applyNumberFormat="1"/>
    <xf numFmtId="0" fontId="3" fillId="10" borderId="0" xfId="0" applyFont="1" applyFill="1" applyAlignment="1">
      <alignment horizontal="center"/>
    </xf>
    <xf numFmtId="173" fontId="3" fillId="10" borderId="0" xfId="0" applyNumberFormat="1" applyFont="1" applyFill="1" applyAlignment="1">
      <alignment horizontal="center"/>
    </xf>
    <xf numFmtId="173" fontId="0" fillId="2" borderId="3" xfId="0" applyNumberFormat="1" applyFill="1" applyBorder="1" applyAlignment="1">
      <alignment horizontal="center"/>
    </xf>
    <xf numFmtId="164" fontId="0" fillId="2" borderId="0" xfId="0" applyNumberFormat="1" applyFill="1" applyAlignment="1">
      <alignment horizontal="center"/>
    </xf>
    <xf numFmtId="164" fontId="13" fillId="2" borderId="0" xfId="1" applyNumberFormat="1" applyFont="1" applyFill="1" applyBorder="1" applyAlignment="1">
      <alignment horizontal="center" vertical="center"/>
    </xf>
    <xf numFmtId="164" fontId="13" fillId="2" borderId="0" xfId="1" applyNumberFormat="1" applyFont="1" applyFill="1" applyAlignment="1">
      <alignment horizontal="center" vertical="center"/>
    </xf>
    <xf numFmtId="164" fontId="0" fillId="2" borderId="0" xfId="0" quotePrefix="1" applyNumberFormat="1" applyFill="1" applyAlignment="1">
      <alignment horizontal="center"/>
    </xf>
    <xf numFmtId="164" fontId="2" fillId="9" borderId="0" xfId="0" applyNumberFormat="1" applyFont="1" applyFill="1" applyAlignment="1">
      <alignment horizontal="center"/>
    </xf>
    <xf numFmtId="164" fontId="0" fillId="2" borderId="3" xfId="0" applyNumberFormat="1" applyFill="1" applyBorder="1" applyAlignment="1">
      <alignment horizontal="justify" vertical="top" wrapText="1"/>
    </xf>
    <xf numFmtId="173" fontId="3" fillId="10" borderId="0" xfId="0" applyNumberFormat="1" applyFont="1" applyFill="1" applyAlignment="1">
      <alignment horizontal="center" wrapText="1"/>
    </xf>
    <xf numFmtId="173" fontId="3" fillId="3" borderId="0" xfId="0" applyNumberFormat="1" applyFont="1" applyFill="1" applyAlignment="1">
      <alignment horizontal="justify" wrapText="1"/>
    </xf>
    <xf numFmtId="173" fontId="3" fillId="3" borderId="0" xfId="0" applyNumberFormat="1" applyFont="1" applyFill="1" applyAlignment="1">
      <alignment horizontal="justify"/>
    </xf>
    <xf numFmtId="10" fontId="3" fillId="3" borderId="0" xfId="0" applyNumberFormat="1" applyFont="1" applyFill="1" applyAlignment="1">
      <alignment horizontal="justify"/>
    </xf>
    <xf numFmtId="173" fontId="3" fillId="3" borderId="0" xfId="0" applyNumberFormat="1" applyFont="1" applyFill="1" applyAlignment="1">
      <alignment horizontal="center" vertical="center" wrapText="1"/>
    </xf>
    <xf numFmtId="173" fontId="3" fillId="3" borderId="0" xfId="0" applyNumberFormat="1" applyFont="1" applyFill="1" applyAlignment="1">
      <alignment horizontal="center"/>
    </xf>
    <xf numFmtId="164" fontId="3" fillId="9" borderId="0" xfId="0" applyNumberFormat="1" applyFont="1" applyFill="1" applyAlignment="1">
      <alignment horizontal="center"/>
    </xf>
    <xf numFmtId="164" fontId="3" fillId="10" borderId="0" xfId="0" applyNumberFormat="1" applyFont="1" applyFill="1" applyAlignment="1">
      <alignment horizontal="center" vertical="top"/>
    </xf>
    <xf numFmtId="164" fontId="0" fillId="10" borderId="0" xfId="0" applyNumberFormat="1" applyFill="1" applyAlignment="1">
      <alignment horizontal="center"/>
    </xf>
    <xf numFmtId="173" fontId="0" fillId="3" borderId="0" xfId="0" applyNumberFormat="1" applyFill="1" applyAlignment="1">
      <alignment horizontal="justify" wrapText="1"/>
    </xf>
    <xf numFmtId="173" fontId="0" fillId="15" borderId="32" xfId="10" applyNumberFormat="1" applyFont="1" applyAlignment="1">
      <alignment horizontal="justify" wrapText="1"/>
    </xf>
    <xf numFmtId="0" fontId="2" fillId="9" borderId="0" xfId="0" applyFont="1" applyFill="1" applyAlignment="1">
      <alignment horizontal="left"/>
    </xf>
    <xf numFmtId="0" fontId="2" fillId="2" borderId="0" xfId="0" applyFont="1" applyFill="1" applyAlignment="1">
      <alignment horizontal="left"/>
    </xf>
    <xf numFmtId="0" fontId="0" fillId="2" borderId="0" xfId="0" applyFill="1" applyAlignment="1">
      <alignment horizontal="left"/>
    </xf>
    <xf numFmtId="0" fontId="2" fillId="2" borderId="3" xfId="0" applyFont="1" applyFill="1" applyBorder="1" applyAlignment="1">
      <alignment horizontal="left"/>
    </xf>
    <xf numFmtId="165" fontId="3" fillId="9" borderId="0" xfId="0" applyNumberFormat="1" applyFont="1" applyFill="1" applyAlignment="1">
      <alignment horizontal="center"/>
    </xf>
    <xf numFmtId="164" fontId="0" fillId="3" borderId="0" xfId="0" applyNumberFormat="1" applyFill="1" applyAlignment="1">
      <alignment horizontal="center"/>
    </xf>
    <xf numFmtId="164" fontId="2" fillId="9" borderId="0" xfId="0" applyNumberFormat="1" applyFont="1" applyFill="1" applyAlignment="1">
      <alignment horizontal="left"/>
    </xf>
    <xf numFmtId="164" fontId="3" fillId="2" borderId="11" xfId="0" applyNumberFormat="1" applyFont="1" applyFill="1" applyBorder="1" applyAlignment="1">
      <alignment horizontal="center"/>
    </xf>
    <xf numFmtId="164" fontId="3" fillId="2" borderId="1" xfId="0" applyNumberFormat="1" applyFont="1" applyFill="1" applyBorder="1" applyAlignment="1">
      <alignment horizontal="center"/>
    </xf>
    <xf numFmtId="164" fontId="3" fillId="2" borderId="12" xfId="0" applyNumberFormat="1" applyFont="1" applyFill="1" applyBorder="1" applyAlignment="1">
      <alignment horizontal="center"/>
    </xf>
    <xf numFmtId="173" fontId="3" fillId="3" borderId="7" xfId="0" applyNumberFormat="1" applyFont="1" applyFill="1" applyBorder="1" applyAlignment="1">
      <alignment horizontal="center"/>
    </xf>
    <xf numFmtId="173" fontId="3" fillId="3" borderId="3" xfId="0" applyNumberFormat="1" applyFont="1" applyFill="1" applyBorder="1" applyAlignment="1">
      <alignment horizontal="center"/>
    </xf>
    <xf numFmtId="173" fontId="3" fillId="3" borderId="6" xfId="0" applyNumberFormat="1" applyFont="1" applyFill="1" applyBorder="1" applyAlignment="1">
      <alignment horizontal="center"/>
    </xf>
    <xf numFmtId="173" fontId="25" fillId="2" borderId="2" xfId="0" applyNumberFormat="1" applyFont="1" applyFill="1" applyBorder="1" applyAlignment="1">
      <alignment horizontal="center"/>
    </xf>
    <xf numFmtId="173" fontId="0" fillId="3" borderId="0" xfId="0" applyNumberFormat="1" applyFill="1" applyAlignment="1">
      <alignment horizontal="center" vertical="top" wrapText="1"/>
    </xf>
    <xf numFmtId="173" fontId="3" fillId="3" borderId="2" xfId="0" applyNumberFormat="1" applyFont="1" applyFill="1" applyBorder="1" applyAlignment="1">
      <alignment horizontal="center"/>
    </xf>
    <xf numFmtId="173" fontId="3" fillId="3" borderId="5" xfId="0" applyNumberFormat="1" applyFont="1" applyFill="1" applyBorder="1" applyAlignment="1">
      <alignment horizontal="center"/>
    </xf>
    <xf numFmtId="0" fontId="2" fillId="2" borderId="1" xfId="0" applyFont="1" applyFill="1" applyBorder="1" applyAlignment="1">
      <alignment horizontal="center"/>
    </xf>
    <xf numFmtId="0" fontId="7" fillId="10" borderId="0" xfId="0" applyFont="1" applyFill="1" applyAlignment="1">
      <alignment horizontal="center"/>
    </xf>
    <xf numFmtId="0" fontId="2" fillId="9" borderId="0" xfId="0" applyFont="1" applyFill="1" applyAlignment="1">
      <alignment horizontal="center"/>
    </xf>
    <xf numFmtId="0" fontId="0" fillId="2" borderId="3" xfId="0" applyFill="1" applyBorder="1" applyAlignment="1">
      <alignment horizontal="center" vertical="center" wrapText="1"/>
    </xf>
    <xf numFmtId="0" fontId="0" fillId="2" borderId="0" xfId="0" applyFill="1" applyAlignment="1">
      <alignment horizontal="center" vertical="center" wrapText="1"/>
    </xf>
    <xf numFmtId="164" fontId="0" fillId="2" borderId="0" xfId="0" applyNumberFormat="1" applyFill="1" applyAlignment="1">
      <alignment horizontal="center" wrapText="1"/>
    </xf>
    <xf numFmtId="164" fontId="0" fillId="2" borderId="3" xfId="0" applyNumberFormat="1" applyFill="1" applyBorder="1" applyAlignment="1">
      <alignment horizontal="center" wrapText="1"/>
    </xf>
    <xf numFmtId="0" fontId="0" fillId="2" borderId="3" xfId="0" applyFill="1" applyBorder="1" applyAlignment="1">
      <alignment horizontal="center" vertical="top"/>
    </xf>
    <xf numFmtId="0" fontId="0" fillId="2" borderId="3" xfId="0" applyFill="1" applyBorder="1" applyAlignment="1">
      <alignment horizontal="center" vertical="center"/>
    </xf>
    <xf numFmtId="0" fontId="0" fillId="2" borderId="3" xfId="0" applyFill="1" applyBorder="1" applyAlignment="1">
      <alignment horizontal="center" wrapText="1"/>
    </xf>
    <xf numFmtId="0" fontId="0" fillId="2" borderId="0" xfId="0" applyFill="1" applyAlignment="1">
      <alignment horizontal="center" wrapText="1"/>
    </xf>
    <xf numFmtId="0" fontId="48" fillId="9" borderId="0" xfId="0" applyFont="1" applyFill="1" applyAlignment="1">
      <alignment horizontal="left"/>
    </xf>
    <xf numFmtId="0" fontId="48" fillId="9" borderId="7" xfId="0" applyFont="1" applyFill="1" applyBorder="1" applyAlignment="1">
      <alignment horizontal="left"/>
    </xf>
    <xf numFmtId="10" fontId="48" fillId="9" borderId="13" xfId="0" applyNumberFormat="1" applyFont="1" applyFill="1" applyBorder="1" applyAlignment="1">
      <alignment horizontal="center"/>
    </xf>
    <xf numFmtId="0" fontId="48" fillId="9" borderId="0" xfId="0" applyFont="1" applyFill="1" applyAlignment="1">
      <alignment horizontal="center"/>
    </xf>
    <xf numFmtId="0" fontId="48" fillId="9" borderId="14" xfId="0" applyFont="1" applyFill="1" applyBorder="1" applyAlignment="1">
      <alignment horizontal="center"/>
    </xf>
    <xf numFmtId="0" fontId="48" fillId="9" borderId="3" xfId="0" applyFont="1" applyFill="1" applyBorder="1" applyAlignment="1">
      <alignment horizontal="center"/>
    </xf>
    <xf numFmtId="0" fontId="47" fillId="2" borderId="0" xfId="0" applyFont="1" applyFill="1" applyAlignment="1">
      <alignment horizontal="left" vertical="top" wrapText="1"/>
    </xf>
    <xf numFmtId="0" fontId="2" fillId="9" borderId="3" xfId="0" applyFont="1" applyFill="1" applyBorder="1" applyAlignment="1">
      <alignment horizontal="center"/>
    </xf>
    <xf numFmtId="0" fontId="48" fillId="2" borderId="0" xfId="0" applyFont="1" applyFill="1" applyAlignment="1">
      <alignment horizontal="justify" vertical="center" wrapText="1"/>
    </xf>
    <xf numFmtId="0" fontId="48" fillId="2" borderId="0" xfId="0" applyFont="1" applyFill="1" applyAlignment="1">
      <alignment horizontal="justify" vertical="center"/>
    </xf>
    <xf numFmtId="0" fontId="49" fillId="9" borderId="3" xfId="0" applyFont="1" applyFill="1" applyBorder="1" applyAlignment="1">
      <alignment horizontal="left"/>
    </xf>
    <xf numFmtId="10" fontId="48" fillId="9" borderId="2" xfId="0" applyNumberFormat="1" applyFont="1" applyFill="1" applyBorder="1" applyAlignment="1">
      <alignment horizontal="center"/>
    </xf>
    <xf numFmtId="0" fontId="48" fillId="9" borderId="2" xfId="0" applyFont="1" applyFill="1" applyBorder="1" applyAlignment="1">
      <alignment horizontal="center"/>
    </xf>
    <xf numFmtId="10" fontId="48" fillId="9" borderId="0" xfId="0" applyNumberFormat="1" applyFont="1" applyFill="1" applyAlignment="1">
      <alignment horizontal="center"/>
    </xf>
    <xf numFmtId="10" fontId="48" fillId="9" borderId="3" xfId="0" applyNumberFormat="1" applyFont="1" applyFill="1" applyBorder="1" applyAlignment="1">
      <alignment horizontal="center"/>
    </xf>
    <xf numFmtId="173" fontId="48" fillId="9" borderId="13" xfId="0" applyNumberFormat="1" applyFont="1" applyFill="1" applyBorder="1" applyAlignment="1">
      <alignment horizontal="center"/>
    </xf>
    <xf numFmtId="173" fontId="48" fillId="9" borderId="0" xfId="0" applyNumberFormat="1" applyFont="1" applyFill="1" applyAlignment="1">
      <alignment horizontal="center"/>
    </xf>
    <xf numFmtId="0" fontId="49" fillId="15" borderId="32" xfId="10" applyFont="1" applyAlignment="1">
      <alignment horizontal="left"/>
    </xf>
    <xf numFmtId="10" fontId="48" fillId="15" borderId="32" xfId="10" applyNumberFormat="1" applyFont="1" applyAlignment="1">
      <alignment horizontal="center"/>
    </xf>
    <xf numFmtId="0" fontId="48" fillId="15" borderId="32" xfId="10" applyFont="1" applyAlignment="1">
      <alignment horizontal="center"/>
    </xf>
    <xf numFmtId="0" fontId="45" fillId="2" borderId="0" xfId="0" applyFont="1" applyFill="1" applyAlignment="1">
      <alignment horizontal="left"/>
    </xf>
    <xf numFmtId="0" fontId="70" fillId="2" borderId="0" xfId="0" applyFont="1" applyFill="1" applyAlignment="1">
      <alignment horizontal="left" vertical="top"/>
    </xf>
    <xf numFmtId="0" fontId="46" fillId="2" borderId="0" xfId="0" applyFont="1" applyFill="1" applyAlignment="1">
      <alignment horizontal="left"/>
    </xf>
    <xf numFmtId="0" fontId="47" fillId="2" borderId="0" xfId="0" applyFont="1" applyFill="1" applyAlignment="1">
      <alignment horizontal="left"/>
    </xf>
    <xf numFmtId="0" fontId="48" fillId="9" borderId="15" xfId="0" applyFont="1" applyFill="1" applyBorder="1" applyAlignment="1">
      <alignment horizontal="center"/>
    </xf>
    <xf numFmtId="0" fontId="48" fillId="9" borderId="13" xfId="0" applyFont="1" applyFill="1" applyBorder="1" applyAlignment="1">
      <alignment horizontal="center"/>
    </xf>
    <xf numFmtId="0" fontId="23" fillId="12" borderId="32" xfId="7" applyBorder="1" applyAlignment="1">
      <alignment horizontal="center"/>
    </xf>
    <xf numFmtId="173" fontId="48" fillId="15" borderId="32" xfId="10" applyNumberFormat="1" applyFont="1" applyAlignment="1">
      <alignment horizontal="center"/>
    </xf>
    <xf numFmtId="0" fontId="51" fillId="10" borderId="0" xfId="0" applyFont="1" applyFill="1" applyAlignment="1">
      <alignment horizontal="left"/>
    </xf>
    <xf numFmtId="0" fontId="48" fillId="10" borderId="0" xfId="0" applyFont="1" applyFill="1" applyAlignment="1">
      <alignment horizontal="left" vertical="center" wrapText="1"/>
    </xf>
    <xf numFmtId="0" fontId="54" fillId="2" borderId="0" xfId="0" applyFont="1" applyFill="1" applyAlignment="1">
      <alignment horizontal="left"/>
    </xf>
    <xf numFmtId="0" fontId="48" fillId="2" borderId="0" xfId="0" applyFont="1" applyFill="1" applyAlignment="1">
      <alignment horizontal="left"/>
    </xf>
    <xf numFmtId="0" fontId="48" fillId="3" borderId="0" xfId="0" applyFont="1" applyFill="1" applyAlignment="1">
      <alignment horizontal="center" vertical="top" wrapText="1"/>
    </xf>
    <xf numFmtId="0" fontId="53" fillId="2" borderId="0" xfId="0" applyFont="1" applyFill="1" applyAlignment="1">
      <alignment horizontal="center"/>
    </xf>
    <xf numFmtId="0" fontId="54" fillId="2" borderId="0" xfId="0" applyFont="1" applyFill="1" applyAlignment="1">
      <alignment horizontal="center"/>
    </xf>
    <xf numFmtId="0" fontId="48" fillId="2" borderId="0" xfId="0" applyFont="1" applyFill="1" applyAlignment="1">
      <alignment horizontal="right" vertical="top"/>
    </xf>
    <xf numFmtId="0" fontId="48" fillId="2" borderId="0" xfId="0" applyFont="1" applyFill="1" applyAlignment="1">
      <alignment horizontal="right"/>
    </xf>
    <xf numFmtId="10" fontId="6" fillId="2" borderId="0" xfId="11" applyNumberFormat="1" applyFill="1" applyBorder="1" applyAlignment="1">
      <alignment horizontal="center"/>
    </xf>
    <xf numFmtId="0" fontId="0" fillId="2" borderId="0" xfId="11" applyFont="1" applyFill="1" applyBorder="1" applyAlignment="1">
      <alignment horizontal="center"/>
    </xf>
    <xf numFmtId="0" fontId="6" fillId="2" borderId="0" xfId="11" applyFill="1" applyBorder="1" applyAlignment="1">
      <alignment horizontal="center"/>
    </xf>
    <xf numFmtId="0" fontId="48" fillId="16" borderId="0" xfId="0" applyFont="1" applyFill="1" applyAlignment="1">
      <alignment horizontal="center" vertical="center" wrapText="1"/>
    </xf>
    <xf numFmtId="0" fontId="52" fillId="10" borderId="0" xfId="0" applyFont="1" applyFill="1" applyAlignment="1">
      <alignment horizontal="center"/>
    </xf>
    <xf numFmtId="0" fontId="51" fillId="10" borderId="0" xfId="0" applyFont="1" applyFill="1" applyAlignment="1">
      <alignment horizontal="center"/>
    </xf>
    <xf numFmtId="0" fontId="48" fillId="9" borderId="0" xfId="0" applyFont="1" applyFill="1" applyAlignment="1">
      <alignment horizontal="left" vertical="center" wrapText="1"/>
    </xf>
    <xf numFmtId="0" fontId="51" fillId="9" borderId="0" xfId="0" applyFont="1" applyFill="1" applyAlignment="1">
      <alignment horizontal="left"/>
    </xf>
    <xf numFmtId="0" fontId="51" fillId="16" borderId="0" xfId="0" applyFont="1" applyFill="1" applyAlignment="1">
      <alignment horizontal="center"/>
    </xf>
    <xf numFmtId="0" fontId="58" fillId="2" borderId="0" xfId="0" applyFont="1" applyFill="1" applyAlignment="1">
      <alignment horizontal="center"/>
    </xf>
    <xf numFmtId="0" fontId="52" fillId="3" borderId="0" xfId="0" applyFont="1" applyFill="1" applyAlignment="1">
      <alignment horizontal="center"/>
    </xf>
    <xf numFmtId="0" fontId="51" fillId="3" borderId="0" xfId="0" applyFont="1" applyFill="1" applyAlignment="1">
      <alignment horizontal="center"/>
    </xf>
    <xf numFmtId="0" fontId="0" fillId="3" borderId="0" xfId="0" applyFill="1" applyAlignment="1">
      <alignment horizontal="center"/>
    </xf>
    <xf numFmtId="0" fontId="47" fillId="10" borderId="0" xfId="0" applyFont="1" applyFill="1" applyAlignment="1">
      <alignment horizontal="left"/>
    </xf>
    <xf numFmtId="0" fontId="52" fillId="16" borderId="0" xfId="0" applyFont="1" applyFill="1" applyAlignment="1">
      <alignment horizontal="center"/>
    </xf>
    <xf numFmtId="0" fontId="50" fillId="16" borderId="0" xfId="0" applyFont="1" applyFill="1" applyAlignment="1">
      <alignment horizontal="center"/>
    </xf>
    <xf numFmtId="0" fontId="59" fillId="9" borderId="0" xfId="0" applyFont="1" applyFill="1" applyAlignment="1">
      <alignment horizontal="left" vertical="center"/>
    </xf>
    <xf numFmtId="0" fontId="50" fillId="9" borderId="0" xfId="0" applyFont="1" applyFill="1" applyAlignment="1">
      <alignment horizontal="left"/>
    </xf>
    <xf numFmtId="0" fontId="48" fillId="2" borderId="0" xfId="0" applyFont="1" applyFill="1" applyAlignment="1">
      <alignment horizontal="center" vertical="top" wrapText="1"/>
    </xf>
    <xf numFmtId="0" fontId="49" fillId="2" borderId="0" xfId="0" applyFont="1" applyFill="1" applyAlignment="1">
      <alignment horizontal="center" vertical="top" wrapText="1"/>
    </xf>
    <xf numFmtId="0" fontId="49" fillId="2" borderId="0" xfId="0" applyFont="1" applyFill="1" applyAlignment="1">
      <alignment horizontal="center"/>
    </xf>
    <xf numFmtId="0" fontId="47" fillId="10" borderId="0" xfId="0" applyFont="1" applyFill="1" applyAlignment="1">
      <alignment horizontal="center"/>
    </xf>
    <xf numFmtId="0" fontId="65" fillId="18" borderId="36" xfId="0" applyFont="1" applyFill="1" applyBorder="1" applyAlignment="1">
      <alignment horizontal="center" vertical="center"/>
    </xf>
    <xf numFmtId="0" fontId="65" fillId="18" borderId="37" xfId="0" applyFont="1" applyFill="1" applyBorder="1" applyAlignment="1">
      <alignment horizontal="center" vertical="center"/>
    </xf>
    <xf numFmtId="0" fontId="65" fillId="18" borderId="38" xfId="0" applyFont="1" applyFill="1" applyBorder="1" applyAlignment="1">
      <alignment horizontal="center" vertical="center"/>
    </xf>
    <xf numFmtId="0" fontId="65" fillId="18" borderId="39"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40" xfId="0" applyFont="1" applyFill="1" applyBorder="1" applyAlignment="1">
      <alignment horizontal="center" vertical="center"/>
    </xf>
    <xf numFmtId="0" fontId="49" fillId="2" borderId="0" xfId="0" applyFont="1" applyFill="1" applyAlignment="1">
      <alignment horizontal="left"/>
    </xf>
    <xf numFmtId="0" fontId="48" fillId="2" borderId="0" xfId="0" applyFont="1" applyFill="1" applyAlignment="1">
      <alignment horizontal="justify" vertical="top" wrapText="1"/>
    </xf>
    <xf numFmtId="0" fontId="48" fillId="2" borderId="0" xfId="0" applyFont="1" applyFill="1" applyAlignment="1">
      <alignment horizontal="justify" vertical="top"/>
    </xf>
    <xf numFmtId="0" fontId="48" fillId="2" borderId="3" xfId="0" applyFont="1" applyFill="1" applyBorder="1" applyAlignment="1">
      <alignment horizontal="justify" vertical="top" wrapText="1"/>
    </xf>
    <xf numFmtId="0" fontId="49" fillId="2" borderId="0" xfId="0" applyFont="1" applyFill="1" applyAlignment="1">
      <alignment horizontal="left" vertical="top"/>
    </xf>
    <xf numFmtId="0" fontId="48" fillId="18" borderId="0" xfId="0" applyFont="1" applyFill="1" applyAlignment="1">
      <alignment horizontal="center"/>
    </xf>
    <xf numFmtId="0" fontId="48" fillId="2" borderId="0" xfId="0" applyFont="1" applyFill="1" applyAlignment="1">
      <alignment horizontal="center"/>
    </xf>
    <xf numFmtId="0" fontId="48" fillId="2" borderId="7" xfId="0" applyFont="1" applyFill="1" applyBorder="1" applyAlignment="1">
      <alignment horizontal="center"/>
    </xf>
    <xf numFmtId="0" fontId="48" fillId="3" borderId="0" xfId="0" applyFont="1" applyFill="1" applyAlignment="1">
      <alignment horizontal="center"/>
    </xf>
    <xf numFmtId="0" fontId="48" fillId="3" borderId="7" xfId="0" applyFont="1" applyFill="1" applyBorder="1" applyAlignment="1">
      <alignment horizontal="center"/>
    </xf>
    <xf numFmtId="0" fontId="23" fillId="12" borderId="0" xfId="7" applyAlignment="1">
      <alignment horizontal="center"/>
    </xf>
    <xf numFmtId="0" fontId="48" fillId="2" borderId="0" xfId="0" applyFont="1" applyFill="1" applyAlignment="1">
      <alignment horizontal="center" wrapText="1"/>
    </xf>
    <xf numFmtId="0" fontId="48" fillId="2" borderId="7" xfId="0" applyFont="1" applyFill="1" applyBorder="1" applyAlignment="1">
      <alignment horizontal="center" wrapText="1"/>
    </xf>
    <xf numFmtId="0" fontId="49" fillId="2" borderId="3" xfId="0" applyFont="1" applyFill="1" applyBorder="1" applyAlignment="1">
      <alignment horizontal="center"/>
    </xf>
    <xf numFmtId="0" fontId="47" fillId="10" borderId="3" xfId="0" applyFont="1" applyFill="1" applyBorder="1" applyAlignment="1">
      <alignment horizontal="center"/>
    </xf>
    <xf numFmtId="0" fontId="15" fillId="2" borderId="0" xfId="6" applyFill="1" applyAlignment="1">
      <alignment horizontal="center"/>
    </xf>
    <xf numFmtId="173" fontId="49" fillId="9" borderId="0" xfId="0" applyNumberFormat="1" applyFont="1" applyFill="1" applyAlignment="1">
      <alignment horizontal="right"/>
    </xf>
    <xf numFmtId="173" fontId="48" fillId="2" borderId="0" xfId="0" applyNumberFormat="1" applyFont="1" applyFill="1"/>
    <xf numFmtId="173" fontId="48" fillId="2" borderId="0" xfId="0" applyNumberFormat="1" applyFont="1" applyFill="1" applyAlignment="1">
      <alignment horizontal="right"/>
    </xf>
    <xf numFmtId="10" fontId="48" fillId="2" borderId="0" xfId="0" applyNumberFormat="1" applyFont="1" applyFill="1" applyAlignment="1">
      <alignment horizontal="right"/>
    </xf>
    <xf numFmtId="173" fontId="59" fillId="9" borderId="0" xfId="0" applyNumberFormat="1" applyFont="1" applyFill="1" applyAlignment="1">
      <alignment horizontal="left" vertical="center"/>
    </xf>
    <xf numFmtId="173" fontId="66" fillId="2" borderId="0" xfId="6" applyNumberFormat="1" applyFont="1" applyFill="1" applyAlignment="1">
      <alignment horizontal="left"/>
    </xf>
    <xf numFmtId="173" fontId="47" fillId="10" borderId="0" xfId="0" applyNumberFormat="1" applyFont="1" applyFill="1" applyAlignment="1">
      <alignment horizontal="left"/>
    </xf>
    <xf numFmtId="173" fontId="49" fillId="9" borderId="0" xfId="0" quotePrefix="1" applyNumberFormat="1" applyFont="1" applyFill="1" applyAlignment="1">
      <alignment horizontal="left"/>
    </xf>
    <xf numFmtId="173" fontId="49" fillId="9" borderId="0" xfId="0" quotePrefix="1" applyNumberFormat="1" applyFont="1" applyFill="1" applyAlignment="1">
      <alignment horizontal="right"/>
    </xf>
    <xf numFmtId="173" fontId="49" fillId="2" borderId="42" xfId="0" applyNumberFormat="1" applyFont="1" applyFill="1" applyBorder="1"/>
    <xf numFmtId="173" fontId="49" fillId="2" borderId="42" xfId="0" applyNumberFormat="1" applyFont="1" applyFill="1" applyBorder="1" applyAlignment="1">
      <alignment horizontal="right"/>
    </xf>
    <xf numFmtId="10" fontId="49" fillId="2" borderId="42" xfId="0" applyNumberFormat="1" applyFont="1" applyFill="1" applyBorder="1" applyAlignment="1">
      <alignment horizontal="right"/>
    </xf>
    <xf numFmtId="10" fontId="67" fillId="2" borderId="43" xfId="0" applyNumberFormat="1" applyFont="1" applyFill="1" applyBorder="1"/>
    <xf numFmtId="173" fontId="49" fillId="2" borderId="41" xfId="0" applyNumberFormat="1" applyFont="1" applyFill="1" applyBorder="1"/>
    <xf numFmtId="173" fontId="49" fillId="2" borderId="41" xfId="0" applyNumberFormat="1" applyFont="1" applyFill="1" applyBorder="1" applyAlignment="1">
      <alignment horizontal="right"/>
    </xf>
    <xf numFmtId="10" fontId="67" fillId="2" borderId="43" xfId="0" applyNumberFormat="1" applyFont="1" applyFill="1" applyBorder="1" applyAlignment="1">
      <alignment horizontal="right"/>
    </xf>
    <xf numFmtId="10" fontId="49" fillId="2" borderId="41" xfId="0" applyNumberFormat="1" applyFont="1" applyFill="1" applyBorder="1" applyAlignment="1">
      <alignment horizontal="right"/>
    </xf>
    <xf numFmtId="173" fontId="48" fillId="20" borderId="0" xfId="0" applyNumberFormat="1" applyFont="1" applyFill="1" applyAlignment="1">
      <alignment horizontal="right"/>
    </xf>
    <xf numFmtId="173" fontId="48" fillId="18" borderId="0" xfId="0" applyNumberFormat="1" applyFont="1" applyFill="1" applyAlignment="1">
      <alignment horizontal="right"/>
    </xf>
    <xf numFmtId="173" fontId="49" fillId="20" borderId="42" xfId="0" applyNumberFormat="1" applyFont="1" applyFill="1" applyBorder="1" applyAlignment="1">
      <alignment horizontal="right"/>
    </xf>
    <xf numFmtId="173" fontId="49" fillId="18" borderId="42" xfId="0" applyNumberFormat="1" applyFont="1" applyFill="1" applyBorder="1" applyAlignment="1">
      <alignment horizontal="right"/>
    </xf>
    <xf numFmtId="10" fontId="48" fillId="2" borderId="43" xfId="0" applyNumberFormat="1" applyFont="1" applyFill="1" applyBorder="1" applyAlignment="1">
      <alignment horizontal="right"/>
    </xf>
    <xf numFmtId="10" fontId="48" fillId="20" borderId="43" xfId="0" applyNumberFormat="1" applyFont="1" applyFill="1" applyBorder="1" applyAlignment="1">
      <alignment horizontal="right"/>
    </xf>
    <xf numFmtId="10" fontId="48" fillId="18" borderId="43" xfId="0" applyNumberFormat="1" applyFont="1" applyFill="1" applyBorder="1" applyAlignment="1">
      <alignment horizontal="right"/>
    </xf>
    <xf numFmtId="173" fontId="49" fillId="20" borderId="41" xfId="0" applyNumberFormat="1" applyFont="1" applyFill="1" applyBorder="1" applyAlignment="1">
      <alignment horizontal="right"/>
    </xf>
    <xf numFmtId="173" fontId="49" fillId="18" borderId="41" xfId="0" applyNumberFormat="1" applyFont="1" applyFill="1" applyBorder="1" applyAlignment="1">
      <alignment horizontal="right"/>
    </xf>
    <xf numFmtId="10" fontId="68" fillId="2" borderId="43" xfId="0" applyNumberFormat="1" applyFont="1" applyFill="1" applyBorder="1" applyAlignment="1">
      <alignment horizontal="right"/>
    </xf>
    <xf numFmtId="10" fontId="49" fillId="2" borderId="0" xfId="0" applyNumberFormat="1" applyFont="1" applyFill="1" applyAlignment="1">
      <alignment horizontal="right"/>
    </xf>
    <xf numFmtId="10" fontId="69" fillId="20" borderId="43" xfId="0" applyNumberFormat="1" applyFont="1" applyFill="1" applyBorder="1" applyAlignment="1">
      <alignment horizontal="center"/>
    </xf>
    <xf numFmtId="10" fontId="48" fillId="18" borderId="42" xfId="0" applyNumberFormat="1" applyFont="1" applyFill="1" applyBorder="1" applyAlignment="1">
      <alignment horizontal="center"/>
    </xf>
    <xf numFmtId="10" fontId="48" fillId="20" borderId="42" xfId="0" applyNumberFormat="1" applyFont="1" applyFill="1" applyBorder="1" applyAlignment="1">
      <alignment horizontal="center"/>
    </xf>
    <xf numFmtId="10" fontId="48" fillId="20" borderId="0" xfId="0" applyNumberFormat="1" applyFont="1" applyFill="1" applyAlignment="1">
      <alignment horizontal="center"/>
    </xf>
    <xf numFmtId="10" fontId="48" fillId="20" borderId="43" xfId="0" applyNumberFormat="1" applyFont="1" applyFill="1" applyBorder="1" applyAlignment="1">
      <alignment horizontal="center"/>
    </xf>
    <xf numFmtId="173" fontId="48" fillId="20" borderId="42" xfId="0" applyNumberFormat="1" applyFont="1" applyFill="1" applyBorder="1" applyAlignment="1">
      <alignment horizontal="center"/>
    </xf>
    <xf numFmtId="173" fontId="48" fillId="20" borderId="0" xfId="0" applyNumberFormat="1" applyFont="1" applyFill="1" applyAlignment="1">
      <alignment horizontal="center"/>
    </xf>
    <xf numFmtId="173" fontId="48" fillId="20" borderId="43" xfId="0" applyNumberFormat="1" applyFont="1" applyFill="1" applyBorder="1" applyAlignment="1">
      <alignment horizontal="center"/>
    </xf>
    <xf numFmtId="10" fontId="48" fillId="18" borderId="0" xfId="0" applyNumberFormat="1" applyFont="1" applyFill="1" applyAlignment="1">
      <alignment horizontal="center"/>
    </xf>
    <xf numFmtId="10" fontId="69" fillId="18" borderId="43" xfId="0" applyNumberFormat="1" applyFont="1" applyFill="1" applyBorder="1" applyAlignment="1">
      <alignment horizontal="center"/>
    </xf>
    <xf numFmtId="10" fontId="48" fillId="18" borderId="43" xfId="0" applyNumberFormat="1" applyFont="1" applyFill="1" applyBorder="1" applyAlignment="1">
      <alignment horizontal="center"/>
    </xf>
    <xf numFmtId="173" fontId="48" fillId="18" borderId="42" xfId="0" applyNumberFormat="1" applyFont="1" applyFill="1" applyBorder="1" applyAlignment="1">
      <alignment horizontal="center"/>
    </xf>
    <xf numFmtId="0" fontId="48" fillId="18" borderId="42" xfId="0" applyFont="1" applyFill="1" applyBorder="1" applyAlignment="1">
      <alignment horizontal="center"/>
    </xf>
    <xf numFmtId="173" fontId="48" fillId="18" borderId="0" xfId="0" applyNumberFormat="1" applyFont="1" applyFill="1" applyAlignment="1">
      <alignment horizontal="center"/>
    </xf>
    <xf numFmtId="173" fontId="48" fillId="18" borderId="43" xfId="0" applyNumberFormat="1" applyFont="1" applyFill="1" applyBorder="1" applyAlignment="1">
      <alignment horizontal="center"/>
    </xf>
    <xf numFmtId="0" fontId="48" fillId="18" borderId="43" xfId="0" applyFont="1" applyFill="1" applyBorder="1" applyAlignment="1">
      <alignment horizontal="center"/>
    </xf>
    <xf numFmtId="173" fontId="48" fillId="2" borderId="43" xfId="0" applyNumberFormat="1" applyFont="1" applyFill="1" applyBorder="1" applyAlignment="1">
      <alignment horizontal="center"/>
    </xf>
    <xf numFmtId="173" fontId="48" fillId="2" borderId="42" xfId="0" applyNumberFormat="1" applyFont="1" applyFill="1" applyBorder="1" applyAlignment="1">
      <alignment horizontal="center"/>
    </xf>
    <xf numFmtId="173" fontId="48" fillId="2" borderId="0" xfId="0" applyNumberFormat="1" applyFont="1" applyFill="1" applyAlignment="1">
      <alignment horizontal="center"/>
    </xf>
    <xf numFmtId="0" fontId="48" fillId="10" borderId="0" xfId="0" applyFont="1" applyFill="1" applyAlignment="1">
      <alignment horizontal="center" vertical="center" wrapText="1"/>
    </xf>
    <xf numFmtId="2" fontId="48" fillId="20" borderId="42" xfId="0" applyNumberFormat="1" applyFont="1" applyFill="1" applyBorder="1" applyAlignment="1">
      <alignment horizontal="center"/>
    </xf>
    <xf numFmtId="2" fontId="48" fillId="20" borderId="0" xfId="0" applyNumberFormat="1" applyFont="1" applyFill="1" applyAlignment="1">
      <alignment horizontal="center"/>
    </xf>
    <xf numFmtId="2" fontId="48" fillId="20" borderId="43" xfId="0" applyNumberFormat="1" applyFont="1" applyFill="1" applyBorder="1" applyAlignment="1">
      <alignment horizontal="center"/>
    </xf>
    <xf numFmtId="2" fontId="48" fillId="18" borderId="0" xfId="0" applyNumberFormat="1" applyFont="1" applyFill="1" applyAlignment="1">
      <alignment horizontal="center"/>
    </xf>
    <xf numFmtId="2" fontId="48" fillId="18" borderId="43" xfId="0" applyNumberFormat="1" applyFont="1" applyFill="1" applyBorder="1" applyAlignment="1">
      <alignment horizontal="center"/>
    </xf>
    <xf numFmtId="171" fontId="48" fillId="20" borderId="42" xfId="0" applyNumberFormat="1" applyFont="1" applyFill="1" applyBorder="1" applyAlignment="1">
      <alignment horizontal="center"/>
    </xf>
    <xf numFmtId="171" fontId="48" fillId="20" borderId="0" xfId="0" applyNumberFormat="1" applyFont="1" applyFill="1" applyAlignment="1">
      <alignment horizontal="center"/>
    </xf>
    <xf numFmtId="171" fontId="48" fillId="20" borderId="43" xfId="0" applyNumberFormat="1" applyFont="1" applyFill="1" applyBorder="1" applyAlignment="1">
      <alignment horizontal="center"/>
    </xf>
    <xf numFmtId="2" fontId="48" fillId="18" borderId="42" xfId="0" applyNumberFormat="1" applyFont="1" applyFill="1" applyBorder="1" applyAlignment="1">
      <alignment horizontal="center"/>
    </xf>
    <xf numFmtId="2" fontId="48" fillId="2" borderId="0" xfId="0" applyNumberFormat="1" applyFont="1" applyFill="1" applyAlignment="1">
      <alignment horizontal="center"/>
    </xf>
    <xf numFmtId="2" fontId="48" fillId="2" borderId="43" xfId="0" applyNumberFormat="1" applyFont="1" applyFill="1" applyBorder="1" applyAlignment="1">
      <alignment horizontal="center"/>
    </xf>
    <xf numFmtId="171" fontId="48" fillId="2" borderId="43" xfId="0" applyNumberFormat="1" applyFont="1" applyFill="1" applyBorder="1" applyAlignment="1">
      <alignment horizontal="center"/>
    </xf>
    <xf numFmtId="2" fontId="48" fillId="2" borderId="42" xfId="0" applyNumberFormat="1" applyFont="1" applyFill="1" applyBorder="1" applyAlignment="1">
      <alignment horizontal="center"/>
    </xf>
    <xf numFmtId="0" fontId="48" fillId="2" borderId="42" xfId="0" applyFont="1" applyFill="1" applyBorder="1" applyAlignment="1">
      <alignment horizontal="left"/>
    </xf>
    <xf numFmtId="171" fontId="48" fillId="2" borderId="0" xfId="0" applyNumberFormat="1" applyFont="1" applyFill="1" applyAlignment="1">
      <alignment horizontal="center"/>
    </xf>
    <xf numFmtId="0" fontId="48" fillId="2" borderId="43" xfId="0" applyFont="1" applyFill="1" applyBorder="1" applyAlignment="1">
      <alignment horizontal="left"/>
    </xf>
    <xf numFmtId="2" fontId="48" fillId="20" borderId="43" xfId="13" applyNumberFormat="1" applyFont="1" applyFill="1" applyBorder="1" applyAlignment="1">
      <alignment horizontal="center"/>
    </xf>
    <xf numFmtId="2" fontId="48" fillId="20" borderId="0" xfId="13" applyNumberFormat="1" applyFont="1" applyFill="1" applyAlignment="1">
      <alignment horizontal="center"/>
    </xf>
    <xf numFmtId="0" fontId="48" fillId="20" borderId="0" xfId="13" applyFont="1" applyFill="1" applyAlignment="1">
      <alignment horizontal="center"/>
    </xf>
    <xf numFmtId="173" fontId="48" fillId="20" borderId="0" xfId="13" applyNumberFormat="1" applyFont="1" applyFill="1" applyAlignment="1">
      <alignment horizontal="center"/>
    </xf>
    <xf numFmtId="2" fontId="48" fillId="18" borderId="0" xfId="13" applyNumberFormat="1" applyFont="1" applyFill="1" applyAlignment="1">
      <alignment horizontal="center"/>
    </xf>
    <xf numFmtId="173" fontId="48" fillId="18" borderId="0" xfId="13" applyNumberFormat="1" applyFont="1" applyFill="1" applyAlignment="1">
      <alignment horizontal="center"/>
    </xf>
    <xf numFmtId="0" fontId="48" fillId="18" borderId="0" xfId="13" applyFont="1" applyFill="1" applyAlignment="1">
      <alignment horizontal="center"/>
    </xf>
    <xf numFmtId="2" fontId="48" fillId="18" borderId="43" xfId="13" applyNumberFormat="1" applyFont="1" applyFill="1" applyBorder="1" applyAlignment="1">
      <alignment horizontal="center"/>
    </xf>
    <xf numFmtId="0" fontId="49" fillId="9" borderId="0" xfId="0" applyFont="1" applyFill="1" applyAlignment="1">
      <alignment horizontal="left"/>
    </xf>
    <xf numFmtId="0" fontId="49" fillId="9" borderId="0" xfId="0" applyFont="1" applyFill="1" applyAlignment="1">
      <alignment horizontal="center"/>
    </xf>
    <xf numFmtId="2" fontId="48" fillId="20" borderId="42" xfId="13" applyNumberFormat="1" applyFont="1" applyFill="1" applyBorder="1" applyAlignment="1">
      <alignment horizontal="center"/>
    </xf>
    <xf numFmtId="10" fontId="48" fillId="2" borderId="42" xfId="0" applyNumberFormat="1" applyFont="1" applyFill="1" applyBorder="1" applyAlignment="1">
      <alignment horizontal="center"/>
    </xf>
    <xf numFmtId="10" fontId="48" fillId="2" borderId="0" xfId="0" applyNumberFormat="1" applyFont="1" applyFill="1" applyAlignment="1">
      <alignment horizontal="center"/>
    </xf>
    <xf numFmtId="10" fontId="48" fillId="2" borderId="43" xfId="0" applyNumberFormat="1" applyFont="1" applyFill="1" applyBorder="1" applyAlignment="1">
      <alignment horizontal="center"/>
    </xf>
    <xf numFmtId="171" fontId="48" fillId="2" borderId="42" xfId="0" applyNumberFormat="1" applyFont="1" applyFill="1" applyBorder="1" applyAlignment="1">
      <alignment horizontal="center"/>
    </xf>
    <xf numFmtId="0" fontId="48" fillId="2" borderId="42" xfId="0" applyFont="1" applyFill="1" applyBorder="1" applyAlignment="1">
      <alignment horizontal="center"/>
    </xf>
    <xf numFmtId="0" fontId="48" fillId="2" borderId="43" xfId="0" applyFont="1" applyFill="1" applyBorder="1" applyAlignment="1">
      <alignment horizontal="center"/>
    </xf>
    <xf numFmtId="173" fontId="49" fillId="3" borderId="0" xfId="0" applyNumberFormat="1" applyFont="1" applyFill="1" applyAlignment="1">
      <alignment horizontal="center"/>
    </xf>
    <xf numFmtId="171" fontId="49" fillId="3" borderId="0" xfId="0" applyNumberFormat="1" applyFont="1" applyFill="1" applyAlignment="1">
      <alignment horizontal="center"/>
    </xf>
    <xf numFmtId="0" fontId="49" fillId="3" borderId="0" xfId="0" applyFont="1" applyFill="1" applyAlignment="1">
      <alignment horizontal="left"/>
    </xf>
    <xf numFmtId="0" fontId="49" fillId="18" borderId="0" xfId="0" applyFont="1" applyFill="1" applyAlignment="1">
      <alignment horizontal="left"/>
    </xf>
    <xf numFmtId="0" fontId="49" fillId="18" borderId="0" xfId="0" applyFont="1" applyFill="1" applyAlignment="1">
      <alignment horizontal="center"/>
    </xf>
    <xf numFmtId="0" fontId="49" fillId="3" borderId="0" xfId="0" applyFont="1" applyFill="1" applyAlignment="1">
      <alignment horizontal="center"/>
    </xf>
    <xf numFmtId="0" fontId="48" fillId="10" borderId="0" xfId="0" applyFont="1" applyFill="1" applyAlignment="1">
      <alignment horizontal="center" vertical="top" wrapText="1"/>
    </xf>
    <xf numFmtId="10" fontId="49" fillId="18" borderId="0" xfId="0" applyNumberFormat="1" applyFont="1" applyFill="1" applyAlignment="1">
      <alignment horizontal="center"/>
    </xf>
  </cellXfs>
  <cellStyles count="14">
    <cellStyle name="20% - Accent1" xfId="3" builtinId="30"/>
    <cellStyle name="20% - Accent2" xfId="4" builtinId="34"/>
    <cellStyle name="20% - Accent5" xfId="13" builtinId="46"/>
    <cellStyle name="20% - Accent6" xfId="5" builtinId="50"/>
    <cellStyle name="40% - Accent5" xfId="11" builtinId="47"/>
    <cellStyle name="Bad" xfId="9" builtinId="27"/>
    <cellStyle name="Explanatory Text" xfId="6" builtinId="53"/>
    <cellStyle name="Good" xfId="7" builtinId="26"/>
    <cellStyle name="Input" xfId="12" builtinId="20"/>
    <cellStyle name="Neutral" xfId="8" builtinId="28"/>
    <cellStyle name="Normal" xfId="0" builtinId="0"/>
    <cellStyle name="Note" xfId="10" builtinId="10"/>
    <cellStyle name="Percent" xfId="2" builtinId="5"/>
    <cellStyle name="Title" xfId="1" builtinId="15"/>
  </cellStyles>
  <dxfs count="0"/>
  <tableStyles count="0" defaultTableStyle="TableStyleMedium2" defaultPivotStyle="PivotStyleLight16"/>
  <colors>
    <mruColors>
      <color rgb="FF009999"/>
      <color rgb="FF88E4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Ex2.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Ex3.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Ex4.xml.rels><?xml version="1.0" encoding="UTF-8" standalone="yes"?>
<Relationships xmlns="http://schemas.openxmlformats.org/package/2006/relationships"><Relationship Id="rId2" Type="http://schemas.microsoft.com/office/2011/relationships/chartColorStyle" Target="colors250.xml"/><Relationship Id="rId1" Type="http://schemas.microsoft.com/office/2011/relationships/chartStyle" Target="style25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effectLst>
              <a:innerShdw blurRad="63500" dist="50800" dir="18900000">
                <a:prstClr val="black">
                  <a:alpha val="50000"/>
                </a:prstClr>
              </a:innerShdw>
            </a:effectLst>
          </c:spPr>
          <c:dPt>
            <c:idx val="0"/>
            <c:bubble3D val="0"/>
            <c:spPr>
              <a:solidFill>
                <a:srgbClr val="FFFF0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1-BB24-49A8-8215-1009E1420604}"/>
              </c:ext>
            </c:extLst>
          </c:dPt>
          <c:dPt>
            <c:idx val="1"/>
            <c:bubble3D val="0"/>
            <c:spPr>
              <a:solidFill>
                <a:schemeClr val="accent2"/>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2-BB24-49A8-8215-1009E1420604}"/>
              </c:ext>
            </c:extLst>
          </c:dPt>
          <c:dPt>
            <c:idx val="2"/>
            <c:bubble3D val="0"/>
            <c:spPr>
              <a:solidFill>
                <a:schemeClr val="accent3"/>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6-BB24-49A8-8215-1009E1420604}"/>
              </c:ext>
            </c:extLst>
          </c:dPt>
          <c:dPt>
            <c:idx val="3"/>
            <c:bubble3D val="0"/>
            <c:spPr>
              <a:solidFill>
                <a:schemeClr val="accent4"/>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7-C6DD-4007-A970-D729C3DD5561}"/>
              </c:ext>
            </c:extLst>
          </c:dPt>
          <c:dPt>
            <c:idx val="4"/>
            <c:bubble3D val="0"/>
            <c:spPr>
              <a:solidFill>
                <a:schemeClr val="accent5"/>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9-C6DD-4007-A970-D729C3DD5561}"/>
              </c:ext>
            </c:extLst>
          </c:dPt>
          <c:dPt>
            <c:idx val="5"/>
            <c:bubble3D val="0"/>
            <c:spPr>
              <a:solidFill>
                <a:schemeClr val="accent6"/>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B-C6DD-4007-A970-D729C3DD5561}"/>
              </c:ext>
            </c:extLst>
          </c:dPt>
          <c:dPt>
            <c:idx val="6"/>
            <c:bubble3D val="0"/>
            <c:spPr>
              <a:solidFill>
                <a:schemeClr val="accent1">
                  <a:lumMod val="60000"/>
                </a:schemeClr>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3-BB24-49A8-8215-1009E1420604}"/>
              </c:ext>
            </c:extLst>
          </c:dPt>
          <c:dPt>
            <c:idx val="7"/>
            <c:bubble3D val="0"/>
            <c:spPr>
              <a:solidFill>
                <a:schemeClr val="accent2">
                  <a:lumMod val="60000"/>
                </a:schemeClr>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5-BB24-49A8-8215-1009E1420604}"/>
              </c:ext>
            </c:extLst>
          </c:dPt>
          <c:dPt>
            <c:idx val="8"/>
            <c:bubble3D val="0"/>
            <c:spPr>
              <a:solidFill>
                <a:schemeClr val="accent3">
                  <a:lumMod val="60000"/>
                </a:schemeClr>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4-BB24-49A8-8215-1009E1420604}"/>
              </c:ext>
            </c:extLst>
          </c:dPt>
          <c:dPt>
            <c:idx val="9"/>
            <c:bubble3D val="0"/>
            <c:spPr>
              <a:solidFill>
                <a:schemeClr val="accent4">
                  <a:lumMod val="60000"/>
                </a:schemeClr>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13-C6DD-4007-A970-D729C3DD5561}"/>
              </c:ext>
            </c:extLst>
          </c:dPt>
          <c:dLbls>
            <c:dLbl>
              <c:idx val="0"/>
              <c:layout>
                <c:manualLayout>
                  <c:x val="2.807483107164796E-2"/>
                  <c:y val="-3.09463418686175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BB24-49A8-8215-1009E1420604}"/>
                </c:ext>
                <c:ext xmlns:c15="http://schemas.microsoft.com/office/drawing/2012/chart" uri="{CE6537A1-D6FC-4f65-9D91-7224C49458BB}"/>
              </c:extLst>
            </c:dLbl>
            <c:dLbl>
              <c:idx val="1"/>
              <c:layout>
                <c:manualLayout>
                  <c:x val="-9.7141899815714527E-2"/>
                  <c:y val="0.2532440675169839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BB24-49A8-8215-1009E1420604}"/>
                </c:ext>
                <c:ext xmlns:c15="http://schemas.microsoft.com/office/drawing/2012/chart" uri="{CE6537A1-D6FC-4f65-9D91-7224C49458BB}"/>
              </c:extLst>
            </c:dLbl>
            <c:dLbl>
              <c:idx val="2"/>
              <c:layout>
                <c:manualLayout>
                  <c:x val="-8.7892141545781635E-2"/>
                  <c:y val="0.16838230625498876"/>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6-BB24-49A8-8215-1009E1420604}"/>
                </c:ext>
                <c:ext xmlns:c15="http://schemas.microsoft.com/office/drawing/2012/chart" uri="{CE6537A1-D6FC-4f65-9D91-7224C49458BB}"/>
              </c:extLst>
            </c:dLbl>
            <c:dLbl>
              <c:idx val="6"/>
              <c:layout>
                <c:manualLayout>
                  <c:x val="-2.9681400822122304E-2"/>
                  <c:y val="-3.0402328649382193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BB24-49A8-8215-1009E1420604}"/>
                </c:ext>
                <c:ext xmlns:c15="http://schemas.microsoft.com/office/drawing/2012/chart" uri="{CE6537A1-D6FC-4f65-9D91-7224C49458BB}"/>
              </c:extLst>
            </c:dLbl>
            <c:dLbl>
              <c:idx val="7"/>
              <c:layout>
                <c:manualLayout>
                  <c:x val="0.18828784247777083"/>
                  <c:y val="-2.9976167368115522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BB24-49A8-8215-1009E1420604}"/>
                </c:ext>
                <c:ext xmlns:c15="http://schemas.microsoft.com/office/drawing/2012/chart" uri="{CE6537A1-D6FC-4f65-9D91-7224C49458BB}"/>
              </c:extLst>
            </c:dLbl>
            <c:dLbl>
              <c:idx val="8"/>
              <c:layout>
                <c:manualLayout>
                  <c:x val="0.31958214482242853"/>
                  <c:y val="-2.16647921050722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BB24-49A8-8215-1009E1420604}"/>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val>
            <c:numRef>
              <c:f>'ABOUT US'!$D$35:$D$44</c:f>
              <c:numCache>
                <c:formatCode>0.00%</c:formatCode>
                <c:ptCount val="10"/>
                <c:pt idx="0">
                  <c:v>0.57269999999999999</c:v>
                </c:pt>
                <c:pt idx="1">
                  <c:v>2.4500000000000001E-2</c:v>
                </c:pt>
                <c:pt idx="2">
                  <c:v>2.29E-2</c:v>
                </c:pt>
                <c:pt idx="3">
                  <c:v>1.7399999999999999E-2</c:v>
                </c:pt>
                <c:pt idx="4">
                  <c:v>1.72E-2</c:v>
                </c:pt>
                <c:pt idx="5">
                  <c:v>1.61E-2</c:v>
                </c:pt>
                <c:pt idx="6">
                  <c:v>1.49E-2</c:v>
                </c:pt>
                <c:pt idx="7">
                  <c:v>1.47E-2</c:v>
                </c:pt>
                <c:pt idx="8">
                  <c:v>1.37E-2</c:v>
                </c:pt>
                <c:pt idx="9">
                  <c:v>1.26E-2</c:v>
                </c:pt>
              </c:numCache>
            </c:numRef>
          </c:val>
          <c:extLst xmlns:c16r2="http://schemas.microsoft.com/office/drawing/2015/06/chart">
            <c:ext xmlns:c16="http://schemas.microsoft.com/office/drawing/2014/chart" uri="{C3380CC4-5D6E-409C-BE32-E72D297353CC}">
              <c16:uniqueId val="{00000000-BB24-49A8-8215-1009E142060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rgbClr val="FFFF00"/>
              </a:solidFill>
              <a:round/>
            </a:ln>
            <a:effectLst/>
          </c:spPr>
          <c:marker>
            <c:symbol val="none"/>
          </c:marker>
          <c:cat>
            <c:numRef>
              <c:f>'DATA HISTORICAL'!$M$6:$M$1178</c:f>
              <c:numCache>
                <c:formatCode>General</c:formatCode>
                <c:ptCount val="1173"/>
                <c:pt idx="0">
                  <c:v>2025</c:v>
                </c:pt>
                <c:pt idx="181">
                  <c:v>2024</c:v>
                </c:pt>
                <c:pt idx="430">
                  <c:v>2023</c:v>
                </c:pt>
                <c:pt idx="676">
                  <c:v>2022</c:v>
                </c:pt>
                <c:pt idx="924">
                  <c:v>2021</c:v>
                </c:pt>
                <c:pt idx="1172">
                  <c:v>2020</c:v>
                </c:pt>
              </c:numCache>
            </c:numRef>
          </c:cat>
          <c:val>
            <c:numRef>
              <c:f>'DATA HISTORICAL'!$K$6:$K$1246</c:f>
              <c:numCache>
                <c:formatCode>#,##0.00</c:formatCode>
                <c:ptCount val="1241"/>
                <c:pt idx="0">
                  <c:v>12650</c:v>
                </c:pt>
                <c:pt idx="1">
                  <c:v>12508</c:v>
                </c:pt>
                <c:pt idx="2">
                  <c:v>12626</c:v>
                </c:pt>
                <c:pt idx="3">
                  <c:v>12721</c:v>
                </c:pt>
                <c:pt idx="4">
                  <c:v>12578</c:v>
                </c:pt>
                <c:pt idx="5">
                  <c:v>12435</c:v>
                </c:pt>
                <c:pt idx="6">
                  <c:v>12370</c:v>
                </c:pt>
                <c:pt idx="7">
                  <c:v>12392</c:v>
                </c:pt>
                <c:pt idx="8">
                  <c:v>12478</c:v>
                </c:pt>
                <c:pt idx="9">
                  <c:v>12572</c:v>
                </c:pt>
                <c:pt idx="10">
                  <c:v>12664</c:v>
                </c:pt>
                <c:pt idx="11">
                  <c:v>12601</c:v>
                </c:pt>
                <c:pt idx="12">
                  <c:v>12651</c:v>
                </c:pt>
                <c:pt idx="13">
                  <c:v>12733</c:v>
                </c:pt>
                <c:pt idx="14">
                  <c:v>12730</c:v>
                </c:pt>
                <c:pt idx="15">
                  <c:v>12826</c:v>
                </c:pt>
                <c:pt idx="16">
                  <c:v>12640</c:v>
                </c:pt>
                <c:pt idx="17">
                  <c:v>12521</c:v>
                </c:pt>
                <c:pt idx="18">
                  <c:v>12610</c:v>
                </c:pt>
                <c:pt idx="19">
                  <c:v>12606</c:v>
                </c:pt>
                <c:pt idx="20">
                  <c:v>12589</c:v>
                </c:pt>
                <c:pt idx="21">
                  <c:v>12870</c:v>
                </c:pt>
                <c:pt idx="22">
                  <c:v>12874</c:v>
                </c:pt>
                <c:pt idx="23">
                  <c:v>12863</c:v>
                </c:pt>
                <c:pt idx="24">
                  <c:v>12765</c:v>
                </c:pt>
                <c:pt idx="25">
                  <c:v>12317</c:v>
                </c:pt>
                <c:pt idx="26">
                  <c:v>12401</c:v>
                </c:pt>
                <c:pt idx="27">
                  <c:v>12449</c:v>
                </c:pt>
                <c:pt idx="28">
                  <c:v>12405</c:v>
                </c:pt>
                <c:pt idx="29">
                  <c:v>12157</c:v>
                </c:pt>
                <c:pt idx="30">
                  <c:v>12273</c:v>
                </c:pt>
                <c:pt idx="31">
                  <c:v>12226</c:v>
                </c:pt>
                <c:pt idx="32">
                  <c:v>12298</c:v>
                </c:pt>
                <c:pt idx="33">
                  <c:v>12257</c:v>
                </c:pt>
                <c:pt idx="34">
                  <c:v>12113</c:v>
                </c:pt>
                <c:pt idx="35">
                  <c:v>12249</c:v>
                </c:pt>
                <c:pt idx="36">
                  <c:v>12268</c:v>
                </c:pt>
                <c:pt idx="37">
                  <c:v>12221</c:v>
                </c:pt>
                <c:pt idx="38">
                  <c:v>12240</c:v>
                </c:pt>
                <c:pt idx="39">
                  <c:v>12250</c:v>
                </c:pt>
                <c:pt idx="40">
                  <c:v>12304</c:v>
                </c:pt>
                <c:pt idx="41">
                  <c:v>12372</c:v>
                </c:pt>
                <c:pt idx="42">
                  <c:v>12452</c:v>
                </c:pt>
                <c:pt idx="43">
                  <c:v>12577</c:v>
                </c:pt>
                <c:pt idx="44">
                  <c:v>12498</c:v>
                </c:pt>
                <c:pt idx="45">
                  <c:v>12495</c:v>
                </c:pt>
                <c:pt idx="46">
                  <c:v>12453</c:v>
                </c:pt>
                <c:pt idx="47">
                  <c:v>12502</c:v>
                </c:pt>
                <c:pt idx="48">
                  <c:v>12516</c:v>
                </c:pt>
                <c:pt idx="49">
                  <c:v>12495</c:v>
                </c:pt>
                <c:pt idx="50">
                  <c:v>12516</c:v>
                </c:pt>
                <c:pt idx="51">
                  <c:v>12562</c:v>
                </c:pt>
                <c:pt idx="52">
                  <c:v>12445</c:v>
                </c:pt>
                <c:pt idx="53">
                  <c:v>12345</c:v>
                </c:pt>
                <c:pt idx="54">
                  <c:v>12506</c:v>
                </c:pt>
                <c:pt idx="55">
                  <c:v>12398</c:v>
                </c:pt>
                <c:pt idx="56">
                  <c:v>12436</c:v>
                </c:pt>
                <c:pt idx="57">
                  <c:v>12210</c:v>
                </c:pt>
                <c:pt idx="58">
                  <c:v>12093</c:v>
                </c:pt>
                <c:pt idx="59">
                  <c:v>12213</c:v>
                </c:pt>
                <c:pt idx="60">
                  <c:v>11951</c:v>
                </c:pt>
                <c:pt idx="61">
                  <c:v>11733</c:v>
                </c:pt>
                <c:pt idx="62">
                  <c:v>11579</c:v>
                </c:pt>
                <c:pt idx="63">
                  <c:v>11449</c:v>
                </c:pt>
                <c:pt idx="64">
                  <c:v>11458</c:v>
                </c:pt>
                <c:pt idx="65">
                  <c:v>11420</c:v>
                </c:pt>
                <c:pt idx="66">
                  <c:v>11406</c:v>
                </c:pt>
                <c:pt idx="67">
                  <c:v>11383</c:v>
                </c:pt>
                <c:pt idx="68">
                  <c:v>11495</c:v>
                </c:pt>
                <c:pt idx="69">
                  <c:v>11224</c:v>
                </c:pt>
                <c:pt idx="70">
                  <c:v>11323</c:v>
                </c:pt>
                <c:pt idx="71">
                  <c:v>11464</c:v>
                </c:pt>
                <c:pt idx="72">
                  <c:v>11391</c:v>
                </c:pt>
                <c:pt idx="73">
                  <c:v>11260</c:v>
                </c:pt>
                <c:pt idx="74">
                  <c:v>11253</c:v>
                </c:pt>
                <c:pt idx="75">
                  <c:v>11159</c:v>
                </c:pt>
                <c:pt idx="76">
                  <c:v>11033</c:v>
                </c:pt>
                <c:pt idx="77">
                  <c:v>11035</c:v>
                </c:pt>
                <c:pt idx="78">
                  <c:v>11195</c:v>
                </c:pt>
                <c:pt idx="79">
                  <c:v>11210</c:v>
                </c:pt>
                <c:pt idx="80">
                  <c:v>11269</c:v>
                </c:pt>
                <c:pt idx="81">
                  <c:v>11238</c:v>
                </c:pt>
                <c:pt idx="82">
                  <c:v>11421</c:v>
                </c:pt>
                <c:pt idx="83">
                  <c:v>11689</c:v>
                </c:pt>
                <c:pt idx="84">
                  <c:v>11746</c:v>
                </c:pt>
                <c:pt idx="85">
                  <c:v>11680</c:v>
                </c:pt>
                <c:pt idx="86">
                  <c:v>11666</c:v>
                </c:pt>
                <c:pt idx="87">
                  <c:v>11697</c:v>
                </c:pt>
                <c:pt idx="88">
                  <c:v>11929</c:v>
                </c:pt>
                <c:pt idx="89">
                  <c:v>11905</c:v>
                </c:pt>
                <c:pt idx="90">
                  <c:v>11894</c:v>
                </c:pt>
                <c:pt idx="91">
                  <c:v>11672</c:v>
                </c:pt>
                <c:pt idx="92">
                  <c:v>11661</c:v>
                </c:pt>
                <c:pt idx="93">
                  <c:v>11736</c:v>
                </c:pt>
                <c:pt idx="94">
                  <c:v>11364</c:v>
                </c:pt>
                <c:pt idx="95">
                  <c:v>11631</c:v>
                </c:pt>
                <c:pt idx="96">
                  <c:v>11658</c:v>
                </c:pt>
                <c:pt idx="97">
                  <c:v>11693</c:v>
                </c:pt>
                <c:pt idx="98">
                  <c:v>11670</c:v>
                </c:pt>
                <c:pt idx="99">
                  <c:v>11644</c:v>
                </c:pt>
                <c:pt idx="100">
                  <c:v>11641</c:v>
                </c:pt>
                <c:pt idx="101">
                  <c:v>11869</c:v>
                </c:pt>
                <c:pt idx="102">
                  <c:v>12114</c:v>
                </c:pt>
                <c:pt idx="103">
                  <c:v>12237</c:v>
                </c:pt>
                <c:pt idx="104">
                  <c:v>12159</c:v>
                </c:pt>
                <c:pt idx="105">
                  <c:v>11949</c:v>
                </c:pt>
                <c:pt idx="106">
                  <c:v>11959</c:v>
                </c:pt>
                <c:pt idx="107">
                  <c:v>11934</c:v>
                </c:pt>
                <c:pt idx="108">
                  <c:v>11901</c:v>
                </c:pt>
                <c:pt idx="109">
                  <c:v>11728</c:v>
                </c:pt>
                <c:pt idx="110">
                  <c:v>11719</c:v>
                </c:pt>
                <c:pt idx="111">
                  <c:v>11502.65</c:v>
                </c:pt>
                <c:pt idx="112">
                  <c:v>11397.05</c:v>
                </c:pt>
                <c:pt idx="113">
                  <c:v>11270.45</c:v>
                </c:pt>
                <c:pt idx="114">
                  <c:v>11191.6</c:v>
                </c:pt>
                <c:pt idx="115">
                  <c:v>11498.65</c:v>
                </c:pt>
                <c:pt idx="116">
                  <c:v>11606.6</c:v>
                </c:pt>
                <c:pt idx="117">
                  <c:v>11250.95</c:v>
                </c:pt>
                <c:pt idx="118">
                  <c:v>11378.65</c:v>
                </c:pt>
                <c:pt idx="119">
                  <c:v>11509.55</c:v>
                </c:pt>
                <c:pt idx="120">
                  <c:v>11599.6</c:v>
                </c:pt>
                <c:pt idx="121">
                  <c:v>11402.1</c:v>
                </c:pt>
                <c:pt idx="122">
                  <c:v>11421.2</c:v>
                </c:pt>
                <c:pt idx="123">
                  <c:v>11051.2</c:v>
                </c:pt>
                <c:pt idx="124">
                  <c:v>10976.75</c:v>
                </c:pt>
                <c:pt idx="125">
                  <c:v>10948.15</c:v>
                </c:pt>
                <c:pt idx="126">
                  <c:v>10933.25</c:v>
                </c:pt>
                <c:pt idx="127">
                  <c:v>10698.1</c:v>
                </c:pt>
                <c:pt idx="128">
                  <c:v>10547.1</c:v>
                </c:pt>
                <c:pt idx="129">
                  <c:v>10452.1</c:v>
                </c:pt>
                <c:pt idx="130">
                  <c:v>10520.4</c:v>
                </c:pt>
                <c:pt idx="131">
                  <c:v>10439.25</c:v>
                </c:pt>
                <c:pt idx="132">
                  <c:v>10520.1</c:v>
                </c:pt>
                <c:pt idx="133">
                  <c:v>10582.4</c:v>
                </c:pt>
                <c:pt idx="134">
                  <c:v>10493.5</c:v>
                </c:pt>
                <c:pt idx="135">
                  <c:v>10464.200000000001</c:v>
                </c:pt>
                <c:pt idx="136">
                  <c:v>10370.1</c:v>
                </c:pt>
                <c:pt idx="137">
                  <c:v>10340.799999999999</c:v>
                </c:pt>
                <c:pt idx="138">
                  <c:v>10128.450000000001</c:v>
                </c:pt>
                <c:pt idx="139">
                  <c:v>10447.65</c:v>
                </c:pt>
                <c:pt idx="140">
                  <c:v>10964.15</c:v>
                </c:pt>
                <c:pt idx="141">
                  <c:v>11042.65</c:v>
                </c:pt>
                <c:pt idx="142">
                  <c:v>11157.25</c:v>
                </c:pt>
                <c:pt idx="143">
                  <c:v>11287.6</c:v>
                </c:pt>
                <c:pt idx="144">
                  <c:v>11291.55</c:v>
                </c:pt>
                <c:pt idx="145">
                  <c:v>11308.9</c:v>
                </c:pt>
                <c:pt idx="146">
                  <c:v>11490.1</c:v>
                </c:pt>
                <c:pt idx="147">
                  <c:v>11263.85</c:v>
                </c:pt>
                <c:pt idx="148">
                  <c:v>11546.45</c:v>
                </c:pt>
                <c:pt idx="149">
                  <c:v>11478.5</c:v>
                </c:pt>
                <c:pt idx="150">
                  <c:v>11300.2</c:v>
                </c:pt>
                <c:pt idx="151">
                  <c:v>11532.3</c:v>
                </c:pt>
                <c:pt idx="152">
                  <c:v>11640.6</c:v>
                </c:pt>
                <c:pt idx="153">
                  <c:v>11477.35</c:v>
                </c:pt>
                <c:pt idx="154">
                  <c:v>11585.7</c:v>
                </c:pt>
                <c:pt idx="155">
                  <c:v>11519.15</c:v>
                </c:pt>
                <c:pt idx="156">
                  <c:v>11174.65</c:v>
                </c:pt>
                <c:pt idx="157">
                  <c:v>11259.15</c:v>
                </c:pt>
                <c:pt idx="158">
                  <c:v>11487.45</c:v>
                </c:pt>
                <c:pt idx="159">
                  <c:v>11479.4</c:v>
                </c:pt>
                <c:pt idx="160">
                  <c:v>11544.85</c:v>
                </c:pt>
                <c:pt idx="161">
                  <c:v>11296.35</c:v>
                </c:pt>
                <c:pt idx="162">
                  <c:v>11239.5</c:v>
                </c:pt>
                <c:pt idx="163">
                  <c:v>11285.85</c:v>
                </c:pt>
                <c:pt idx="164">
                  <c:v>11420.9</c:v>
                </c:pt>
                <c:pt idx="165">
                  <c:v>10693.75</c:v>
                </c:pt>
                <c:pt idx="166">
                  <c:v>10667.8</c:v>
                </c:pt>
                <c:pt idx="167">
                  <c:v>10624.45</c:v>
                </c:pt>
                <c:pt idx="168">
                  <c:v>10580</c:v>
                </c:pt>
                <c:pt idx="169">
                  <c:v>10636.2</c:v>
                </c:pt>
                <c:pt idx="170">
                  <c:v>10521.65</c:v>
                </c:pt>
                <c:pt idx="171">
                  <c:v>10483.75</c:v>
                </c:pt>
                <c:pt idx="172">
                  <c:v>10615.15</c:v>
                </c:pt>
                <c:pt idx="173">
                  <c:v>10865.2</c:v>
                </c:pt>
                <c:pt idx="174">
                  <c:v>11259.8</c:v>
                </c:pt>
                <c:pt idx="175">
                  <c:v>11403.55</c:v>
                </c:pt>
                <c:pt idx="176">
                  <c:v>11618.55</c:v>
                </c:pt>
                <c:pt idx="177">
                  <c:v>11503.6</c:v>
                </c:pt>
                <c:pt idx="178">
                  <c:v>11786</c:v>
                </c:pt>
                <c:pt idx="179">
                  <c:v>11797.7</c:v>
                </c:pt>
                <c:pt idx="180">
                  <c:v>11447</c:v>
                </c:pt>
                <c:pt idx="181">
                  <c:v>11426.35</c:v>
                </c:pt>
                <c:pt idx="182">
                  <c:v>11288.35</c:v>
                </c:pt>
                <c:pt idx="183">
                  <c:v>11406.55</c:v>
                </c:pt>
                <c:pt idx="184">
                  <c:v>11460.65</c:v>
                </c:pt>
                <c:pt idx="185">
                  <c:v>11390.35</c:v>
                </c:pt>
                <c:pt idx="186">
                  <c:v>11472.6</c:v>
                </c:pt>
                <c:pt idx="187">
                  <c:v>11422.8</c:v>
                </c:pt>
                <c:pt idx="188">
                  <c:v>11670.8</c:v>
                </c:pt>
                <c:pt idx="189">
                  <c:v>11763.95</c:v>
                </c:pt>
                <c:pt idx="190">
                  <c:v>11774.95</c:v>
                </c:pt>
                <c:pt idx="191">
                  <c:v>11942.5</c:v>
                </c:pt>
                <c:pt idx="192">
                  <c:v>12083.9</c:v>
                </c:pt>
                <c:pt idx="193">
                  <c:v>11856.95</c:v>
                </c:pt>
                <c:pt idx="194">
                  <c:v>11898.5</c:v>
                </c:pt>
                <c:pt idx="195">
                  <c:v>11745.8</c:v>
                </c:pt>
                <c:pt idx="196">
                  <c:v>11814.8</c:v>
                </c:pt>
                <c:pt idx="197">
                  <c:v>11848.5</c:v>
                </c:pt>
                <c:pt idx="198">
                  <c:v>11932.8</c:v>
                </c:pt>
                <c:pt idx="199">
                  <c:v>11766.8</c:v>
                </c:pt>
                <c:pt idx="200">
                  <c:v>11852.35</c:v>
                </c:pt>
                <c:pt idx="201">
                  <c:v>11648.55</c:v>
                </c:pt>
                <c:pt idx="202">
                  <c:v>11202.15</c:v>
                </c:pt>
                <c:pt idx="203">
                  <c:v>10997.8</c:v>
                </c:pt>
                <c:pt idx="204">
                  <c:v>11139.9</c:v>
                </c:pt>
                <c:pt idx="205">
                  <c:v>11121.05</c:v>
                </c:pt>
                <c:pt idx="206">
                  <c:v>11457.45</c:v>
                </c:pt>
                <c:pt idx="207">
                  <c:v>11375.3</c:v>
                </c:pt>
                <c:pt idx="208">
                  <c:v>10954.85</c:v>
                </c:pt>
                <c:pt idx="209">
                  <c:v>10769.55</c:v>
                </c:pt>
                <c:pt idx="210">
                  <c:v>10630.9</c:v>
                </c:pt>
                <c:pt idx="211">
                  <c:v>10728.5</c:v>
                </c:pt>
                <c:pt idx="212">
                  <c:v>10782.2</c:v>
                </c:pt>
                <c:pt idx="213">
                  <c:v>10892</c:v>
                </c:pt>
                <c:pt idx="214">
                  <c:v>10970.45</c:v>
                </c:pt>
                <c:pt idx="215">
                  <c:v>11043.35</c:v>
                </c:pt>
                <c:pt idx="216">
                  <c:v>11050.8</c:v>
                </c:pt>
                <c:pt idx="217">
                  <c:v>11274.4</c:v>
                </c:pt>
                <c:pt idx="218">
                  <c:v>11176.35</c:v>
                </c:pt>
                <c:pt idx="219">
                  <c:v>11001.85</c:v>
                </c:pt>
                <c:pt idx="220">
                  <c:v>11145.8</c:v>
                </c:pt>
                <c:pt idx="221">
                  <c:v>11065.65</c:v>
                </c:pt>
                <c:pt idx="222">
                  <c:v>11205.1</c:v>
                </c:pt>
                <c:pt idx="223">
                  <c:v>11112.1</c:v>
                </c:pt>
                <c:pt idx="224">
                  <c:v>11092.6</c:v>
                </c:pt>
                <c:pt idx="225">
                  <c:v>10995.2</c:v>
                </c:pt>
                <c:pt idx="226">
                  <c:v>11043.6</c:v>
                </c:pt>
                <c:pt idx="227">
                  <c:v>10753.05</c:v>
                </c:pt>
                <c:pt idx="228">
                  <c:v>10825.15</c:v>
                </c:pt>
                <c:pt idx="229">
                  <c:v>10869.3</c:v>
                </c:pt>
                <c:pt idx="230">
                  <c:v>11069.3</c:v>
                </c:pt>
                <c:pt idx="231">
                  <c:v>11017.3</c:v>
                </c:pt>
                <c:pt idx="232">
                  <c:v>11322.3</c:v>
                </c:pt>
                <c:pt idx="233">
                  <c:v>11416.9</c:v>
                </c:pt>
                <c:pt idx="234">
                  <c:v>11300.3</c:v>
                </c:pt>
                <c:pt idx="235">
                  <c:v>11421.3</c:v>
                </c:pt>
                <c:pt idx="236">
                  <c:v>11430.05</c:v>
                </c:pt>
                <c:pt idx="237">
                  <c:v>11350.15</c:v>
                </c:pt>
                <c:pt idx="238">
                  <c:v>11389.8</c:v>
                </c:pt>
                <c:pt idx="239">
                  <c:v>11230.35</c:v>
                </c:pt>
                <c:pt idx="240">
                  <c:v>11450.25</c:v>
                </c:pt>
                <c:pt idx="241">
                  <c:v>11724.8</c:v>
                </c:pt>
                <c:pt idx="242">
                  <c:v>11837.15</c:v>
                </c:pt>
                <c:pt idx="243">
                  <c:v>11802</c:v>
                </c:pt>
                <c:pt idx="244">
                  <c:v>11952.3</c:v>
                </c:pt>
                <c:pt idx="245">
                  <c:v>12065</c:v>
                </c:pt>
                <c:pt idx="246">
                  <c:v>11816.3</c:v>
                </c:pt>
                <c:pt idx="247">
                  <c:v>11761.65</c:v>
                </c:pt>
                <c:pt idx="248">
                  <c:v>11962.05</c:v>
                </c:pt>
                <c:pt idx="249">
                  <c:v>11798.3</c:v>
                </c:pt>
                <c:pt idx="250">
                  <c:v>11627.5</c:v>
                </c:pt>
                <c:pt idx="251">
                  <c:v>11630.9</c:v>
                </c:pt>
                <c:pt idx="252">
                  <c:v>11645.65</c:v>
                </c:pt>
                <c:pt idx="253">
                  <c:v>11642.65</c:v>
                </c:pt>
                <c:pt idx="254">
                  <c:v>11717.95</c:v>
                </c:pt>
                <c:pt idx="255">
                  <c:v>11710.25</c:v>
                </c:pt>
                <c:pt idx="256">
                  <c:v>11487.45</c:v>
                </c:pt>
                <c:pt idx="257">
                  <c:v>11541.05</c:v>
                </c:pt>
                <c:pt idx="258">
                  <c:v>11494.35</c:v>
                </c:pt>
                <c:pt idx="259">
                  <c:v>11432.85</c:v>
                </c:pt>
                <c:pt idx="260">
                  <c:v>11542.65</c:v>
                </c:pt>
                <c:pt idx="261">
                  <c:v>11580.45</c:v>
                </c:pt>
                <c:pt idx="262">
                  <c:v>11460.8</c:v>
                </c:pt>
                <c:pt idx="263">
                  <c:v>11424.9</c:v>
                </c:pt>
                <c:pt idx="264">
                  <c:v>11301.9</c:v>
                </c:pt>
                <c:pt idx="265">
                  <c:v>11222</c:v>
                </c:pt>
                <c:pt idx="266">
                  <c:v>11234.8</c:v>
                </c:pt>
                <c:pt idx="267">
                  <c:v>11300.35</c:v>
                </c:pt>
                <c:pt idx="268">
                  <c:v>11337.1</c:v>
                </c:pt>
                <c:pt idx="269">
                  <c:v>11341.8</c:v>
                </c:pt>
                <c:pt idx="270">
                  <c:v>11309.4</c:v>
                </c:pt>
                <c:pt idx="271">
                  <c:v>11200.9</c:v>
                </c:pt>
                <c:pt idx="272">
                  <c:v>11349.7</c:v>
                </c:pt>
                <c:pt idx="273">
                  <c:v>11315.35</c:v>
                </c:pt>
                <c:pt idx="274">
                  <c:v>11295.7</c:v>
                </c:pt>
                <c:pt idx="275">
                  <c:v>11002.6</c:v>
                </c:pt>
                <c:pt idx="276">
                  <c:v>11271.2</c:v>
                </c:pt>
                <c:pt idx="277">
                  <c:v>11302.85</c:v>
                </c:pt>
                <c:pt idx="278">
                  <c:v>11300.35</c:v>
                </c:pt>
                <c:pt idx="279">
                  <c:v>11258</c:v>
                </c:pt>
                <c:pt idx="280">
                  <c:v>11543.2</c:v>
                </c:pt>
                <c:pt idx="281">
                  <c:v>11325.3</c:v>
                </c:pt>
                <c:pt idx="282">
                  <c:v>11417.25</c:v>
                </c:pt>
                <c:pt idx="283">
                  <c:v>11764.5</c:v>
                </c:pt>
                <c:pt idx="284">
                  <c:v>11984.5</c:v>
                </c:pt>
                <c:pt idx="285">
                  <c:v>11887.2</c:v>
                </c:pt>
                <c:pt idx="286">
                  <c:v>11806.45</c:v>
                </c:pt>
                <c:pt idx="287">
                  <c:v>11873.8</c:v>
                </c:pt>
                <c:pt idx="288">
                  <c:v>11673.05</c:v>
                </c:pt>
                <c:pt idx="289">
                  <c:v>11441.5</c:v>
                </c:pt>
                <c:pt idx="290">
                  <c:v>11453.4</c:v>
                </c:pt>
                <c:pt idx="291">
                  <c:v>11545.8</c:v>
                </c:pt>
                <c:pt idx="292">
                  <c:v>11515.7</c:v>
                </c:pt>
                <c:pt idx="293">
                  <c:v>11258.3</c:v>
                </c:pt>
                <c:pt idx="294">
                  <c:v>11647.25</c:v>
                </c:pt>
                <c:pt idx="295">
                  <c:v>11658.7</c:v>
                </c:pt>
                <c:pt idx="296">
                  <c:v>11833.65</c:v>
                </c:pt>
                <c:pt idx="297">
                  <c:v>11602.3</c:v>
                </c:pt>
                <c:pt idx="298">
                  <c:v>11554.95</c:v>
                </c:pt>
                <c:pt idx="299">
                  <c:v>11634.25</c:v>
                </c:pt>
                <c:pt idx="300">
                  <c:v>11679.8</c:v>
                </c:pt>
                <c:pt idx="301">
                  <c:v>11582.9</c:v>
                </c:pt>
                <c:pt idx="302">
                  <c:v>11690.15</c:v>
                </c:pt>
                <c:pt idx="303">
                  <c:v>11760.05</c:v>
                </c:pt>
                <c:pt idx="304">
                  <c:v>11872.1</c:v>
                </c:pt>
                <c:pt idx="305">
                  <c:v>11853.95</c:v>
                </c:pt>
                <c:pt idx="306">
                  <c:v>11904.65</c:v>
                </c:pt>
                <c:pt idx="307">
                  <c:v>11667.9</c:v>
                </c:pt>
                <c:pt idx="308">
                  <c:v>11716.7</c:v>
                </c:pt>
                <c:pt idx="309">
                  <c:v>11143.1</c:v>
                </c:pt>
                <c:pt idx="310">
                  <c:v>10846.2</c:v>
                </c:pt>
                <c:pt idx="311">
                  <c:v>10786</c:v>
                </c:pt>
                <c:pt idx="312">
                  <c:v>10662.4</c:v>
                </c:pt>
                <c:pt idx="313">
                  <c:v>10903.2</c:v>
                </c:pt>
                <c:pt idx="314">
                  <c:v>10995.55</c:v>
                </c:pt>
                <c:pt idx="315">
                  <c:v>11119.05</c:v>
                </c:pt>
                <c:pt idx="316">
                  <c:v>11242.8</c:v>
                </c:pt>
                <c:pt idx="317">
                  <c:v>11173.8</c:v>
                </c:pt>
                <c:pt idx="318">
                  <c:v>11044.8</c:v>
                </c:pt>
                <c:pt idx="319">
                  <c:v>10933.55</c:v>
                </c:pt>
                <c:pt idx="320">
                  <c:v>10826.25</c:v>
                </c:pt>
                <c:pt idx="321">
                  <c:v>10463.15</c:v>
                </c:pt>
                <c:pt idx="322">
                  <c:v>10054.950000000001</c:v>
                </c:pt>
                <c:pt idx="323">
                  <c:v>10038.1</c:v>
                </c:pt>
                <c:pt idx="324">
                  <c:v>9918.2999999999993</c:v>
                </c:pt>
                <c:pt idx="325">
                  <c:v>10470.049999999999</c:v>
                </c:pt>
                <c:pt idx="326">
                  <c:v>9915.5</c:v>
                </c:pt>
                <c:pt idx="327">
                  <c:v>9868.85</c:v>
                </c:pt>
                <c:pt idx="328">
                  <c:v>10023.4</c:v>
                </c:pt>
                <c:pt idx="329">
                  <c:v>10178.9</c:v>
                </c:pt>
                <c:pt idx="330">
                  <c:v>10225.5</c:v>
                </c:pt>
                <c:pt idx="331">
                  <c:v>10231.1</c:v>
                </c:pt>
                <c:pt idx="332">
                  <c:v>10170.549999999999</c:v>
                </c:pt>
                <c:pt idx="333">
                  <c:v>9894.85</c:v>
                </c:pt>
                <c:pt idx="334">
                  <c:v>9789.4</c:v>
                </c:pt>
                <c:pt idx="335">
                  <c:v>9865.6</c:v>
                </c:pt>
                <c:pt idx="336">
                  <c:v>9890.35</c:v>
                </c:pt>
                <c:pt idx="337">
                  <c:v>9709.1</c:v>
                </c:pt>
                <c:pt idx="338">
                  <c:v>9614.1</c:v>
                </c:pt>
                <c:pt idx="339">
                  <c:v>9660.65</c:v>
                </c:pt>
                <c:pt idx="340">
                  <c:v>9551.5</c:v>
                </c:pt>
                <c:pt idx="341">
                  <c:v>9491.7000000000007</c:v>
                </c:pt>
                <c:pt idx="342">
                  <c:v>9446.1</c:v>
                </c:pt>
                <c:pt idx="343">
                  <c:v>9519.4</c:v>
                </c:pt>
                <c:pt idx="344">
                  <c:v>9682.4</c:v>
                </c:pt>
                <c:pt idx="345">
                  <c:v>9776.9</c:v>
                </c:pt>
                <c:pt idx="346">
                  <c:v>9816.2999999999993</c:v>
                </c:pt>
                <c:pt idx="347">
                  <c:v>9983.4500000000007</c:v>
                </c:pt>
                <c:pt idx="348">
                  <c:v>9971.85</c:v>
                </c:pt>
                <c:pt idx="349">
                  <c:v>9964.4500000000007</c:v>
                </c:pt>
                <c:pt idx="350">
                  <c:v>9700.9</c:v>
                </c:pt>
                <c:pt idx="351">
                  <c:v>9683.75</c:v>
                </c:pt>
                <c:pt idx="352">
                  <c:v>9658.85</c:v>
                </c:pt>
                <c:pt idx="353">
                  <c:v>9533.5499999999993</c:v>
                </c:pt>
                <c:pt idx="354">
                  <c:v>9565.25</c:v>
                </c:pt>
                <c:pt idx="355">
                  <c:v>9363.9500000000007</c:v>
                </c:pt>
                <c:pt idx="356">
                  <c:v>9382.75</c:v>
                </c:pt>
                <c:pt idx="357">
                  <c:v>9463.7999999999993</c:v>
                </c:pt>
                <c:pt idx="358">
                  <c:v>9506.25</c:v>
                </c:pt>
                <c:pt idx="359">
                  <c:v>9652.5499999999993</c:v>
                </c:pt>
                <c:pt idx="360">
                  <c:v>9817.85</c:v>
                </c:pt>
                <c:pt idx="361">
                  <c:v>9769.15</c:v>
                </c:pt>
                <c:pt idx="362">
                  <c:v>9863.75</c:v>
                </c:pt>
                <c:pt idx="363">
                  <c:v>9823.6</c:v>
                </c:pt>
                <c:pt idx="364">
                  <c:v>10005.1</c:v>
                </c:pt>
                <c:pt idx="365">
                  <c:v>10001.9</c:v>
                </c:pt>
                <c:pt idx="366">
                  <c:v>10038.15</c:v>
                </c:pt>
                <c:pt idx="367">
                  <c:v>9954.4</c:v>
                </c:pt>
                <c:pt idx="368">
                  <c:v>9749.15</c:v>
                </c:pt>
                <c:pt idx="369">
                  <c:v>9623.4500000000007</c:v>
                </c:pt>
                <c:pt idx="370">
                  <c:v>9600.7000000000007</c:v>
                </c:pt>
                <c:pt idx="371">
                  <c:v>9681.75</c:v>
                </c:pt>
                <c:pt idx="372">
                  <c:v>9600.75</c:v>
                </c:pt>
                <c:pt idx="373">
                  <c:v>9484.5499999999993</c:v>
                </c:pt>
                <c:pt idx="374">
                  <c:v>9453.25</c:v>
                </c:pt>
                <c:pt idx="375">
                  <c:v>9611.35</c:v>
                </c:pt>
                <c:pt idx="376">
                  <c:v>9632.9500000000007</c:v>
                </c:pt>
                <c:pt idx="377">
                  <c:v>9696.9500000000007</c:v>
                </c:pt>
                <c:pt idx="378">
                  <c:v>9593.5499999999993</c:v>
                </c:pt>
                <c:pt idx="379">
                  <c:v>9615.5</c:v>
                </c:pt>
                <c:pt idx="380">
                  <c:v>9697.9</c:v>
                </c:pt>
                <c:pt idx="381">
                  <c:v>9673.15</c:v>
                </c:pt>
                <c:pt idx="382">
                  <c:v>9641.0499999999993</c:v>
                </c:pt>
                <c:pt idx="383">
                  <c:v>9838.35</c:v>
                </c:pt>
                <c:pt idx="384">
                  <c:v>9978.4</c:v>
                </c:pt>
                <c:pt idx="385">
                  <c:v>10106.35</c:v>
                </c:pt>
                <c:pt idx="386">
                  <c:v>10135.5</c:v>
                </c:pt>
                <c:pt idx="387">
                  <c:v>9892.4</c:v>
                </c:pt>
                <c:pt idx="388">
                  <c:v>9804.9500000000007</c:v>
                </c:pt>
                <c:pt idx="389">
                  <c:v>9951.1</c:v>
                </c:pt>
                <c:pt idx="390">
                  <c:v>9930.0499999999993</c:v>
                </c:pt>
                <c:pt idx="391">
                  <c:v>10000.9</c:v>
                </c:pt>
                <c:pt idx="392">
                  <c:v>9961.2000000000007</c:v>
                </c:pt>
                <c:pt idx="393">
                  <c:v>9968.4</c:v>
                </c:pt>
                <c:pt idx="394">
                  <c:v>9978.9500000000007</c:v>
                </c:pt>
                <c:pt idx="395">
                  <c:v>9902.2000000000007</c:v>
                </c:pt>
                <c:pt idx="396">
                  <c:v>9916.2000000000007</c:v>
                </c:pt>
                <c:pt idx="397">
                  <c:v>9814.2999999999993</c:v>
                </c:pt>
                <c:pt idx="398">
                  <c:v>9787.7999999999993</c:v>
                </c:pt>
                <c:pt idx="399">
                  <c:v>9852.4</c:v>
                </c:pt>
                <c:pt idx="400">
                  <c:v>9963.85</c:v>
                </c:pt>
                <c:pt idx="401">
                  <c:v>9945.75</c:v>
                </c:pt>
                <c:pt idx="402">
                  <c:v>9997.65</c:v>
                </c:pt>
                <c:pt idx="403">
                  <c:v>10226.5</c:v>
                </c:pt>
                <c:pt idx="404">
                  <c:v>10048.75</c:v>
                </c:pt>
                <c:pt idx="405">
                  <c:v>9916.35</c:v>
                </c:pt>
                <c:pt idx="406">
                  <c:v>10098.549999999999</c:v>
                </c:pt>
                <c:pt idx="407">
                  <c:v>9922.2999999999993</c:v>
                </c:pt>
                <c:pt idx="408">
                  <c:v>10167.35</c:v>
                </c:pt>
                <c:pt idx="409">
                  <c:v>9963.6</c:v>
                </c:pt>
                <c:pt idx="410">
                  <c:v>10274.049999999999</c:v>
                </c:pt>
                <c:pt idx="411">
                  <c:v>9969.35</c:v>
                </c:pt>
                <c:pt idx="412">
                  <c:v>9990.5</c:v>
                </c:pt>
                <c:pt idx="413">
                  <c:v>9831</c:v>
                </c:pt>
                <c:pt idx="414">
                  <c:v>9997.4</c:v>
                </c:pt>
                <c:pt idx="415">
                  <c:v>10093.700000000001</c:v>
                </c:pt>
                <c:pt idx="416">
                  <c:v>9892.25</c:v>
                </c:pt>
                <c:pt idx="417">
                  <c:v>9854.65</c:v>
                </c:pt>
                <c:pt idx="418">
                  <c:v>9969.6</c:v>
                </c:pt>
                <c:pt idx="419">
                  <c:v>9954.5499999999993</c:v>
                </c:pt>
                <c:pt idx="420">
                  <c:v>9808.4500000000007</c:v>
                </c:pt>
                <c:pt idx="421">
                  <c:v>9920.4500000000007</c:v>
                </c:pt>
                <c:pt idx="422">
                  <c:v>9776.2000000000007</c:v>
                </c:pt>
                <c:pt idx="423">
                  <c:v>9899.1</c:v>
                </c:pt>
                <c:pt idx="424">
                  <c:v>9934.5</c:v>
                </c:pt>
                <c:pt idx="425">
                  <c:v>10016.049999999999</c:v>
                </c:pt>
                <c:pt idx="426">
                  <c:v>10014.799999999999</c:v>
                </c:pt>
                <c:pt idx="427">
                  <c:v>10111.549999999999</c:v>
                </c:pt>
                <c:pt idx="428">
                  <c:v>10204.700000000001</c:v>
                </c:pt>
                <c:pt idx="429">
                  <c:v>10464</c:v>
                </c:pt>
                <c:pt idx="430">
                  <c:v>10503.05</c:v>
                </c:pt>
                <c:pt idx="431">
                  <c:v>10426.299999999999</c:v>
                </c:pt>
                <c:pt idx="432">
                  <c:v>10436.1</c:v>
                </c:pt>
                <c:pt idx="433">
                  <c:v>10018.65</c:v>
                </c:pt>
                <c:pt idx="434">
                  <c:v>9969</c:v>
                </c:pt>
                <c:pt idx="435">
                  <c:v>9954.4500000000007</c:v>
                </c:pt>
                <c:pt idx="436">
                  <c:v>9887.4500000000007</c:v>
                </c:pt>
                <c:pt idx="437">
                  <c:v>10017.1</c:v>
                </c:pt>
                <c:pt idx="438">
                  <c:v>9970.35</c:v>
                </c:pt>
                <c:pt idx="439">
                  <c:v>10029.450000000001</c:v>
                </c:pt>
                <c:pt idx="440">
                  <c:v>9963.2999999999993</c:v>
                </c:pt>
                <c:pt idx="441">
                  <c:v>9739.15</c:v>
                </c:pt>
                <c:pt idx="442">
                  <c:v>9863.5</c:v>
                </c:pt>
                <c:pt idx="443">
                  <c:v>9670.9</c:v>
                </c:pt>
                <c:pt idx="444">
                  <c:v>9413.5499999999993</c:v>
                </c:pt>
                <c:pt idx="445">
                  <c:v>9354.5499999999993</c:v>
                </c:pt>
                <c:pt idx="446">
                  <c:v>9213</c:v>
                </c:pt>
                <c:pt idx="447">
                  <c:v>9329.75</c:v>
                </c:pt>
                <c:pt idx="448">
                  <c:v>9317.75</c:v>
                </c:pt>
                <c:pt idx="449">
                  <c:v>9033.85</c:v>
                </c:pt>
                <c:pt idx="450">
                  <c:v>9003.65</c:v>
                </c:pt>
                <c:pt idx="451">
                  <c:v>8732.75</c:v>
                </c:pt>
                <c:pt idx="452">
                  <c:v>8726.5</c:v>
                </c:pt>
                <c:pt idx="453">
                  <c:v>8556.2000000000007</c:v>
                </c:pt>
                <c:pt idx="454">
                  <c:v>8605.25</c:v>
                </c:pt>
                <c:pt idx="455">
                  <c:v>8759.9</c:v>
                </c:pt>
                <c:pt idx="456">
                  <c:v>8708.35</c:v>
                </c:pt>
                <c:pt idx="457">
                  <c:v>8661.5</c:v>
                </c:pt>
                <c:pt idx="458">
                  <c:v>8790.9500000000007</c:v>
                </c:pt>
                <c:pt idx="459">
                  <c:v>8775.0499999999993</c:v>
                </c:pt>
                <c:pt idx="460">
                  <c:v>8766.9</c:v>
                </c:pt>
                <c:pt idx="461">
                  <c:v>8677.4</c:v>
                </c:pt>
                <c:pt idx="462">
                  <c:v>8722.9500000000007</c:v>
                </c:pt>
                <c:pt idx="463">
                  <c:v>8710.85</c:v>
                </c:pt>
                <c:pt idx="464">
                  <c:v>8627.0499999999993</c:v>
                </c:pt>
                <c:pt idx="465">
                  <c:v>8698.85</c:v>
                </c:pt>
                <c:pt idx="466">
                  <c:v>8685.75</c:v>
                </c:pt>
                <c:pt idx="467">
                  <c:v>8640.9500000000007</c:v>
                </c:pt>
                <c:pt idx="468">
                  <c:v>8522.6</c:v>
                </c:pt>
                <c:pt idx="469">
                  <c:v>8459</c:v>
                </c:pt>
                <c:pt idx="470">
                  <c:v>8381.4500000000007</c:v>
                </c:pt>
                <c:pt idx="471">
                  <c:v>8422.25</c:v>
                </c:pt>
                <c:pt idx="472">
                  <c:v>8401.6</c:v>
                </c:pt>
                <c:pt idx="473">
                  <c:v>8210.15</c:v>
                </c:pt>
                <c:pt idx="474">
                  <c:v>8205.2999999999993</c:v>
                </c:pt>
                <c:pt idx="475">
                  <c:v>8256.35</c:v>
                </c:pt>
                <c:pt idx="476">
                  <c:v>8325.25</c:v>
                </c:pt>
                <c:pt idx="477">
                  <c:v>8461.0499999999993</c:v>
                </c:pt>
                <c:pt idx="478">
                  <c:v>8518.5499999999993</c:v>
                </c:pt>
                <c:pt idx="479">
                  <c:v>8278.2999999999993</c:v>
                </c:pt>
                <c:pt idx="480">
                  <c:v>8301.4</c:v>
                </c:pt>
                <c:pt idx="481">
                  <c:v>8292.2000000000007</c:v>
                </c:pt>
                <c:pt idx="482">
                  <c:v>8369</c:v>
                </c:pt>
                <c:pt idx="483">
                  <c:v>8351.75</c:v>
                </c:pt>
                <c:pt idx="484">
                  <c:v>8343</c:v>
                </c:pt>
                <c:pt idx="485">
                  <c:v>8158.3</c:v>
                </c:pt>
                <c:pt idx="486">
                  <c:v>8110.1</c:v>
                </c:pt>
                <c:pt idx="487">
                  <c:v>8195.4500000000007</c:v>
                </c:pt>
                <c:pt idx="488">
                  <c:v>8177.45</c:v>
                </c:pt>
                <c:pt idx="489">
                  <c:v>8120.85</c:v>
                </c:pt>
                <c:pt idx="490">
                  <c:v>8304.9</c:v>
                </c:pt>
                <c:pt idx="491">
                  <c:v>8254.85</c:v>
                </c:pt>
                <c:pt idx="492">
                  <c:v>8154.35</c:v>
                </c:pt>
                <c:pt idx="493">
                  <c:v>8262.7000000000007</c:v>
                </c:pt>
                <c:pt idx="494">
                  <c:v>8228.9</c:v>
                </c:pt>
                <c:pt idx="495">
                  <c:v>8206.2000000000007</c:v>
                </c:pt>
                <c:pt idx="496">
                  <c:v>8187.4</c:v>
                </c:pt>
                <c:pt idx="497">
                  <c:v>8313.5499999999993</c:v>
                </c:pt>
                <c:pt idx="498">
                  <c:v>8458.15</c:v>
                </c:pt>
                <c:pt idx="499">
                  <c:v>8628</c:v>
                </c:pt>
                <c:pt idx="500">
                  <c:v>8728.35</c:v>
                </c:pt>
                <c:pt idx="501">
                  <c:v>8687.9500000000007</c:v>
                </c:pt>
                <c:pt idx="502">
                  <c:v>8636.35</c:v>
                </c:pt>
                <c:pt idx="503">
                  <c:v>8571.65</c:v>
                </c:pt>
                <c:pt idx="504">
                  <c:v>8461.7000000000007</c:v>
                </c:pt>
                <c:pt idx="505">
                  <c:v>8430.5499999999993</c:v>
                </c:pt>
                <c:pt idx="506">
                  <c:v>8495.15</c:v>
                </c:pt>
                <c:pt idx="507">
                  <c:v>8537.4</c:v>
                </c:pt>
                <c:pt idx="508">
                  <c:v>8454.85</c:v>
                </c:pt>
                <c:pt idx="509">
                  <c:v>8582.5499999999993</c:v>
                </c:pt>
                <c:pt idx="510">
                  <c:v>8262.4</c:v>
                </c:pt>
                <c:pt idx="511">
                  <c:v>8297.4500000000007</c:v>
                </c:pt>
                <c:pt idx="512">
                  <c:v>8265.9500000000007</c:v>
                </c:pt>
                <c:pt idx="513">
                  <c:v>8199.7000000000007</c:v>
                </c:pt>
                <c:pt idx="514">
                  <c:v>8117.65</c:v>
                </c:pt>
                <c:pt idx="515">
                  <c:v>8071.45</c:v>
                </c:pt>
                <c:pt idx="516">
                  <c:v>8211.4</c:v>
                </c:pt>
                <c:pt idx="517">
                  <c:v>8161.9</c:v>
                </c:pt>
                <c:pt idx="518">
                  <c:v>8203.5</c:v>
                </c:pt>
                <c:pt idx="519">
                  <c:v>8219.2999999999993</c:v>
                </c:pt>
                <c:pt idx="520">
                  <c:v>8214.85</c:v>
                </c:pt>
                <c:pt idx="521">
                  <c:v>8207.35</c:v>
                </c:pt>
                <c:pt idx="522">
                  <c:v>8251.9</c:v>
                </c:pt>
                <c:pt idx="523">
                  <c:v>8054.3</c:v>
                </c:pt>
                <c:pt idx="524">
                  <c:v>8132.95</c:v>
                </c:pt>
                <c:pt idx="525">
                  <c:v>8102.2</c:v>
                </c:pt>
                <c:pt idx="526">
                  <c:v>8111.25</c:v>
                </c:pt>
                <c:pt idx="527">
                  <c:v>8156.85</c:v>
                </c:pt>
                <c:pt idx="528">
                  <c:v>8175.45</c:v>
                </c:pt>
                <c:pt idx="529">
                  <c:v>8158.15</c:v>
                </c:pt>
                <c:pt idx="530">
                  <c:v>8136.15</c:v>
                </c:pt>
                <c:pt idx="531">
                  <c:v>8287.7000000000007</c:v>
                </c:pt>
                <c:pt idx="532">
                  <c:v>8281.7999999999993</c:v>
                </c:pt>
                <c:pt idx="533">
                  <c:v>8318.15</c:v>
                </c:pt>
                <c:pt idx="534">
                  <c:v>8306.75</c:v>
                </c:pt>
                <c:pt idx="535">
                  <c:v>8288.25</c:v>
                </c:pt>
                <c:pt idx="536">
                  <c:v>8352.35</c:v>
                </c:pt>
                <c:pt idx="537">
                  <c:v>8393.2999999999993</c:v>
                </c:pt>
                <c:pt idx="538">
                  <c:v>8219.85</c:v>
                </c:pt>
                <c:pt idx="539">
                  <c:v>8119.2</c:v>
                </c:pt>
                <c:pt idx="540">
                  <c:v>8224.15</c:v>
                </c:pt>
                <c:pt idx="541">
                  <c:v>8329.2000000000007</c:v>
                </c:pt>
                <c:pt idx="542">
                  <c:v>8176</c:v>
                </c:pt>
                <c:pt idx="543">
                  <c:v>8251</c:v>
                </c:pt>
                <c:pt idx="544">
                  <c:v>8182.55</c:v>
                </c:pt>
                <c:pt idx="545">
                  <c:v>8234</c:v>
                </c:pt>
                <c:pt idx="546">
                  <c:v>8220.5</c:v>
                </c:pt>
                <c:pt idx="547">
                  <c:v>8325.9</c:v>
                </c:pt>
                <c:pt idx="548">
                  <c:v>8351.35</c:v>
                </c:pt>
                <c:pt idx="549">
                  <c:v>8336.4500000000007</c:v>
                </c:pt>
                <c:pt idx="550">
                  <c:v>8410.2000000000007</c:v>
                </c:pt>
                <c:pt idx="551">
                  <c:v>8377.2000000000007</c:v>
                </c:pt>
                <c:pt idx="552">
                  <c:v>8411.7000000000007</c:v>
                </c:pt>
                <c:pt idx="553">
                  <c:v>8463.7999999999993</c:v>
                </c:pt>
                <c:pt idx="554">
                  <c:v>8294.75</c:v>
                </c:pt>
                <c:pt idx="555">
                  <c:v>8260.65</c:v>
                </c:pt>
                <c:pt idx="556">
                  <c:v>8208.5</c:v>
                </c:pt>
                <c:pt idx="557">
                  <c:v>8167.1</c:v>
                </c:pt>
                <c:pt idx="558">
                  <c:v>8080.2</c:v>
                </c:pt>
                <c:pt idx="559">
                  <c:v>8162.75</c:v>
                </c:pt>
                <c:pt idx="560">
                  <c:v>8241.5499999999993</c:v>
                </c:pt>
                <c:pt idx="561">
                  <c:v>8243.4500000000007</c:v>
                </c:pt>
                <c:pt idx="562">
                  <c:v>8268.6</c:v>
                </c:pt>
                <c:pt idx="563">
                  <c:v>8333.25</c:v>
                </c:pt>
                <c:pt idx="564">
                  <c:v>8333.2000000000007</c:v>
                </c:pt>
                <c:pt idx="565">
                  <c:v>8358.2999999999993</c:v>
                </c:pt>
                <c:pt idx="566">
                  <c:v>8276.2999999999993</c:v>
                </c:pt>
                <c:pt idx="567">
                  <c:v>8198.6</c:v>
                </c:pt>
                <c:pt idx="568">
                  <c:v>8153.25</c:v>
                </c:pt>
                <c:pt idx="569">
                  <c:v>8100.15</c:v>
                </c:pt>
                <c:pt idx="570">
                  <c:v>8157.6</c:v>
                </c:pt>
                <c:pt idx="571">
                  <c:v>8109.55</c:v>
                </c:pt>
                <c:pt idx="572">
                  <c:v>7882</c:v>
                </c:pt>
                <c:pt idx="573">
                  <c:v>7850.65</c:v>
                </c:pt>
                <c:pt idx="574">
                  <c:v>7842.8</c:v>
                </c:pt>
                <c:pt idx="575">
                  <c:v>7870.05</c:v>
                </c:pt>
                <c:pt idx="576">
                  <c:v>7901.95</c:v>
                </c:pt>
                <c:pt idx="577">
                  <c:v>7840.55</c:v>
                </c:pt>
                <c:pt idx="578">
                  <c:v>7721.85</c:v>
                </c:pt>
                <c:pt idx="579">
                  <c:v>7621.75</c:v>
                </c:pt>
                <c:pt idx="580">
                  <c:v>7653.8</c:v>
                </c:pt>
                <c:pt idx="581">
                  <c:v>7654.25</c:v>
                </c:pt>
                <c:pt idx="582">
                  <c:v>7715.65</c:v>
                </c:pt>
                <c:pt idx="583">
                  <c:v>7681.3</c:v>
                </c:pt>
                <c:pt idx="584">
                  <c:v>7604.15</c:v>
                </c:pt>
                <c:pt idx="585">
                  <c:v>7700.45</c:v>
                </c:pt>
                <c:pt idx="586">
                  <c:v>7698.7</c:v>
                </c:pt>
                <c:pt idx="587">
                  <c:v>7760.95</c:v>
                </c:pt>
                <c:pt idx="588">
                  <c:v>7702.95</c:v>
                </c:pt>
                <c:pt idx="589">
                  <c:v>7835.45</c:v>
                </c:pt>
                <c:pt idx="590">
                  <c:v>7743.2</c:v>
                </c:pt>
                <c:pt idx="591">
                  <c:v>7716.25</c:v>
                </c:pt>
                <c:pt idx="592">
                  <c:v>7735.45</c:v>
                </c:pt>
                <c:pt idx="593">
                  <c:v>7628.8</c:v>
                </c:pt>
                <c:pt idx="594">
                  <c:v>7502.25</c:v>
                </c:pt>
                <c:pt idx="595">
                  <c:v>7507.2</c:v>
                </c:pt>
                <c:pt idx="596">
                  <c:v>7456.6</c:v>
                </c:pt>
                <c:pt idx="597">
                  <c:v>7556.2</c:v>
                </c:pt>
                <c:pt idx="598">
                  <c:v>7500.9</c:v>
                </c:pt>
                <c:pt idx="599">
                  <c:v>7456.9</c:v>
                </c:pt>
                <c:pt idx="600">
                  <c:v>7439.2</c:v>
                </c:pt>
                <c:pt idx="601">
                  <c:v>7440.55</c:v>
                </c:pt>
                <c:pt idx="602">
                  <c:v>7358.5</c:v>
                </c:pt>
                <c:pt idx="603">
                  <c:v>7475.8</c:v>
                </c:pt>
                <c:pt idx="604">
                  <c:v>7515.9</c:v>
                </c:pt>
                <c:pt idx="605">
                  <c:v>7595.3</c:v>
                </c:pt>
                <c:pt idx="606">
                  <c:v>7742.45</c:v>
                </c:pt>
                <c:pt idx="607">
                  <c:v>7655.25</c:v>
                </c:pt>
                <c:pt idx="608">
                  <c:v>7682.85</c:v>
                </c:pt>
                <c:pt idx="609">
                  <c:v>7741.45</c:v>
                </c:pt>
                <c:pt idx="610">
                  <c:v>7696.25</c:v>
                </c:pt>
                <c:pt idx="611">
                  <c:v>7701.85</c:v>
                </c:pt>
                <c:pt idx="612">
                  <c:v>7691.95</c:v>
                </c:pt>
                <c:pt idx="613">
                  <c:v>7640.5</c:v>
                </c:pt>
                <c:pt idx="614">
                  <c:v>7622.15</c:v>
                </c:pt>
                <c:pt idx="615">
                  <c:v>7570.75</c:v>
                </c:pt>
                <c:pt idx="616">
                  <c:v>7403.1</c:v>
                </c:pt>
                <c:pt idx="617">
                  <c:v>7450.2</c:v>
                </c:pt>
                <c:pt idx="618">
                  <c:v>7405.65</c:v>
                </c:pt>
                <c:pt idx="619">
                  <c:v>7407.95</c:v>
                </c:pt>
                <c:pt idx="620">
                  <c:v>7396.65</c:v>
                </c:pt>
                <c:pt idx="621">
                  <c:v>7352.75</c:v>
                </c:pt>
                <c:pt idx="622">
                  <c:v>7243.2</c:v>
                </c:pt>
                <c:pt idx="623">
                  <c:v>7289.95</c:v>
                </c:pt>
                <c:pt idx="624">
                  <c:v>7104.6</c:v>
                </c:pt>
                <c:pt idx="625">
                  <c:v>7100.75</c:v>
                </c:pt>
                <c:pt idx="626">
                  <c:v>7063.95</c:v>
                </c:pt>
                <c:pt idx="627">
                  <c:v>7075.6</c:v>
                </c:pt>
                <c:pt idx="628">
                  <c:v>7226.4</c:v>
                </c:pt>
                <c:pt idx="629">
                  <c:v>7242.95</c:v>
                </c:pt>
                <c:pt idx="630">
                  <c:v>7267.25</c:v>
                </c:pt>
                <c:pt idx="631">
                  <c:v>7200.6</c:v>
                </c:pt>
                <c:pt idx="632">
                  <c:v>7215.95</c:v>
                </c:pt>
                <c:pt idx="633">
                  <c:v>7289.2</c:v>
                </c:pt>
                <c:pt idx="634">
                  <c:v>7274.15</c:v>
                </c:pt>
                <c:pt idx="635">
                  <c:v>7261.3</c:v>
                </c:pt>
                <c:pt idx="636">
                  <c:v>7186.65</c:v>
                </c:pt>
                <c:pt idx="637">
                  <c:v>7216.7</c:v>
                </c:pt>
                <c:pt idx="638">
                  <c:v>7176.95</c:v>
                </c:pt>
                <c:pt idx="639">
                  <c:v>7205.75</c:v>
                </c:pt>
                <c:pt idx="640">
                  <c:v>7340.55</c:v>
                </c:pt>
                <c:pt idx="641">
                  <c:v>7426.85</c:v>
                </c:pt>
                <c:pt idx="642">
                  <c:v>7297.85</c:v>
                </c:pt>
                <c:pt idx="643">
                  <c:v>7171.75</c:v>
                </c:pt>
                <c:pt idx="644">
                  <c:v>7151.85</c:v>
                </c:pt>
                <c:pt idx="645">
                  <c:v>7139.2</c:v>
                </c:pt>
                <c:pt idx="646">
                  <c:v>7179.25</c:v>
                </c:pt>
                <c:pt idx="647">
                  <c:v>7206.05</c:v>
                </c:pt>
                <c:pt idx="648">
                  <c:v>7179.75</c:v>
                </c:pt>
                <c:pt idx="649">
                  <c:v>7250.35</c:v>
                </c:pt>
                <c:pt idx="650">
                  <c:v>7071.8</c:v>
                </c:pt>
                <c:pt idx="651">
                  <c:v>7127.25</c:v>
                </c:pt>
                <c:pt idx="652">
                  <c:v>7189.2</c:v>
                </c:pt>
                <c:pt idx="653">
                  <c:v>7167.65</c:v>
                </c:pt>
                <c:pt idx="654">
                  <c:v>7141.4</c:v>
                </c:pt>
                <c:pt idx="655">
                  <c:v>7085.55</c:v>
                </c:pt>
                <c:pt idx="656">
                  <c:v>6887.7</c:v>
                </c:pt>
                <c:pt idx="657">
                  <c:v>6715.6</c:v>
                </c:pt>
                <c:pt idx="658">
                  <c:v>6705.1</c:v>
                </c:pt>
                <c:pt idx="659">
                  <c:v>6809.7</c:v>
                </c:pt>
                <c:pt idx="660">
                  <c:v>6849.75</c:v>
                </c:pt>
                <c:pt idx="661">
                  <c:v>7177.15</c:v>
                </c:pt>
                <c:pt idx="662">
                  <c:v>7212.35</c:v>
                </c:pt>
                <c:pt idx="663">
                  <c:v>7283.45</c:v>
                </c:pt>
                <c:pt idx="664">
                  <c:v>7377.65</c:v>
                </c:pt>
                <c:pt idx="665">
                  <c:v>7284.85</c:v>
                </c:pt>
                <c:pt idx="666">
                  <c:v>7248.9</c:v>
                </c:pt>
                <c:pt idx="667">
                  <c:v>7153.35</c:v>
                </c:pt>
                <c:pt idx="668">
                  <c:v>7021.95</c:v>
                </c:pt>
                <c:pt idx="669">
                  <c:v>6920.3</c:v>
                </c:pt>
                <c:pt idx="670">
                  <c:v>7034.85</c:v>
                </c:pt>
                <c:pt idx="671">
                  <c:v>6982.2</c:v>
                </c:pt>
                <c:pt idx="672">
                  <c:v>7007</c:v>
                </c:pt>
                <c:pt idx="673">
                  <c:v>7005.35</c:v>
                </c:pt>
                <c:pt idx="674">
                  <c:v>6993.6</c:v>
                </c:pt>
                <c:pt idx="675">
                  <c:v>7017.95</c:v>
                </c:pt>
                <c:pt idx="676">
                  <c:v>6959.05</c:v>
                </c:pt>
                <c:pt idx="677">
                  <c:v>6982.2</c:v>
                </c:pt>
                <c:pt idx="678">
                  <c:v>7053.8</c:v>
                </c:pt>
                <c:pt idx="679">
                  <c:v>7107.2</c:v>
                </c:pt>
                <c:pt idx="680">
                  <c:v>7074</c:v>
                </c:pt>
                <c:pt idx="681">
                  <c:v>6909.4</c:v>
                </c:pt>
                <c:pt idx="682">
                  <c:v>7012.4</c:v>
                </c:pt>
                <c:pt idx="683">
                  <c:v>6950.7</c:v>
                </c:pt>
                <c:pt idx="684">
                  <c:v>7098</c:v>
                </c:pt>
                <c:pt idx="685">
                  <c:v>7076</c:v>
                </c:pt>
                <c:pt idx="686">
                  <c:v>7014.1</c:v>
                </c:pt>
                <c:pt idx="687">
                  <c:v>7113.9</c:v>
                </c:pt>
                <c:pt idx="688">
                  <c:v>7197.55</c:v>
                </c:pt>
                <c:pt idx="689">
                  <c:v>7225.3</c:v>
                </c:pt>
                <c:pt idx="690">
                  <c:v>7146.85</c:v>
                </c:pt>
                <c:pt idx="691">
                  <c:v>7077.4</c:v>
                </c:pt>
                <c:pt idx="692">
                  <c:v>7179.05</c:v>
                </c:pt>
                <c:pt idx="693">
                  <c:v>7162.2</c:v>
                </c:pt>
                <c:pt idx="694">
                  <c:v>7242.05</c:v>
                </c:pt>
                <c:pt idx="695">
                  <c:v>7198.6</c:v>
                </c:pt>
                <c:pt idx="696">
                  <c:v>7237.05</c:v>
                </c:pt>
                <c:pt idx="697">
                  <c:v>7274</c:v>
                </c:pt>
                <c:pt idx="698">
                  <c:v>7077</c:v>
                </c:pt>
                <c:pt idx="699">
                  <c:v>6928.9</c:v>
                </c:pt>
                <c:pt idx="700">
                  <c:v>6892.3</c:v>
                </c:pt>
                <c:pt idx="701">
                  <c:v>6874</c:v>
                </c:pt>
                <c:pt idx="702">
                  <c:v>6860.2</c:v>
                </c:pt>
                <c:pt idx="703">
                  <c:v>6824.05</c:v>
                </c:pt>
                <c:pt idx="704">
                  <c:v>6843.05</c:v>
                </c:pt>
                <c:pt idx="705">
                  <c:v>6754.85</c:v>
                </c:pt>
                <c:pt idx="706">
                  <c:v>6814.45</c:v>
                </c:pt>
                <c:pt idx="707">
                  <c:v>6871.85</c:v>
                </c:pt>
                <c:pt idx="708">
                  <c:v>6912</c:v>
                </c:pt>
                <c:pt idx="709">
                  <c:v>6964.55</c:v>
                </c:pt>
                <c:pt idx="710">
                  <c:v>6854.4</c:v>
                </c:pt>
                <c:pt idx="711">
                  <c:v>6813.2</c:v>
                </c:pt>
                <c:pt idx="712">
                  <c:v>6801.3</c:v>
                </c:pt>
                <c:pt idx="713">
                  <c:v>6903.5</c:v>
                </c:pt>
                <c:pt idx="714">
                  <c:v>6973.5</c:v>
                </c:pt>
                <c:pt idx="715">
                  <c:v>6893.05</c:v>
                </c:pt>
                <c:pt idx="716">
                  <c:v>6728.25</c:v>
                </c:pt>
                <c:pt idx="717">
                  <c:v>6779.9</c:v>
                </c:pt>
                <c:pt idx="718">
                  <c:v>6820.9</c:v>
                </c:pt>
                <c:pt idx="719">
                  <c:v>6714.95</c:v>
                </c:pt>
                <c:pt idx="720">
                  <c:v>6445.85</c:v>
                </c:pt>
                <c:pt idx="721">
                  <c:v>6436.8</c:v>
                </c:pt>
                <c:pt idx="722">
                  <c:v>6415.7</c:v>
                </c:pt>
                <c:pt idx="723">
                  <c:v>6394.6</c:v>
                </c:pt>
                <c:pt idx="724">
                  <c:v>6362.9</c:v>
                </c:pt>
                <c:pt idx="725">
                  <c:v>6302.3</c:v>
                </c:pt>
                <c:pt idx="726">
                  <c:v>6398.4</c:v>
                </c:pt>
                <c:pt idx="727">
                  <c:v>6346.75</c:v>
                </c:pt>
                <c:pt idx="728">
                  <c:v>6271.5</c:v>
                </c:pt>
                <c:pt idx="729">
                  <c:v>6192</c:v>
                </c:pt>
                <c:pt idx="730">
                  <c:v>6181.75</c:v>
                </c:pt>
                <c:pt idx="731">
                  <c:v>6177.7</c:v>
                </c:pt>
                <c:pt idx="732">
                  <c:v>6076.75</c:v>
                </c:pt>
                <c:pt idx="733">
                  <c:v>6149.9</c:v>
                </c:pt>
                <c:pt idx="734">
                  <c:v>6203.5</c:v>
                </c:pt>
                <c:pt idx="735">
                  <c:v>6287.25</c:v>
                </c:pt>
                <c:pt idx="736">
                  <c:v>6307.55</c:v>
                </c:pt>
                <c:pt idx="737">
                  <c:v>6242.55</c:v>
                </c:pt>
                <c:pt idx="738">
                  <c:v>6255.1</c:v>
                </c:pt>
                <c:pt idx="739">
                  <c:v>6175.9</c:v>
                </c:pt>
                <c:pt idx="740">
                  <c:v>6172.95</c:v>
                </c:pt>
                <c:pt idx="741">
                  <c:v>6192.85</c:v>
                </c:pt>
                <c:pt idx="742">
                  <c:v>6177.1</c:v>
                </c:pt>
                <c:pt idx="743">
                  <c:v>6139.95</c:v>
                </c:pt>
                <c:pt idx="744">
                  <c:v>6239.4</c:v>
                </c:pt>
                <c:pt idx="745">
                  <c:v>6313.75</c:v>
                </c:pt>
                <c:pt idx="746">
                  <c:v>6484.65</c:v>
                </c:pt>
                <c:pt idx="747">
                  <c:v>6459.85</c:v>
                </c:pt>
                <c:pt idx="748">
                  <c:v>6481.4</c:v>
                </c:pt>
                <c:pt idx="749">
                  <c:v>6790.05</c:v>
                </c:pt>
                <c:pt idx="750">
                  <c:v>6875.75</c:v>
                </c:pt>
                <c:pt idx="751">
                  <c:v>6896.3</c:v>
                </c:pt>
                <c:pt idx="752">
                  <c:v>6869.6</c:v>
                </c:pt>
                <c:pt idx="753">
                  <c:v>6783.65</c:v>
                </c:pt>
                <c:pt idx="754">
                  <c:v>6919.65</c:v>
                </c:pt>
                <c:pt idx="755">
                  <c:v>6770.8</c:v>
                </c:pt>
                <c:pt idx="756">
                  <c:v>6495.5</c:v>
                </c:pt>
                <c:pt idx="757">
                  <c:v>6521.95</c:v>
                </c:pt>
                <c:pt idx="758">
                  <c:v>6577.5</c:v>
                </c:pt>
                <c:pt idx="759">
                  <c:v>6632.5</c:v>
                </c:pt>
                <c:pt idx="760">
                  <c:v>6677.85</c:v>
                </c:pt>
                <c:pt idx="761">
                  <c:v>6506.3</c:v>
                </c:pt>
                <c:pt idx="762">
                  <c:v>6517.15</c:v>
                </c:pt>
                <c:pt idx="763">
                  <c:v>6475.05</c:v>
                </c:pt>
                <c:pt idx="764">
                  <c:v>6508.35</c:v>
                </c:pt>
                <c:pt idx="765">
                  <c:v>6495.4</c:v>
                </c:pt>
                <c:pt idx="766">
                  <c:v>6467.5</c:v>
                </c:pt>
                <c:pt idx="767">
                  <c:v>6647.55</c:v>
                </c:pt>
                <c:pt idx="768">
                  <c:v>6703.95</c:v>
                </c:pt>
                <c:pt idx="769">
                  <c:v>6609.85</c:v>
                </c:pt>
                <c:pt idx="770">
                  <c:v>6656</c:v>
                </c:pt>
                <c:pt idx="771">
                  <c:v>6559.3</c:v>
                </c:pt>
                <c:pt idx="772">
                  <c:v>6597.1</c:v>
                </c:pt>
                <c:pt idx="773">
                  <c:v>6595.65</c:v>
                </c:pt>
                <c:pt idx="774">
                  <c:v>6677.85</c:v>
                </c:pt>
                <c:pt idx="775">
                  <c:v>6775.2</c:v>
                </c:pt>
                <c:pt idx="776">
                  <c:v>6588.05</c:v>
                </c:pt>
                <c:pt idx="777">
                  <c:v>6602.7</c:v>
                </c:pt>
                <c:pt idx="778">
                  <c:v>6651.3</c:v>
                </c:pt>
                <c:pt idx="779">
                  <c:v>6657.65</c:v>
                </c:pt>
                <c:pt idx="780">
                  <c:v>6544.8</c:v>
                </c:pt>
                <c:pt idx="781">
                  <c:v>6471.25</c:v>
                </c:pt>
                <c:pt idx="782">
                  <c:v>6535.35</c:v>
                </c:pt>
                <c:pt idx="783">
                  <c:v>6399.65</c:v>
                </c:pt>
                <c:pt idx="784">
                  <c:v>6382.9</c:v>
                </c:pt>
                <c:pt idx="785">
                  <c:v>6458.7</c:v>
                </c:pt>
                <c:pt idx="786">
                  <c:v>6130.7</c:v>
                </c:pt>
                <c:pt idx="787">
                  <c:v>6089</c:v>
                </c:pt>
                <c:pt idx="788">
                  <c:v>6085.85</c:v>
                </c:pt>
                <c:pt idx="789">
                  <c:v>5982.4</c:v>
                </c:pt>
                <c:pt idx="790">
                  <c:v>5807.05</c:v>
                </c:pt>
                <c:pt idx="791">
                  <c:v>5735.05</c:v>
                </c:pt>
                <c:pt idx="792">
                  <c:v>5798.95</c:v>
                </c:pt>
                <c:pt idx="793">
                  <c:v>5778.85</c:v>
                </c:pt>
                <c:pt idx="794">
                  <c:v>5854.25</c:v>
                </c:pt>
                <c:pt idx="795">
                  <c:v>5839.1</c:v>
                </c:pt>
                <c:pt idx="796">
                  <c:v>5838.85</c:v>
                </c:pt>
                <c:pt idx="797">
                  <c:v>5828.05</c:v>
                </c:pt>
                <c:pt idx="798">
                  <c:v>5729.95</c:v>
                </c:pt>
                <c:pt idx="799">
                  <c:v>5709.05</c:v>
                </c:pt>
                <c:pt idx="800">
                  <c:v>5691.7</c:v>
                </c:pt>
                <c:pt idx="801">
                  <c:v>5607.3</c:v>
                </c:pt>
                <c:pt idx="802">
                  <c:v>5618.3</c:v>
                </c:pt>
                <c:pt idx="803">
                  <c:v>5572.75</c:v>
                </c:pt>
                <c:pt idx="804">
                  <c:v>5560.25</c:v>
                </c:pt>
                <c:pt idx="805">
                  <c:v>5468.3</c:v>
                </c:pt>
                <c:pt idx="806">
                  <c:v>5410.3</c:v>
                </c:pt>
                <c:pt idx="807">
                  <c:v>5409.95</c:v>
                </c:pt>
                <c:pt idx="808">
                  <c:v>5418.9</c:v>
                </c:pt>
                <c:pt idx="809">
                  <c:v>5333.3</c:v>
                </c:pt>
                <c:pt idx="810">
                  <c:v>5177.3</c:v>
                </c:pt>
                <c:pt idx="811">
                  <c:v>5305.25</c:v>
                </c:pt>
                <c:pt idx="812">
                  <c:v>5454.15</c:v>
                </c:pt>
                <c:pt idx="813">
                  <c:v>5428.6</c:v>
                </c:pt>
                <c:pt idx="814">
                  <c:v>5356.15</c:v>
                </c:pt>
                <c:pt idx="815">
                  <c:v>5511.05</c:v>
                </c:pt>
                <c:pt idx="816">
                  <c:v>5481.9</c:v>
                </c:pt>
                <c:pt idx="817">
                  <c:v>5531.85</c:v>
                </c:pt>
                <c:pt idx="818">
                  <c:v>5555.2</c:v>
                </c:pt>
                <c:pt idx="819">
                  <c:v>5581.35</c:v>
                </c:pt>
                <c:pt idx="820">
                  <c:v>5678.85</c:v>
                </c:pt>
                <c:pt idx="821">
                  <c:v>6007.85</c:v>
                </c:pt>
                <c:pt idx="822">
                  <c:v>5975.65</c:v>
                </c:pt>
                <c:pt idx="823">
                  <c:v>6082.6</c:v>
                </c:pt>
                <c:pt idx="824">
                  <c:v>6102.65</c:v>
                </c:pt>
                <c:pt idx="825">
                  <c:v>5948</c:v>
                </c:pt>
                <c:pt idx="826">
                  <c:v>5874.25</c:v>
                </c:pt>
                <c:pt idx="827">
                  <c:v>5792.2</c:v>
                </c:pt>
                <c:pt idx="828">
                  <c:v>5868.05</c:v>
                </c:pt>
                <c:pt idx="829">
                  <c:v>5916.3</c:v>
                </c:pt>
                <c:pt idx="830">
                  <c:v>6128.65</c:v>
                </c:pt>
                <c:pt idx="831">
                  <c:v>6072.6</c:v>
                </c:pt>
                <c:pt idx="832">
                  <c:v>6233.75</c:v>
                </c:pt>
                <c:pt idx="833">
                  <c:v>6107.75</c:v>
                </c:pt>
                <c:pt idx="834">
                  <c:v>6012.8</c:v>
                </c:pt>
                <c:pt idx="835">
                  <c:v>6196.55</c:v>
                </c:pt>
                <c:pt idx="836">
                  <c:v>6185.45</c:v>
                </c:pt>
                <c:pt idx="837">
                  <c:v>6340.2</c:v>
                </c:pt>
                <c:pt idx="838">
                  <c:v>6366.45</c:v>
                </c:pt>
                <c:pt idx="839">
                  <c:v>6224.6</c:v>
                </c:pt>
                <c:pt idx="840">
                  <c:v>6200.2</c:v>
                </c:pt>
                <c:pt idx="841">
                  <c:v>6355.7</c:v>
                </c:pt>
                <c:pt idx="842">
                  <c:v>6521.95</c:v>
                </c:pt>
                <c:pt idx="843">
                  <c:v>6679</c:v>
                </c:pt>
                <c:pt idx="844">
                  <c:v>6630.25</c:v>
                </c:pt>
                <c:pt idx="845">
                  <c:v>6616.95</c:v>
                </c:pt>
                <c:pt idx="846">
                  <c:v>6548.45</c:v>
                </c:pt>
                <c:pt idx="847">
                  <c:v>6660.2</c:v>
                </c:pt>
                <c:pt idx="848">
                  <c:v>6595.05</c:v>
                </c:pt>
                <c:pt idx="849">
                  <c:v>6744.1</c:v>
                </c:pt>
                <c:pt idx="850">
                  <c:v>6846.5</c:v>
                </c:pt>
                <c:pt idx="851">
                  <c:v>6807.15</c:v>
                </c:pt>
                <c:pt idx="852">
                  <c:v>6585.7</c:v>
                </c:pt>
                <c:pt idx="853">
                  <c:v>6639.6</c:v>
                </c:pt>
                <c:pt idx="854">
                  <c:v>6730.05</c:v>
                </c:pt>
                <c:pt idx="855">
                  <c:v>6775.55</c:v>
                </c:pt>
                <c:pt idx="856">
                  <c:v>6858.75</c:v>
                </c:pt>
                <c:pt idx="857">
                  <c:v>6837</c:v>
                </c:pt>
                <c:pt idx="858">
                  <c:v>6736.65</c:v>
                </c:pt>
                <c:pt idx="859">
                  <c:v>6736.15</c:v>
                </c:pt>
                <c:pt idx="860">
                  <c:v>6726.15</c:v>
                </c:pt>
                <c:pt idx="861">
                  <c:v>6743.9</c:v>
                </c:pt>
                <c:pt idx="862">
                  <c:v>6670.55</c:v>
                </c:pt>
                <c:pt idx="863">
                  <c:v>6602.3</c:v>
                </c:pt>
                <c:pt idx="864">
                  <c:v>6642.7</c:v>
                </c:pt>
                <c:pt idx="865">
                  <c:v>6526.6</c:v>
                </c:pt>
                <c:pt idx="866">
                  <c:v>6359.95</c:v>
                </c:pt>
                <c:pt idx="867">
                  <c:v>6312.7</c:v>
                </c:pt>
                <c:pt idx="868">
                  <c:v>6351.85</c:v>
                </c:pt>
                <c:pt idx="869">
                  <c:v>6234</c:v>
                </c:pt>
                <c:pt idx="870">
                  <c:v>6211.6</c:v>
                </c:pt>
                <c:pt idx="871">
                  <c:v>6191.25</c:v>
                </c:pt>
                <c:pt idx="872">
                  <c:v>6373.6</c:v>
                </c:pt>
                <c:pt idx="873">
                  <c:v>6305.9</c:v>
                </c:pt>
                <c:pt idx="874">
                  <c:v>6021.25</c:v>
                </c:pt>
                <c:pt idx="875">
                  <c:v>6035.9</c:v>
                </c:pt>
                <c:pt idx="876">
                  <c:v>6021</c:v>
                </c:pt>
                <c:pt idx="877">
                  <c:v>6052.55</c:v>
                </c:pt>
                <c:pt idx="878">
                  <c:v>6017.35</c:v>
                </c:pt>
                <c:pt idx="879">
                  <c:v>5833.45</c:v>
                </c:pt>
                <c:pt idx="880">
                  <c:v>5698.1</c:v>
                </c:pt>
                <c:pt idx="881">
                  <c:v>6050.3</c:v>
                </c:pt>
                <c:pt idx="882">
                  <c:v>5980.7</c:v>
                </c:pt>
                <c:pt idx="883">
                  <c:v>6399.35</c:v>
                </c:pt>
                <c:pt idx="884">
                  <c:v>6567.9</c:v>
                </c:pt>
                <c:pt idx="885">
                  <c:v>6570.25</c:v>
                </c:pt>
                <c:pt idx="886">
                  <c:v>6418.45</c:v>
                </c:pt>
                <c:pt idx="887">
                  <c:v>6780.2</c:v>
                </c:pt>
                <c:pt idx="888">
                  <c:v>6749.55</c:v>
                </c:pt>
                <c:pt idx="889">
                  <c:v>6813.45</c:v>
                </c:pt>
                <c:pt idx="890">
                  <c:v>6916.6</c:v>
                </c:pt>
                <c:pt idx="891">
                  <c:v>7045.95</c:v>
                </c:pt>
                <c:pt idx="892">
                  <c:v>7178.9</c:v>
                </c:pt>
                <c:pt idx="893">
                  <c:v>7290.3</c:v>
                </c:pt>
                <c:pt idx="894">
                  <c:v>7089.1</c:v>
                </c:pt>
                <c:pt idx="895">
                  <c:v>7323.6</c:v>
                </c:pt>
                <c:pt idx="896">
                  <c:v>7474.5</c:v>
                </c:pt>
                <c:pt idx="897">
                  <c:v>7504.05</c:v>
                </c:pt>
                <c:pt idx="898">
                  <c:v>7421.35</c:v>
                </c:pt>
                <c:pt idx="899">
                  <c:v>7469.35</c:v>
                </c:pt>
                <c:pt idx="900">
                  <c:v>7439.65</c:v>
                </c:pt>
                <c:pt idx="901">
                  <c:v>7375.35</c:v>
                </c:pt>
                <c:pt idx="902">
                  <c:v>7441</c:v>
                </c:pt>
                <c:pt idx="903">
                  <c:v>7516.25</c:v>
                </c:pt>
                <c:pt idx="904">
                  <c:v>7216.4</c:v>
                </c:pt>
                <c:pt idx="905">
                  <c:v>7109.85</c:v>
                </c:pt>
                <c:pt idx="906">
                  <c:v>7100.7</c:v>
                </c:pt>
                <c:pt idx="907">
                  <c:v>7098.35</c:v>
                </c:pt>
                <c:pt idx="908">
                  <c:v>7156</c:v>
                </c:pt>
                <c:pt idx="909">
                  <c:v>7357.65</c:v>
                </c:pt>
                <c:pt idx="910">
                  <c:v>7465.5</c:v>
                </c:pt>
                <c:pt idx="911">
                  <c:v>7434.4</c:v>
                </c:pt>
                <c:pt idx="912">
                  <c:v>7555.9</c:v>
                </c:pt>
                <c:pt idx="913">
                  <c:v>7870.1</c:v>
                </c:pt>
                <c:pt idx="914">
                  <c:v>7660.55</c:v>
                </c:pt>
                <c:pt idx="915">
                  <c:v>7606.8</c:v>
                </c:pt>
                <c:pt idx="916">
                  <c:v>7658.7</c:v>
                </c:pt>
                <c:pt idx="917">
                  <c:v>7606.3</c:v>
                </c:pt>
                <c:pt idx="918">
                  <c:v>7585.15</c:v>
                </c:pt>
                <c:pt idx="919">
                  <c:v>7557.95</c:v>
                </c:pt>
                <c:pt idx="920">
                  <c:v>7458.55</c:v>
                </c:pt>
                <c:pt idx="921">
                  <c:v>7659.55</c:v>
                </c:pt>
                <c:pt idx="922">
                  <c:v>7650.35</c:v>
                </c:pt>
                <c:pt idx="923">
                  <c:v>7723.9</c:v>
                </c:pt>
                <c:pt idx="924">
                  <c:v>7591.05</c:v>
                </c:pt>
                <c:pt idx="925">
                  <c:v>7397.2</c:v>
                </c:pt>
                <c:pt idx="926">
                  <c:v>7420.95</c:v>
                </c:pt>
                <c:pt idx="927">
                  <c:v>7406.1</c:v>
                </c:pt>
                <c:pt idx="928">
                  <c:v>7245.05</c:v>
                </c:pt>
                <c:pt idx="929">
                  <c:v>7224.8</c:v>
                </c:pt>
                <c:pt idx="930">
                  <c:v>7340.6</c:v>
                </c:pt>
                <c:pt idx="931">
                  <c:v>7377.25</c:v>
                </c:pt>
                <c:pt idx="932">
                  <c:v>7327.35</c:v>
                </c:pt>
                <c:pt idx="933">
                  <c:v>7160.85</c:v>
                </c:pt>
                <c:pt idx="934">
                  <c:v>7337.35</c:v>
                </c:pt>
                <c:pt idx="935">
                  <c:v>7413.75</c:v>
                </c:pt>
                <c:pt idx="936">
                  <c:v>7371.35</c:v>
                </c:pt>
                <c:pt idx="937">
                  <c:v>7386.4</c:v>
                </c:pt>
                <c:pt idx="938">
                  <c:v>7414.45</c:v>
                </c:pt>
                <c:pt idx="939">
                  <c:v>7440.45</c:v>
                </c:pt>
                <c:pt idx="940">
                  <c:v>7433.85</c:v>
                </c:pt>
                <c:pt idx="941">
                  <c:v>7423.95</c:v>
                </c:pt>
                <c:pt idx="942">
                  <c:v>7299.4</c:v>
                </c:pt>
                <c:pt idx="943">
                  <c:v>7214.6</c:v>
                </c:pt>
                <c:pt idx="944">
                  <c:v>7332.45</c:v>
                </c:pt>
                <c:pt idx="945">
                  <c:v>7323.2</c:v>
                </c:pt>
                <c:pt idx="946">
                  <c:v>7322.6</c:v>
                </c:pt>
                <c:pt idx="947">
                  <c:v>7433.75</c:v>
                </c:pt>
                <c:pt idx="948">
                  <c:v>7388.25</c:v>
                </c:pt>
                <c:pt idx="949">
                  <c:v>7394.75</c:v>
                </c:pt>
                <c:pt idx="950">
                  <c:v>7608.8</c:v>
                </c:pt>
                <c:pt idx="951">
                  <c:v>7577.3</c:v>
                </c:pt>
                <c:pt idx="952">
                  <c:v>7657.95</c:v>
                </c:pt>
                <c:pt idx="953">
                  <c:v>7653.8</c:v>
                </c:pt>
                <c:pt idx="954">
                  <c:v>7767.7</c:v>
                </c:pt>
                <c:pt idx="955">
                  <c:v>7857.7</c:v>
                </c:pt>
                <c:pt idx="956">
                  <c:v>7882.4</c:v>
                </c:pt>
                <c:pt idx="957">
                  <c:v>8050.8</c:v>
                </c:pt>
                <c:pt idx="958">
                  <c:v>8080.75</c:v>
                </c:pt>
                <c:pt idx="959">
                  <c:v>8050.65</c:v>
                </c:pt>
                <c:pt idx="960">
                  <c:v>8106.8</c:v>
                </c:pt>
                <c:pt idx="961">
                  <c:v>8166</c:v>
                </c:pt>
                <c:pt idx="962">
                  <c:v>8214.0499999999993</c:v>
                </c:pt>
                <c:pt idx="963">
                  <c:v>7880.8</c:v>
                </c:pt>
                <c:pt idx="964">
                  <c:v>7887.85</c:v>
                </c:pt>
                <c:pt idx="965">
                  <c:v>7713.35</c:v>
                </c:pt>
                <c:pt idx="966">
                  <c:v>7775.1</c:v>
                </c:pt>
                <c:pt idx="967">
                  <c:v>7636.05</c:v>
                </c:pt>
                <c:pt idx="968">
                  <c:v>7446.65</c:v>
                </c:pt>
                <c:pt idx="969">
                  <c:v>7354.2</c:v>
                </c:pt>
                <c:pt idx="970">
                  <c:v>7269.1</c:v>
                </c:pt>
                <c:pt idx="971">
                  <c:v>7149.8</c:v>
                </c:pt>
                <c:pt idx="972">
                  <c:v>7149.6</c:v>
                </c:pt>
                <c:pt idx="973">
                  <c:v>7129</c:v>
                </c:pt>
                <c:pt idx="974">
                  <c:v>7129.6</c:v>
                </c:pt>
                <c:pt idx="975">
                  <c:v>7170.1</c:v>
                </c:pt>
                <c:pt idx="976">
                  <c:v>7399.3</c:v>
                </c:pt>
                <c:pt idx="977">
                  <c:v>7395.5</c:v>
                </c:pt>
                <c:pt idx="978">
                  <c:v>7350.4</c:v>
                </c:pt>
                <c:pt idx="979">
                  <c:v>7250.15</c:v>
                </c:pt>
                <c:pt idx="980">
                  <c:v>7330.25</c:v>
                </c:pt>
                <c:pt idx="981">
                  <c:v>7335.75</c:v>
                </c:pt>
                <c:pt idx="982">
                  <c:v>7354.6</c:v>
                </c:pt>
                <c:pt idx="983">
                  <c:v>7363</c:v>
                </c:pt>
                <c:pt idx="984">
                  <c:v>7464</c:v>
                </c:pt>
                <c:pt idx="985">
                  <c:v>7515.6</c:v>
                </c:pt>
                <c:pt idx="986">
                  <c:v>7483.55</c:v>
                </c:pt>
                <c:pt idx="987">
                  <c:v>7396.1</c:v>
                </c:pt>
                <c:pt idx="988">
                  <c:v>7464.55</c:v>
                </c:pt>
                <c:pt idx="989">
                  <c:v>7588.3</c:v>
                </c:pt>
                <c:pt idx="990">
                  <c:v>7622.9</c:v>
                </c:pt>
                <c:pt idx="991">
                  <c:v>7521.5</c:v>
                </c:pt>
                <c:pt idx="992">
                  <c:v>7619.7</c:v>
                </c:pt>
                <c:pt idx="993">
                  <c:v>7625.6</c:v>
                </c:pt>
                <c:pt idx="994">
                  <c:v>7592.7</c:v>
                </c:pt>
                <c:pt idx="995">
                  <c:v>7576</c:v>
                </c:pt>
                <c:pt idx="996">
                  <c:v>7711.85</c:v>
                </c:pt>
                <c:pt idx="997">
                  <c:v>7765.45</c:v>
                </c:pt>
                <c:pt idx="998">
                  <c:v>7820.85</c:v>
                </c:pt>
                <c:pt idx="999">
                  <c:v>7856.45</c:v>
                </c:pt>
                <c:pt idx="1000">
                  <c:v>7944.45</c:v>
                </c:pt>
                <c:pt idx="1001">
                  <c:v>7939.65</c:v>
                </c:pt>
                <c:pt idx="1002">
                  <c:v>7992.9</c:v>
                </c:pt>
                <c:pt idx="1003">
                  <c:v>8026.25</c:v>
                </c:pt>
                <c:pt idx="1004">
                  <c:v>7952.6</c:v>
                </c:pt>
                <c:pt idx="1005">
                  <c:v>7929.85</c:v>
                </c:pt>
                <c:pt idx="1006">
                  <c:v>7952.75</c:v>
                </c:pt>
                <c:pt idx="1007">
                  <c:v>7766.95</c:v>
                </c:pt>
                <c:pt idx="1008">
                  <c:v>7832.45</c:v>
                </c:pt>
                <c:pt idx="1009">
                  <c:v>7703.8</c:v>
                </c:pt>
                <c:pt idx="1010">
                  <c:v>7565.6</c:v>
                </c:pt>
                <c:pt idx="1011">
                  <c:v>7307.1</c:v>
                </c:pt>
                <c:pt idx="1012">
                  <c:v>7382.35</c:v>
                </c:pt>
                <c:pt idx="1013">
                  <c:v>7455.35</c:v>
                </c:pt>
                <c:pt idx="1014">
                  <c:v>7351</c:v>
                </c:pt>
                <c:pt idx="1015">
                  <c:v>7493.35</c:v>
                </c:pt>
                <c:pt idx="1016">
                  <c:v>7601.45</c:v>
                </c:pt>
                <c:pt idx="1017">
                  <c:v>7409.05</c:v>
                </c:pt>
                <c:pt idx="1018">
                  <c:v>7346.65</c:v>
                </c:pt>
                <c:pt idx="1019">
                  <c:v>7460.7</c:v>
                </c:pt>
                <c:pt idx="1020">
                  <c:v>7468.7</c:v>
                </c:pt>
                <c:pt idx="1021">
                  <c:v>7452.45</c:v>
                </c:pt>
                <c:pt idx="1022">
                  <c:v>7474.15</c:v>
                </c:pt>
                <c:pt idx="1023">
                  <c:v>7495.65</c:v>
                </c:pt>
                <c:pt idx="1024">
                  <c:v>7527.65</c:v>
                </c:pt>
                <c:pt idx="1025">
                  <c:v>7659</c:v>
                </c:pt>
                <c:pt idx="1026">
                  <c:v>7750</c:v>
                </c:pt>
                <c:pt idx="1027">
                  <c:v>7843.25</c:v>
                </c:pt>
                <c:pt idx="1028">
                  <c:v>7642.05</c:v>
                </c:pt>
                <c:pt idx="1029">
                  <c:v>7619.2</c:v>
                </c:pt>
                <c:pt idx="1030">
                  <c:v>7700.45</c:v>
                </c:pt>
                <c:pt idx="1031">
                  <c:v>7654.65</c:v>
                </c:pt>
                <c:pt idx="1032">
                  <c:v>7596.25</c:v>
                </c:pt>
                <c:pt idx="1033">
                  <c:v>7616.7</c:v>
                </c:pt>
                <c:pt idx="1034">
                  <c:v>7490.3</c:v>
                </c:pt>
                <c:pt idx="1035">
                  <c:v>7459</c:v>
                </c:pt>
                <c:pt idx="1036">
                  <c:v>7424.7</c:v>
                </c:pt>
                <c:pt idx="1037">
                  <c:v>7312.35</c:v>
                </c:pt>
                <c:pt idx="1038">
                  <c:v>7334.55</c:v>
                </c:pt>
                <c:pt idx="1039">
                  <c:v>7189.65</c:v>
                </c:pt>
                <c:pt idx="1040">
                  <c:v>7118.05</c:v>
                </c:pt>
                <c:pt idx="1041">
                  <c:v>7128.85</c:v>
                </c:pt>
                <c:pt idx="1042">
                  <c:v>7093.75</c:v>
                </c:pt>
                <c:pt idx="1043">
                  <c:v>6899.55</c:v>
                </c:pt>
                <c:pt idx="1044">
                  <c:v>6901.9</c:v>
                </c:pt>
                <c:pt idx="1045">
                  <c:v>6925.1</c:v>
                </c:pt>
                <c:pt idx="1046">
                  <c:v>6933.05</c:v>
                </c:pt>
                <c:pt idx="1047">
                  <c:v>6719.85</c:v>
                </c:pt>
                <c:pt idx="1048">
                  <c:v>6719.9</c:v>
                </c:pt>
                <c:pt idx="1049">
                  <c:v>6707.25</c:v>
                </c:pt>
                <c:pt idx="1050">
                  <c:v>6776</c:v>
                </c:pt>
                <c:pt idx="1051">
                  <c:v>6824.7</c:v>
                </c:pt>
                <c:pt idx="1052">
                  <c:v>6869.45</c:v>
                </c:pt>
                <c:pt idx="1053">
                  <c:v>6923</c:v>
                </c:pt>
                <c:pt idx="1054">
                  <c:v>6961.95</c:v>
                </c:pt>
                <c:pt idx="1055">
                  <c:v>6903.35</c:v>
                </c:pt>
                <c:pt idx="1056">
                  <c:v>6858.95</c:v>
                </c:pt>
                <c:pt idx="1057">
                  <c:v>6775.5</c:v>
                </c:pt>
                <c:pt idx="1058">
                  <c:v>6693.9</c:v>
                </c:pt>
                <c:pt idx="1059">
                  <c:v>6704.85</c:v>
                </c:pt>
                <c:pt idx="1060">
                  <c:v>6587.4</c:v>
                </c:pt>
                <c:pt idx="1061">
                  <c:v>6668.3</c:v>
                </c:pt>
                <c:pt idx="1062">
                  <c:v>6678.5</c:v>
                </c:pt>
                <c:pt idx="1063">
                  <c:v>6662.85</c:v>
                </c:pt>
                <c:pt idx="1064">
                  <c:v>6709.65</c:v>
                </c:pt>
                <c:pt idx="1065">
                  <c:v>6724.75</c:v>
                </c:pt>
                <c:pt idx="1066">
                  <c:v>6794.4</c:v>
                </c:pt>
                <c:pt idx="1067">
                  <c:v>6849.65</c:v>
                </c:pt>
                <c:pt idx="1068">
                  <c:v>6664.3</c:v>
                </c:pt>
                <c:pt idx="1069">
                  <c:v>6641.7</c:v>
                </c:pt>
                <c:pt idx="1070">
                  <c:v>6594.2</c:v>
                </c:pt>
                <c:pt idx="1071">
                  <c:v>6601.35</c:v>
                </c:pt>
                <c:pt idx="1072">
                  <c:v>6708</c:v>
                </c:pt>
                <c:pt idx="1073">
                  <c:v>6598.5</c:v>
                </c:pt>
                <c:pt idx="1074">
                  <c:v>6673.25</c:v>
                </c:pt>
                <c:pt idx="1075">
                  <c:v>6580.9</c:v>
                </c:pt>
                <c:pt idx="1076">
                  <c:v>6556.6</c:v>
                </c:pt>
                <c:pt idx="1077">
                  <c:v>6562.4</c:v>
                </c:pt>
                <c:pt idx="1078">
                  <c:v>6637.6</c:v>
                </c:pt>
                <c:pt idx="1079">
                  <c:v>6573.85</c:v>
                </c:pt>
                <c:pt idx="1080">
                  <c:v>6561.2</c:v>
                </c:pt>
                <c:pt idx="1081">
                  <c:v>6653</c:v>
                </c:pt>
                <c:pt idx="1082">
                  <c:v>6532.35</c:v>
                </c:pt>
                <c:pt idx="1083">
                  <c:v>6368.1</c:v>
                </c:pt>
                <c:pt idx="1084">
                  <c:v>6388.85</c:v>
                </c:pt>
                <c:pt idx="1085">
                  <c:v>6490.6</c:v>
                </c:pt>
                <c:pt idx="1086">
                  <c:v>6403.1</c:v>
                </c:pt>
                <c:pt idx="1087">
                  <c:v>6481.9</c:v>
                </c:pt>
                <c:pt idx="1088">
                  <c:v>6405.45</c:v>
                </c:pt>
                <c:pt idx="1089">
                  <c:v>6380.35</c:v>
                </c:pt>
                <c:pt idx="1090">
                  <c:v>6296.45</c:v>
                </c:pt>
                <c:pt idx="1091">
                  <c:v>6350.15</c:v>
                </c:pt>
                <c:pt idx="1092">
                  <c:v>6278.95</c:v>
                </c:pt>
                <c:pt idx="1093">
                  <c:v>6382.45</c:v>
                </c:pt>
                <c:pt idx="1094">
                  <c:v>6360.8</c:v>
                </c:pt>
                <c:pt idx="1095">
                  <c:v>6326.8</c:v>
                </c:pt>
                <c:pt idx="1096">
                  <c:v>6275.9</c:v>
                </c:pt>
                <c:pt idx="1097">
                  <c:v>6067.9</c:v>
                </c:pt>
                <c:pt idx="1098">
                  <c:v>6092.3</c:v>
                </c:pt>
                <c:pt idx="1099">
                  <c:v>6200.85</c:v>
                </c:pt>
                <c:pt idx="1100">
                  <c:v>6509.75</c:v>
                </c:pt>
                <c:pt idx="1101">
                  <c:v>6715.2</c:v>
                </c:pt>
                <c:pt idx="1102">
                  <c:v>6539.3</c:v>
                </c:pt>
                <c:pt idx="1103">
                  <c:v>6604.45</c:v>
                </c:pt>
                <c:pt idx="1104">
                  <c:v>6509.4</c:v>
                </c:pt>
                <c:pt idx="1105">
                  <c:v>6825.85</c:v>
                </c:pt>
                <c:pt idx="1106">
                  <c:v>6971.25</c:v>
                </c:pt>
                <c:pt idx="1107">
                  <c:v>6760.05</c:v>
                </c:pt>
                <c:pt idx="1108">
                  <c:v>6736.65</c:v>
                </c:pt>
                <c:pt idx="1109">
                  <c:v>6795.8</c:v>
                </c:pt>
                <c:pt idx="1110">
                  <c:v>6898.85</c:v>
                </c:pt>
                <c:pt idx="1111">
                  <c:v>6737.95</c:v>
                </c:pt>
                <c:pt idx="1112">
                  <c:v>6785.6</c:v>
                </c:pt>
                <c:pt idx="1113">
                  <c:v>6735.25</c:v>
                </c:pt>
                <c:pt idx="1114">
                  <c:v>6666.5</c:v>
                </c:pt>
                <c:pt idx="1115">
                  <c:v>6858.65</c:v>
                </c:pt>
                <c:pt idx="1116">
                  <c:v>6939.1</c:v>
                </c:pt>
                <c:pt idx="1117">
                  <c:v>6728</c:v>
                </c:pt>
                <c:pt idx="1118">
                  <c:v>6672</c:v>
                </c:pt>
                <c:pt idx="1119">
                  <c:v>6510.05</c:v>
                </c:pt>
                <c:pt idx="1120">
                  <c:v>6520.25</c:v>
                </c:pt>
                <c:pt idx="1121">
                  <c:v>6639.95</c:v>
                </c:pt>
                <c:pt idx="1122">
                  <c:v>6561.45</c:v>
                </c:pt>
                <c:pt idx="1123">
                  <c:v>6638.15</c:v>
                </c:pt>
                <c:pt idx="1124">
                  <c:v>6764.05</c:v>
                </c:pt>
                <c:pt idx="1125">
                  <c:v>6697.4</c:v>
                </c:pt>
                <c:pt idx="1126">
                  <c:v>6668.15</c:v>
                </c:pt>
                <c:pt idx="1127">
                  <c:v>6810.3</c:v>
                </c:pt>
                <c:pt idx="1128">
                  <c:v>6775.55</c:v>
                </c:pt>
                <c:pt idx="1129">
                  <c:v>6500.5</c:v>
                </c:pt>
                <c:pt idx="1130">
                  <c:v>6423.1</c:v>
                </c:pt>
                <c:pt idx="1131">
                  <c:v>6365.05</c:v>
                </c:pt>
                <c:pt idx="1132">
                  <c:v>6115</c:v>
                </c:pt>
                <c:pt idx="1133">
                  <c:v>6383.3</c:v>
                </c:pt>
                <c:pt idx="1134">
                  <c:v>6414.55</c:v>
                </c:pt>
                <c:pt idx="1135">
                  <c:v>6268.45</c:v>
                </c:pt>
                <c:pt idx="1136">
                  <c:v>6175.1</c:v>
                </c:pt>
                <c:pt idx="1137">
                  <c:v>6208.5</c:v>
                </c:pt>
                <c:pt idx="1138">
                  <c:v>6325.85</c:v>
                </c:pt>
                <c:pt idx="1139">
                  <c:v>6419.2</c:v>
                </c:pt>
                <c:pt idx="1140">
                  <c:v>6457.8</c:v>
                </c:pt>
                <c:pt idx="1141">
                  <c:v>6407.75</c:v>
                </c:pt>
                <c:pt idx="1142">
                  <c:v>6397.25</c:v>
                </c:pt>
                <c:pt idx="1143">
                  <c:v>6427.15</c:v>
                </c:pt>
                <c:pt idx="1144">
                  <c:v>6392.15</c:v>
                </c:pt>
                <c:pt idx="1145">
                  <c:v>6420.4</c:v>
                </c:pt>
                <c:pt idx="1146">
                  <c:v>6368.15</c:v>
                </c:pt>
                <c:pt idx="1147">
                  <c:v>6352.1</c:v>
                </c:pt>
                <c:pt idx="1148">
                  <c:v>6182.8</c:v>
                </c:pt>
                <c:pt idx="1149">
                  <c:v>6074.7</c:v>
                </c:pt>
                <c:pt idx="1150">
                  <c:v>6123.55</c:v>
                </c:pt>
                <c:pt idx="1151">
                  <c:v>5744.15</c:v>
                </c:pt>
                <c:pt idx="1152">
                  <c:v>5327.25</c:v>
                </c:pt>
                <c:pt idx="1153">
                  <c:v>5443.7</c:v>
                </c:pt>
                <c:pt idx="1154">
                  <c:v>5404.85</c:v>
                </c:pt>
                <c:pt idx="1155">
                  <c:v>5368.4</c:v>
                </c:pt>
                <c:pt idx="1156">
                  <c:v>5534.8</c:v>
                </c:pt>
                <c:pt idx="1157">
                  <c:v>5543.45</c:v>
                </c:pt>
                <c:pt idx="1158">
                  <c:v>5547.1</c:v>
                </c:pt>
                <c:pt idx="1159">
                  <c:v>5490.1</c:v>
                </c:pt>
                <c:pt idx="1160">
                  <c:v>5386</c:v>
                </c:pt>
                <c:pt idx="1161">
                  <c:v>5452.25</c:v>
                </c:pt>
                <c:pt idx="1162">
                  <c:v>5582.35</c:v>
                </c:pt>
                <c:pt idx="1163">
                  <c:v>5650.75</c:v>
                </c:pt>
                <c:pt idx="1164">
                  <c:v>5639</c:v>
                </c:pt>
                <c:pt idx="1165">
                  <c:v>5623.7</c:v>
                </c:pt>
                <c:pt idx="1166">
                  <c:v>5591.75</c:v>
                </c:pt>
                <c:pt idx="1167">
                  <c:v>5397.95</c:v>
                </c:pt>
                <c:pt idx="1168">
                  <c:v>5448.35</c:v>
                </c:pt>
                <c:pt idx="1169">
                  <c:v>5341.2</c:v>
                </c:pt>
                <c:pt idx="1170">
                  <c:v>5327.2</c:v>
                </c:pt>
                <c:pt idx="1171">
                  <c:v>5290.8</c:v>
                </c:pt>
                <c:pt idx="1172">
                  <c:v>5288.15</c:v>
                </c:pt>
                <c:pt idx="1173">
                  <c:v>5354.75</c:v>
                </c:pt>
                <c:pt idx="1174">
                  <c:v>5146.75</c:v>
                </c:pt>
                <c:pt idx="1175">
                  <c:v>5142.1499999999996</c:v>
                </c:pt>
                <c:pt idx="1176">
                  <c:v>5044.75</c:v>
                </c:pt>
                <c:pt idx="1177">
                  <c:v>5033.95</c:v>
                </c:pt>
                <c:pt idx="1178">
                  <c:v>5021.3</c:v>
                </c:pt>
                <c:pt idx="1179">
                  <c:v>5007.8500000000004</c:v>
                </c:pt>
                <c:pt idx="1180">
                  <c:v>5152.5</c:v>
                </c:pt>
                <c:pt idx="1181">
                  <c:v>5171.8</c:v>
                </c:pt>
                <c:pt idx="1182">
                  <c:v>5113</c:v>
                </c:pt>
                <c:pt idx="1183">
                  <c:v>5156.8500000000004</c:v>
                </c:pt>
                <c:pt idx="1184">
                  <c:v>5073.75</c:v>
                </c:pt>
                <c:pt idx="1185">
                  <c:v>5015</c:v>
                </c:pt>
                <c:pt idx="1186">
                  <c:v>4964.3</c:v>
                </c:pt>
                <c:pt idx="1187">
                  <c:v>5144.8</c:v>
                </c:pt>
                <c:pt idx="1188">
                  <c:v>5217.75</c:v>
                </c:pt>
                <c:pt idx="1189">
                  <c:v>5056.5</c:v>
                </c:pt>
                <c:pt idx="1190">
                  <c:v>5091.3999999999996</c:v>
                </c:pt>
                <c:pt idx="1191">
                  <c:v>4893.5</c:v>
                </c:pt>
                <c:pt idx="1192">
                  <c:v>4933.1000000000004</c:v>
                </c:pt>
                <c:pt idx="1193">
                  <c:v>4910.5</c:v>
                </c:pt>
                <c:pt idx="1194">
                  <c:v>4802</c:v>
                </c:pt>
                <c:pt idx="1195">
                  <c:v>4834.1499999999996</c:v>
                </c:pt>
                <c:pt idx="1196">
                  <c:v>4819.8500000000004</c:v>
                </c:pt>
                <c:pt idx="1197">
                  <c:v>4873.2</c:v>
                </c:pt>
                <c:pt idx="1198">
                  <c:v>4889.5</c:v>
                </c:pt>
                <c:pt idx="1199">
                  <c:v>4862.55</c:v>
                </c:pt>
                <c:pt idx="1200">
                  <c:v>4778</c:v>
                </c:pt>
                <c:pt idx="1201">
                  <c:v>4927.5</c:v>
                </c:pt>
                <c:pt idx="1202">
                  <c:v>4909.05</c:v>
                </c:pt>
                <c:pt idx="1203">
                  <c:v>4899.75</c:v>
                </c:pt>
                <c:pt idx="1204">
                  <c:v>4846.1000000000004</c:v>
                </c:pt>
                <c:pt idx="1205">
                  <c:v>4823.8</c:v>
                </c:pt>
                <c:pt idx="1206">
                  <c:v>4719.55</c:v>
                </c:pt>
                <c:pt idx="1207">
                  <c:v>4625.25</c:v>
                </c:pt>
                <c:pt idx="1208">
                  <c:v>4556</c:v>
                </c:pt>
                <c:pt idx="1209">
                  <c:v>4617.8999999999996</c:v>
                </c:pt>
                <c:pt idx="1210">
                  <c:v>4531.6000000000004</c:v>
                </c:pt>
                <c:pt idx="1211">
                  <c:v>4549.55</c:v>
                </c:pt>
                <c:pt idx="1212">
                  <c:v>4550.8</c:v>
                </c:pt>
                <c:pt idx="1213">
                  <c:v>4574.05</c:v>
                </c:pt>
                <c:pt idx="1214">
                  <c:v>4576.8</c:v>
                </c:pt>
                <c:pt idx="1215">
                  <c:v>4469.3</c:v>
                </c:pt>
                <c:pt idx="1216">
                  <c:v>4566.95</c:v>
                </c:pt>
                <c:pt idx="1217">
                  <c:v>4485.3999999999996</c:v>
                </c:pt>
                <c:pt idx="1218">
                  <c:v>4504.55</c:v>
                </c:pt>
                <c:pt idx="1219">
                  <c:v>4614.55</c:v>
                </c:pt>
                <c:pt idx="1220">
                  <c:v>4629.1000000000004</c:v>
                </c:pt>
                <c:pt idx="1221">
                  <c:v>4544.3500000000004</c:v>
                </c:pt>
                <c:pt idx="1222">
                  <c:v>4514.6000000000004</c:v>
                </c:pt>
                <c:pt idx="1223">
                  <c:v>4482.1000000000004</c:v>
                </c:pt>
                <c:pt idx="1224">
                  <c:v>4383.3</c:v>
                </c:pt>
                <c:pt idx="1225">
                  <c:v>4442.8500000000004</c:v>
                </c:pt>
                <c:pt idx="1226">
                  <c:v>4382.75</c:v>
                </c:pt>
                <c:pt idx="1227">
                  <c:v>4306.3</c:v>
                </c:pt>
                <c:pt idx="1228">
                  <c:v>4298.3500000000004</c:v>
                </c:pt>
                <c:pt idx="1229">
                  <c:v>4346</c:v>
                </c:pt>
                <c:pt idx="1230">
                  <c:v>4213.3500000000004</c:v>
                </c:pt>
                <c:pt idx="1231">
                  <c:v>4136.1000000000004</c:v>
                </c:pt>
                <c:pt idx="1232">
                  <c:v>4047.15</c:v>
                </c:pt>
                <c:pt idx="1233">
                  <c:v>4097.75</c:v>
                </c:pt>
                <c:pt idx="1234">
                  <c:v>4049.55</c:v>
                </c:pt>
                <c:pt idx="1235">
                  <c:v>4062.1</c:v>
                </c:pt>
                <c:pt idx="1236">
                  <c:v>3922</c:v>
                </c:pt>
                <c:pt idx="1237">
                  <c:v>3858.5</c:v>
                </c:pt>
                <c:pt idx="1238">
                  <c:v>3777.8</c:v>
                </c:pt>
                <c:pt idx="1239">
                  <c:v>3869.15</c:v>
                </c:pt>
                <c:pt idx="1240">
                  <c:v>3883.15</c:v>
                </c:pt>
              </c:numCache>
            </c:numRef>
          </c:val>
          <c:smooth val="0"/>
          <c:extLst xmlns:c16r2="http://schemas.microsoft.com/office/drawing/2015/06/chart">
            <c:ext xmlns:c16="http://schemas.microsoft.com/office/drawing/2014/chart" uri="{C3380CC4-5D6E-409C-BE32-E72D297353CC}">
              <c16:uniqueId val="{00000000-EFE1-4F59-A392-84094C7ACF34}"/>
            </c:ext>
          </c:extLst>
        </c:ser>
        <c:dLbls>
          <c:showLegendKey val="0"/>
          <c:showVal val="0"/>
          <c:showCatName val="0"/>
          <c:showSerName val="0"/>
          <c:showPercent val="0"/>
          <c:showBubbleSize val="0"/>
        </c:dLbls>
        <c:smooth val="0"/>
        <c:axId val="-1502546848"/>
        <c:axId val="-1502555008"/>
      </c:lineChart>
      <c:catAx>
        <c:axId val="-1502546848"/>
        <c:scaling>
          <c:orientation val="maxMin"/>
        </c:scaling>
        <c:delete val="0"/>
        <c:axPos val="b"/>
        <c:numFmt formatCode="General" sourceLinked="1"/>
        <c:majorTickMark val="none"/>
        <c:minorTickMark val="none"/>
        <c:tickLblPos val="nextTo"/>
        <c:spPr>
          <a:noFill/>
          <a:ln w="9525" cap="flat" cmpd="sng" algn="ctr">
            <a:solidFill>
              <a:schemeClr val="bg1">
                <a:lumMod val="95000"/>
              </a:schemeClr>
            </a:solidFill>
            <a:round/>
          </a:ln>
          <a:effectLst>
            <a:outerShdw blurRad="50800" dist="38100" dir="5400000" algn="t" rotWithShape="0">
              <a:prstClr val="black">
                <a:alpha val="40000"/>
              </a:prstClr>
            </a:outerShdw>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502555008"/>
        <c:crosses val="autoZero"/>
        <c:auto val="1"/>
        <c:lblAlgn val="ctr"/>
        <c:lblOffset val="100"/>
        <c:noMultiLvlLbl val="0"/>
      </c:catAx>
      <c:valAx>
        <c:axId val="-1502555008"/>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solidFill>
              <a:schemeClr val="bg1">
                <a:lumMod val="95000"/>
              </a:schemeClr>
            </a:solid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546848"/>
        <c:crosses val="max"/>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rgbClr val="FFFF00"/>
              </a:solidFill>
              <a:round/>
            </a:ln>
            <a:effectLst/>
          </c:spPr>
          <c:marker>
            <c:symbol val="none"/>
          </c:marker>
          <c:cat>
            <c:numRef>
              <c:f>'DATA HISTORICAL'!$M$6:$M$1178</c:f>
              <c:numCache>
                <c:formatCode>General</c:formatCode>
                <c:ptCount val="1173"/>
                <c:pt idx="0">
                  <c:v>2025</c:v>
                </c:pt>
                <c:pt idx="181">
                  <c:v>2024</c:v>
                </c:pt>
                <c:pt idx="430">
                  <c:v>2023</c:v>
                </c:pt>
                <c:pt idx="676">
                  <c:v>2022</c:v>
                </c:pt>
                <c:pt idx="924">
                  <c:v>2021</c:v>
                </c:pt>
                <c:pt idx="1172">
                  <c:v>2020</c:v>
                </c:pt>
              </c:numCache>
            </c:numRef>
          </c:cat>
          <c:val>
            <c:numRef>
              <c:f>'DATA HISTORICAL'!$N$6:$N$1246</c:f>
              <c:numCache>
                <c:formatCode>General</c:formatCode>
                <c:ptCount val="1241"/>
                <c:pt idx="0">
                  <c:v>443</c:v>
                </c:pt>
                <c:pt idx="1">
                  <c:v>571</c:v>
                </c:pt>
                <c:pt idx="2">
                  <c:v>190</c:v>
                </c:pt>
                <c:pt idx="3">
                  <c:v>264</c:v>
                </c:pt>
                <c:pt idx="4">
                  <c:v>189</c:v>
                </c:pt>
                <c:pt idx="5">
                  <c:v>179</c:v>
                </c:pt>
                <c:pt idx="6">
                  <c:v>153</c:v>
                </c:pt>
                <c:pt idx="7">
                  <c:v>132</c:v>
                </c:pt>
                <c:pt idx="8">
                  <c:v>175</c:v>
                </c:pt>
                <c:pt idx="9">
                  <c:v>240</c:v>
                </c:pt>
                <c:pt idx="10">
                  <c:v>126</c:v>
                </c:pt>
                <c:pt idx="11">
                  <c:v>153</c:v>
                </c:pt>
                <c:pt idx="12">
                  <c:v>305</c:v>
                </c:pt>
                <c:pt idx="13">
                  <c:v>140</c:v>
                </c:pt>
                <c:pt idx="14">
                  <c:v>214</c:v>
                </c:pt>
                <c:pt idx="15">
                  <c:v>214</c:v>
                </c:pt>
                <c:pt idx="16">
                  <c:v>177</c:v>
                </c:pt>
                <c:pt idx="17">
                  <c:v>283</c:v>
                </c:pt>
                <c:pt idx="18">
                  <c:v>290</c:v>
                </c:pt>
                <c:pt idx="19">
                  <c:v>199</c:v>
                </c:pt>
                <c:pt idx="20">
                  <c:v>226</c:v>
                </c:pt>
                <c:pt idx="21">
                  <c:v>155</c:v>
                </c:pt>
                <c:pt idx="22">
                  <c:v>290</c:v>
                </c:pt>
                <c:pt idx="23">
                  <c:v>351</c:v>
                </c:pt>
                <c:pt idx="24">
                  <c:v>808</c:v>
                </c:pt>
                <c:pt idx="25">
                  <c:v>235</c:v>
                </c:pt>
                <c:pt idx="26">
                  <c:v>207</c:v>
                </c:pt>
                <c:pt idx="27">
                  <c:v>334</c:v>
                </c:pt>
                <c:pt idx="28">
                  <c:v>218</c:v>
                </c:pt>
                <c:pt idx="29">
                  <c:v>201</c:v>
                </c:pt>
                <c:pt idx="30">
                  <c:v>202</c:v>
                </c:pt>
                <c:pt idx="31">
                  <c:v>192</c:v>
                </c:pt>
                <c:pt idx="32">
                  <c:v>267</c:v>
                </c:pt>
                <c:pt idx="33">
                  <c:v>207</c:v>
                </c:pt>
                <c:pt idx="34">
                  <c:v>212</c:v>
                </c:pt>
                <c:pt idx="35">
                  <c:v>150</c:v>
                </c:pt>
                <c:pt idx="36">
                  <c:v>185</c:v>
                </c:pt>
                <c:pt idx="37">
                  <c:v>208</c:v>
                </c:pt>
                <c:pt idx="38">
                  <c:v>214</c:v>
                </c:pt>
                <c:pt idx="39">
                  <c:v>290</c:v>
                </c:pt>
                <c:pt idx="40">
                  <c:v>180</c:v>
                </c:pt>
                <c:pt idx="41">
                  <c:v>189</c:v>
                </c:pt>
                <c:pt idx="42">
                  <c:v>533</c:v>
                </c:pt>
                <c:pt idx="43">
                  <c:v>512</c:v>
                </c:pt>
                <c:pt idx="44">
                  <c:v>98</c:v>
                </c:pt>
                <c:pt idx="45">
                  <c:v>166</c:v>
                </c:pt>
                <c:pt idx="46">
                  <c:v>156</c:v>
                </c:pt>
                <c:pt idx="47">
                  <c:v>154</c:v>
                </c:pt>
                <c:pt idx="48">
                  <c:v>278</c:v>
                </c:pt>
                <c:pt idx="49">
                  <c:v>240</c:v>
                </c:pt>
                <c:pt idx="50">
                  <c:v>269</c:v>
                </c:pt>
                <c:pt idx="51">
                  <c:v>379</c:v>
                </c:pt>
                <c:pt idx="52">
                  <c:v>219</c:v>
                </c:pt>
                <c:pt idx="53">
                  <c:v>149</c:v>
                </c:pt>
                <c:pt idx="54">
                  <c:v>191</c:v>
                </c:pt>
                <c:pt idx="55">
                  <c:v>275</c:v>
                </c:pt>
                <c:pt idx="56">
                  <c:v>445</c:v>
                </c:pt>
                <c:pt idx="57">
                  <c:v>207</c:v>
                </c:pt>
                <c:pt idx="58">
                  <c:v>333</c:v>
                </c:pt>
                <c:pt idx="59">
                  <c:v>501</c:v>
                </c:pt>
                <c:pt idx="60">
                  <c:v>506</c:v>
                </c:pt>
                <c:pt idx="61">
                  <c:v>253</c:v>
                </c:pt>
                <c:pt idx="62">
                  <c:v>735</c:v>
                </c:pt>
                <c:pt idx="63">
                  <c:v>304</c:v>
                </c:pt>
                <c:pt idx="64">
                  <c:v>629</c:v>
                </c:pt>
                <c:pt idx="65">
                  <c:v>157</c:v>
                </c:pt>
                <c:pt idx="66">
                  <c:v>156</c:v>
                </c:pt>
                <c:pt idx="67">
                  <c:v>121</c:v>
                </c:pt>
                <c:pt idx="68">
                  <c:v>401</c:v>
                </c:pt>
                <c:pt idx="69">
                  <c:v>181</c:v>
                </c:pt>
                <c:pt idx="70">
                  <c:v>262</c:v>
                </c:pt>
                <c:pt idx="71">
                  <c:v>237</c:v>
                </c:pt>
                <c:pt idx="72">
                  <c:v>279</c:v>
                </c:pt>
                <c:pt idx="73">
                  <c:v>209</c:v>
                </c:pt>
                <c:pt idx="74">
                  <c:v>143</c:v>
                </c:pt>
                <c:pt idx="75">
                  <c:v>191</c:v>
                </c:pt>
                <c:pt idx="76">
                  <c:v>345</c:v>
                </c:pt>
                <c:pt idx="77">
                  <c:v>349</c:v>
                </c:pt>
                <c:pt idx="78">
                  <c:v>314</c:v>
                </c:pt>
                <c:pt idx="79">
                  <c:v>394</c:v>
                </c:pt>
                <c:pt idx="80">
                  <c:v>350</c:v>
                </c:pt>
                <c:pt idx="81">
                  <c:v>201</c:v>
                </c:pt>
                <c:pt idx="82">
                  <c:v>478</c:v>
                </c:pt>
                <c:pt idx="83">
                  <c:v>198</c:v>
                </c:pt>
                <c:pt idx="84">
                  <c:v>181</c:v>
                </c:pt>
                <c:pt idx="85">
                  <c:v>175</c:v>
                </c:pt>
                <c:pt idx="86">
                  <c:v>173</c:v>
                </c:pt>
                <c:pt idx="87">
                  <c:v>158</c:v>
                </c:pt>
                <c:pt idx="88">
                  <c:v>128</c:v>
                </c:pt>
                <c:pt idx="89">
                  <c:v>209</c:v>
                </c:pt>
                <c:pt idx="90">
                  <c:v>371</c:v>
                </c:pt>
                <c:pt idx="91">
                  <c:v>179</c:v>
                </c:pt>
                <c:pt idx="92">
                  <c:v>307</c:v>
                </c:pt>
                <c:pt idx="93">
                  <c:v>182</c:v>
                </c:pt>
                <c:pt idx="94">
                  <c:v>200</c:v>
                </c:pt>
                <c:pt idx="95">
                  <c:v>388</c:v>
                </c:pt>
                <c:pt idx="96">
                  <c:v>217</c:v>
                </c:pt>
                <c:pt idx="97">
                  <c:v>273</c:v>
                </c:pt>
                <c:pt idx="98">
                  <c:v>145</c:v>
                </c:pt>
                <c:pt idx="99">
                  <c:v>255</c:v>
                </c:pt>
                <c:pt idx="100">
                  <c:v>630</c:v>
                </c:pt>
                <c:pt idx="101">
                  <c:v>516</c:v>
                </c:pt>
                <c:pt idx="102">
                  <c:v>516</c:v>
                </c:pt>
                <c:pt idx="103">
                  <c:v>412</c:v>
                </c:pt>
                <c:pt idx="104">
                  <c:v>339</c:v>
                </c:pt>
                <c:pt idx="105">
                  <c:v>267</c:v>
                </c:pt>
                <c:pt idx="106">
                  <c:v>334</c:v>
                </c:pt>
                <c:pt idx="107">
                  <c:v>230</c:v>
                </c:pt>
                <c:pt idx="108">
                  <c:v>290</c:v>
                </c:pt>
                <c:pt idx="109">
                  <c:v>268</c:v>
                </c:pt>
                <c:pt idx="110">
                  <c:v>345</c:v>
                </c:pt>
                <c:pt idx="111">
                  <c:v>351</c:v>
                </c:pt>
                <c:pt idx="112">
                  <c:v>230</c:v>
                </c:pt>
                <c:pt idx="113">
                  <c:v>602</c:v>
                </c:pt>
                <c:pt idx="114">
                  <c:v>484</c:v>
                </c:pt>
                <c:pt idx="115">
                  <c:v>222</c:v>
                </c:pt>
                <c:pt idx="116">
                  <c:v>361</c:v>
                </c:pt>
                <c:pt idx="117">
                  <c:v>376</c:v>
                </c:pt>
                <c:pt idx="118">
                  <c:v>263</c:v>
                </c:pt>
                <c:pt idx="119">
                  <c:v>280</c:v>
                </c:pt>
                <c:pt idx="120">
                  <c:v>406</c:v>
                </c:pt>
                <c:pt idx="121">
                  <c:v>401</c:v>
                </c:pt>
                <c:pt idx="122">
                  <c:v>754</c:v>
                </c:pt>
                <c:pt idx="123">
                  <c:v>294</c:v>
                </c:pt>
                <c:pt idx="124">
                  <c:v>656</c:v>
                </c:pt>
                <c:pt idx="125">
                  <c:v>549</c:v>
                </c:pt>
                <c:pt idx="126">
                  <c:v>269</c:v>
                </c:pt>
                <c:pt idx="127">
                  <c:v>354</c:v>
                </c:pt>
                <c:pt idx="128">
                  <c:v>212</c:v>
                </c:pt>
                <c:pt idx="129">
                  <c:v>219</c:v>
                </c:pt>
                <c:pt idx="130">
                  <c:v>299</c:v>
                </c:pt>
                <c:pt idx="131">
                  <c:v>180</c:v>
                </c:pt>
                <c:pt idx="132">
                  <c:v>165</c:v>
                </c:pt>
                <c:pt idx="133">
                  <c:v>302</c:v>
                </c:pt>
                <c:pt idx="134">
                  <c:v>365</c:v>
                </c:pt>
                <c:pt idx="135">
                  <c:v>310</c:v>
                </c:pt>
                <c:pt idx="136">
                  <c:v>352</c:v>
                </c:pt>
                <c:pt idx="137">
                  <c:v>835</c:v>
                </c:pt>
                <c:pt idx="138">
                  <c:v>1000</c:v>
                </c:pt>
                <c:pt idx="139">
                  <c:v>1500</c:v>
                </c:pt>
                <c:pt idx="140">
                  <c:v>296</c:v>
                </c:pt>
                <c:pt idx="141">
                  <c:v>175</c:v>
                </c:pt>
                <c:pt idx="142">
                  <c:v>320</c:v>
                </c:pt>
                <c:pt idx="143">
                  <c:v>142</c:v>
                </c:pt>
                <c:pt idx="144">
                  <c:v>157</c:v>
                </c:pt>
                <c:pt idx="145">
                  <c:v>268</c:v>
                </c:pt>
                <c:pt idx="146">
                  <c:v>166</c:v>
                </c:pt>
                <c:pt idx="147">
                  <c:v>279</c:v>
                </c:pt>
                <c:pt idx="148">
                  <c:v>336</c:v>
                </c:pt>
                <c:pt idx="149">
                  <c:v>347</c:v>
                </c:pt>
                <c:pt idx="150">
                  <c:v>301</c:v>
                </c:pt>
                <c:pt idx="151">
                  <c:v>262</c:v>
                </c:pt>
                <c:pt idx="152">
                  <c:v>310</c:v>
                </c:pt>
                <c:pt idx="153">
                  <c:v>308</c:v>
                </c:pt>
                <c:pt idx="154">
                  <c:v>236</c:v>
                </c:pt>
                <c:pt idx="155">
                  <c:v>314</c:v>
                </c:pt>
                <c:pt idx="156">
                  <c:v>450</c:v>
                </c:pt>
                <c:pt idx="157">
                  <c:v>513</c:v>
                </c:pt>
                <c:pt idx="158">
                  <c:v>361</c:v>
                </c:pt>
                <c:pt idx="159">
                  <c:v>274</c:v>
                </c:pt>
                <c:pt idx="160">
                  <c:v>377</c:v>
                </c:pt>
                <c:pt idx="161">
                  <c:v>436</c:v>
                </c:pt>
                <c:pt idx="162">
                  <c:v>414</c:v>
                </c:pt>
                <c:pt idx="163">
                  <c:v>545</c:v>
                </c:pt>
                <c:pt idx="164">
                  <c:v>1500</c:v>
                </c:pt>
                <c:pt idx="165">
                  <c:v>249</c:v>
                </c:pt>
                <c:pt idx="166">
                  <c:v>593</c:v>
                </c:pt>
                <c:pt idx="167">
                  <c:v>332</c:v>
                </c:pt>
                <c:pt idx="168">
                  <c:v>297</c:v>
                </c:pt>
                <c:pt idx="169">
                  <c:v>375</c:v>
                </c:pt>
                <c:pt idx="170">
                  <c:v>371</c:v>
                </c:pt>
                <c:pt idx="171">
                  <c:v>344</c:v>
                </c:pt>
                <c:pt idx="172">
                  <c:v>225</c:v>
                </c:pt>
                <c:pt idx="173">
                  <c:v>228</c:v>
                </c:pt>
                <c:pt idx="174">
                  <c:v>196</c:v>
                </c:pt>
                <c:pt idx="175">
                  <c:v>159</c:v>
                </c:pt>
                <c:pt idx="176">
                  <c:v>197</c:v>
                </c:pt>
                <c:pt idx="177">
                  <c:v>139</c:v>
                </c:pt>
                <c:pt idx="178">
                  <c:v>237</c:v>
                </c:pt>
                <c:pt idx="179">
                  <c:v>267</c:v>
                </c:pt>
                <c:pt idx="180">
                  <c:v>107</c:v>
                </c:pt>
                <c:pt idx="181">
                  <c:v>241</c:v>
                </c:pt>
                <c:pt idx="182">
                  <c:v>164</c:v>
                </c:pt>
                <c:pt idx="183">
                  <c:v>118</c:v>
                </c:pt>
                <c:pt idx="184">
                  <c:v>144</c:v>
                </c:pt>
                <c:pt idx="185">
                  <c:v>108</c:v>
                </c:pt>
                <c:pt idx="186">
                  <c:v>149</c:v>
                </c:pt>
                <c:pt idx="187">
                  <c:v>299</c:v>
                </c:pt>
                <c:pt idx="188">
                  <c:v>162</c:v>
                </c:pt>
                <c:pt idx="189">
                  <c:v>222</c:v>
                </c:pt>
                <c:pt idx="190">
                  <c:v>244</c:v>
                </c:pt>
                <c:pt idx="191">
                  <c:v>214</c:v>
                </c:pt>
                <c:pt idx="192">
                  <c:v>408</c:v>
                </c:pt>
                <c:pt idx="193">
                  <c:v>247</c:v>
                </c:pt>
                <c:pt idx="194">
                  <c:v>527</c:v>
                </c:pt>
                <c:pt idx="195">
                  <c:v>232</c:v>
                </c:pt>
                <c:pt idx="196">
                  <c:v>268</c:v>
                </c:pt>
                <c:pt idx="197">
                  <c:v>193</c:v>
                </c:pt>
                <c:pt idx="198">
                  <c:v>436</c:v>
                </c:pt>
                <c:pt idx="199">
                  <c:v>306</c:v>
                </c:pt>
                <c:pt idx="200">
                  <c:v>501</c:v>
                </c:pt>
                <c:pt idx="201">
                  <c:v>633</c:v>
                </c:pt>
                <c:pt idx="202">
                  <c:v>367</c:v>
                </c:pt>
                <c:pt idx="203">
                  <c:v>326</c:v>
                </c:pt>
                <c:pt idx="204">
                  <c:v>330</c:v>
                </c:pt>
                <c:pt idx="205">
                  <c:v>243</c:v>
                </c:pt>
                <c:pt idx="206">
                  <c:v>465</c:v>
                </c:pt>
                <c:pt idx="207">
                  <c:v>328</c:v>
                </c:pt>
                <c:pt idx="208">
                  <c:v>256</c:v>
                </c:pt>
                <c:pt idx="209">
                  <c:v>220</c:v>
                </c:pt>
                <c:pt idx="210">
                  <c:v>424</c:v>
                </c:pt>
                <c:pt idx="211">
                  <c:v>297</c:v>
                </c:pt>
                <c:pt idx="212">
                  <c:v>216</c:v>
                </c:pt>
                <c:pt idx="213">
                  <c:v>166</c:v>
                </c:pt>
                <c:pt idx="214">
                  <c:v>107</c:v>
                </c:pt>
                <c:pt idx="215">
                  <c:v>155</c:v>
                </c:pt>
                <c:pt idx="216">
                  <c:v>326</c:v>
                </c:pt>
                <c:pt idx="217">
                  <c:v>282</c:v>
                </c:pt>
                <c:pt idx="218">
                  <c:v>274</c:v>
                </c:pt>
                <c:pt idx="219">
                  <c:v>276</c:v>
                </c:pt>
                <c:pt idx="220">
                  <c:v>19</c:v>
                </c:pt>
                <c:pt idx="221">
                  <c:v>423</c:v>
                </c:pt>
                <c:pt idx="222">
                  <c:v>239</c:v>
                </c:pt>
                <c:pt idx="223">
                  <c:v>266</c:v>
                </c:pt>
                <c:pt idx="224">
                  <c:v>229</c:v>
                </c:pt>
                <c:pt idx="225">
                  <c:v>519</c:v>
                </c:pt>
                <c:pt idx="226">
                  <c:v>341</c:v>
                </c:pt>
                <c:pt idx="227">
                  <c:v>351</c:v>
                </c:pt>
                <c:pt idx="228">
                  <c:v>793</c:v>
                </c:pt>
                <c:pt idx="229">
                  <c:v>566</c:v>
                </c:pt>
                <c:pt idx="230">
                  <c:v>330</c:v>
                </c:pt>
                <c:pt idx="231">
                  <c:v>353</c:v>
                </c:pt>
                <c:pt idx="232">
                  <c:v>276</c:v>
                </c:pt>
                <c:pt idx="233">
                  <c:v>182</c:v>
                </c:pt>
                <c:pt idx="234">
                  <c:v>144</c:v>
                </c:pt>
                <c:pt idx="235">
                  <c:v>120</c:v>
                </c:pt>
                <c:pt idx="236">
                  <c:v>180</c:v>
                </c:pt>
                <c:pt idx="237">
                  <c:v>286</c:v>
                </c:pt>
                <c:pt idx="238">
                  <c:v>447</c:v>
                </c:pt>
                <c:pt idx="239">
                  <c:v>374</c:v>
                </c:pt>
                <c:pt idx="240">
                  <c:v>357</c:v>
                </c:pt>
                <c:pt idx="241">
                  <c:v>304</c:v>
                </c:pt>
                <c:pt idx="242">
                  <c:v>324</c:v>
                </c:pt>
                <c:pt idx="243">
                  <c:v>405</c:v>
                </c:pt>
                <c:pt idx="244">
                  <c:v>404</c:v>
                </c:pt>
                <c:pt idx="245">
                  <c:v>277</c:v>
                </c:pt>
                <c:pt idx="246">
                  <c:v>196</c:v>
                </c:pt>
                <c:pt idx="247">
                  <c:v>242</c:v>
                </c:pt>
                <c:pt idx="248">
                  <c:v>279</c:v>
                </c:pt>
                <c:pt idx="249">
                  <c:v>608</c:v>
                </c:pt>
                <c:pt idx="250">
                  <c:v>227</c:v>
                </c:pt>
                <c:pt idx="251">
                  <c:v>185</c:v>
                </c:pt>
                <c:pt idx="252">
                  <c:v>202</c:v>
                </c:pt>
                <c:pt idx="253">
                  <c:v>257</c:v>
                </c:pt>
                <c:pt idx="254">
                  <c:v>279</c:v>
                </c:pt>
                <c:pt idx="255">
                  <c:v>455</c:v>
                </c:pt>
                <c:pt idx="256">
                  <c:v>141</c:v>
                </c:pt>
                <c:pt idx="257">
                  <c:v>237</c:v>
                </c:pt>
                <c:pt idx="258">
                  <c:v>154</c:v>
                </c:pt>
                <c:pt idx="259">
                  <c:v>245</c:v>
                </c:pt>
                <c:pt idx="260">
                  <c:v>406</c:v>
                </c:pt>
                <c:pt idx="261">
                  <c:v>198</c:v>
                </c:pt>
                <c:pt idx="262">
                  <c:v>181</c:v>
                </c:pt>
                <c:pt idx="263">
                  <c:v>248</c:v>
                </c:pt>
                <c:pt idx="264">
                  <c:v>462</c:v>
                </c:pt>
                <c:pt idx="265">
                  <c:v>406</c:v>
                </c:pt>
                <c:pt idx="266">
                  <c:v>201</c:v>
                </c:pt>
                <c:pt idx="267">
                  <c:v>184</c:v>
                </c:pt>
                <c:pt idx="268">
                  <c:v>234</c:v>
                </c:pt>
                <c:pt idx="269">
                  <c:v>258</c:v>
                </c:pt>
                <c:pt idx="270">
                  <c:v>305</c:v>
                </c:pt>
                <c:pt idx="271">
                  <c:v>456</c:v>
                </c:pt>
                <c:pt idx="272">
                  <c:v>421</c:v>
                </c:pt>
                <c:pt idx="273">
                  <c:v>244</c:v>
                </c:pt>
                <c:pt idx="274">
                  <c:v>435</c:v>
                </c:pt>
                <c:pt idx="275">
                  <c:v>404</c:v>
                </c:pt>
                <c:pt idx="276">
                  <c:v>189</c:v>
                </c:pt>
                <c:pt idx="277">
                  <c:v>200</c:v>
                </c:pt>
                <c:pt idx="278">
                  <c:v>189</c:v>
                </c:pt>
                <c:pt idx="279">
                  <c:v>290</c:v>
                </c:pt>
                <c:pt idx="280">
                  <c:v>230</c:v>
                </c:pt>
                <c:pt idx="281">
                  <c:v>368</c:v>
                </c:pt>
                <c:pt idx="282">
                  <c:v>400</c:v>
                </c:pt>
                <c:pt idx="283">
                  <c:v>273</c:v>
                </c:pt>
                <c:pt idx="284">
                  <c:v>250</c:v>
                </c:pt>
                <c:pt idx="285">
                  <c:v>322</c:v>
                </c:pt>
                <c:pt idx="286">
                  <c:v>438</c:v>
                </c:pt>
                <c:pt idx="287">
                  <c:v>496</c:v>
                </c:pt>
                <c:pt idx="288">
                  <c:v>333</c:v>
                </c:pt>
                <c:pt idx="289">
                  <c:v>254</c:v>
                </c:pt>
                <c:pt idx="290">
                  <c:v>268</c:v>
                </c:pt>
                <c:pt idx="291">
                  <c:v>525</c:v>
                </c:pt>
                <c:pt idx="292">
                  <c:v>573</c:v>
                </c:pt>
                <c:pt idx="293">
                  <c:v>514</c:v>
                </c:pt>
                <c:pt idx="294">
                  <c:v>731</c:v>
                </c:pt>
                <c:pt idx="295">
                  <c:v>556</c:v>
                </c:pt>
                <c:pt idx="296">
                  <c:v>394</c:v>
                </c:pt>
                <c:pt idx="297">
                  <c:v>366</c:v>
                </c:pt>
                <c:pt idx="298">
                  <c:v>366</c:v>
                </c:pt>
                <c:pt idx="299">
                  <c:v>202</c:v>
                </c:pt>
                <c:pt idx="300">
                  <c:v>530</c:v>
                </c:pt>
                <c:pt idx="301">
                  <c:v>149</c:v>
                </c:pt>
                <c:pt idx="302">
                  <c:v>425</c:v>
                </c:pt>
                <c:pt idx="303">
                  <c:v>227</c:v>
                </c:pt>
                <c:pt idx="304">
                  <c:v>206</c:v>
                </c:pt>
                <c:pt idx="305">
                  <c:v>422</c:v>
                </c:pt>
                <c:pt idx="306">
                  <c:v>520</c:v>
                </c:pt>
                <c:pt idx="307">
                  <c:v>684</c:v>
                </c:pt>
                <c:pt idx="308">
                  <c:v>2300</c:v>
                </c:pt>
                <c:pt idx="309">
                  <c:v>793</c:v>
                </c:pt>
                <c:pt idx="310">
                  <c:v>562</c:v>
                </c:pt>
                <c:pt idx="311">
                  <c:v>276</c:v>
                </c:pt>
                <c:pt idx="312">
                  <c:v>586</c:v>
                </c:pt>
                <c:pt idx="313">
                  <c:v>445</c:v>
                </c:pt>
                <c:pt idx="314">
                  <c:v>659</c:v>
                </c:pt>
                <c:pt idx="315">
                  <c:v>322</c:v>
                </c:pt>
                <c:pt idx="316">
                  <c:v>305</c:v>
                </c:pt>
                <c:pt idx="317">
                  <c:v>602</c:v>
                </c:pt>
                <c:pt idx="318">
                  <c:v>439</c:v>
                </c:pt>
                <c:pt idx="319">
                  <c:v>650</c:v>
                </c:pt>
                <c:pt idx="320">
                  <c:v>705</c:v>
                </c:pt>
                <c:pt idx="321">
                  <c:v>545</c:v>
                </c:pt>
                <c:pt idx="322">
                  <c:v>483</c:v>
                </c:pt>
                <c:pt idx="323">
                  <c:v>361</c:v>
                </c:pt>
                <c:pt idx="324">
                  <c:v>972</c:v>
                </c:pt>
                <c:pt idx="325">
                  <c:v>732</c:v>
                </c:pt>
                <c:pt idx="326">
                  <c:v>791</c:v>
                </c:pt>
                <c:pt idx="327">
                  <c:v>323</c:v>
                </c:pt>
                <c:pt idx="328">
                  <c:v>317</c:v>
                </c:pt>
                <c:pt idx="329">
                  <c:v>403</c:v>
                </c:pt>
                <c:pt idx="330">
                  <c:v>389</c:v>
                </c:pt>
                <c:pt idx="331">
                  <c:v>519</c:v>
                </c:pt>
                <c:pt idx="332">
                  <c:v>521</c:v>
                </c:pt>
                <c:pt idx="333">
                  <c:v>280</c:v>
                </c:pt>
                <c:pt idx="334">
                  <c:v>346</c:v>
                </c:pt>
                <c:pt idx="335">
                  <c:v>12</c:v>
                </c:pt>
                <c:pt idx="336">
                  <c:v>283</c:v>
                </c:pt>
                <c:pt idx="337">
                  <c:v>368</c:v>
                </c:pt>
                <c:pt idx="338">
                  <c:v>161</c:v>
                </c:pt>
                <c:pt idx="339">
                  <c:v>171</c:v>
                </c:pt>
                <c:pt idx="340">
                  <c:v>215</c:v>
                </c:pt>
                <c:pt idx="341">
                  <c:v>205</c:v>
                </c:pt>
                <c:pt idx="342">
                  <c:v>328</c:v>
                </c:pt>
                <c:pt idx="343">
                  <c:v>392</c:v>
                </c:pt>
                <c:pt idx="344">
                  <c:v>214</c:v>
                </c:pt>
                <c:pt idx="345">
                  <c:v>238</c:v>
                </c:pt>
                <c:pt idx="346">
                  <c:v>517</c:v>
                </c:pt>
                <c:pt idx="347">
                  <c:v>318</c:v>
                </c:pt>
                <c:pt idx="348">
                  <c:v>777</c:v>
                </c:pt>
                <c:pt idx="349">
                  <c:v>808</c:v>
                </c:pt>
                <c:pt idx="350">
                  <c:v>265</c:v>
                </c:pt>
                <c:pt idx="351">
                  <c:v>398</c:v>
                </c:pt>
                <c:pt idx="352">
                  <c:v>317</c:v>
                </c:pt>
                <c:pt idx="353">
                  <c:v>317</c:v>
                </c:pt>
                <c:pt idx="354">
                  <c:v>277</c:v>
                </c:pt>
                <c:pt idx="355">
                  <c:v>415</c:v>
                </c:pt>
                <c:pt idx="356">
                  <c:v>584</c:v>
                </c:pt>
                <c:pt idx="357">
                  <c:v>547</c:v>
                </c:pt>
                <c:pt idx="358">
                  <c:v>220</c:v>
                </c:pt>
                <c:pt idx="359">
                  <c:v>440</c:v>
                </c:pt>
                <c:pt idx="360">
                  <c:v>186</c:v>
                </c:pt>
                <c:pt idx="361">
                  <c:v>275</c:v>
                </c:pt>
                <c:pt idx="362">
                  <c:v>215</c:v>
                </c:pt>
                <c:pt idx="363">
                  <c:v>280</c:v>
                </c:pt>
                <c:pt idx="364">
                  <c:v>346</c:v>
                </c:pt>
                <c:pt idx="365">
                  <c:v>481</c:v>
                </c:pt>
                <c:pt idx="366">
                  <c:v>307</c:v>
                </c:pt>
                <c:pt idx="367">
                  <c:v>387</c:v>
                </c:pt>
                <c:pt idx="368">
                  <c:v>506</c:v>
                </c:pt>
                <c:pt idx="369">
                  <c:v>267</c:v>
                </c:pt>
                <c:pt idx="370">
                  <c:v>397</c:v>
                </c:pt>
                <c:pt idx="371">
                  <c:v>224</c:v>
                </c:pt>
                <c:pt idx="372">
                  <c:v>215</c:v>
                </c:pt>
                <c:pt idx="373">
                  <c:v>171</c:v>
                </c:pt>
                <c:pt idx="374">
                  <c:v>316</c:v>
                </c:pt>
                <c:pt idx="375">
                  <c:v>226</c:v>
                </c:pt>
                <c:pt idx="376">
                  <c:v>379</c:v>
                </c:pt>
                <c:pt idx="377">
                  <c:v>347</c:v>
                </c:pt>
                <c:pt idx="378">
                  <c:v>415</c:v>
                </c:pt>
                <c:pt idx="379">
                  <c:v>235</c:v>
                </c:pt>
                <c:pt idx="380">
                  <c:v>319</c:v>
                </c:pt>
                <c:pt idx="381">
                  <c:v>585</c:v>
                </c:pt>
                <c:pt idx="382">
                  <c:v>534</c:v>
                </c:pt>
                <c:pt idx="383">
                  <c:v>310</c:v>
                </c:pt>
                <c:pt idx="384">
                  <c:v>221</c:v>
                </c:pt>
                <c:pt idx="385">
                  <c:v>6</c:v>
                </c:pt>
                <c:pt idx="386">
                  <c:v>352</c:v>
                </c:pt>
                <c:pt idx="387">
                  <c:v>328</c:v>
                </c:pt>
                <c:pt idx="388">
                  <c:v>300</c:v>
                </c:pt>
                <c:pt idx="389">
                  <c:v>214</c:v>
                </c:pt>
                <c:pt idx="390">
                  <c:v>162</c:v>
                </c:pt>
                <c:pt idx="391">
                  <c:v>304</c:v>
                </c:pt>
                <c:pt idx="392">
                  <c:v>363</c:v>
                </c:pt>
                <c:pt idx="393">
                  <c:v>322</c:v>
                </c:pt>
                <c:pt idx="394">
                  <c:v>320</c:v>
                </c:pt>
                <c:pt idx="395">
                  <c:v>109</c:v>
                </c:pt>
                <c:pt idx="396">
                  <c:v>250</c:v>
                </c:pt>
                <c:pt idx="397">
                  <c:v>415</c:v>
                </c:pt>
                <c:pt idx="398">
                  <c:v>417</c:v>
                </c:pt>
                <c:pt idx="399">
                  <c:v>276</c:v>
                </c:pt>
                <c:pt idx="400">
                  <c:v>191</c:v>
                </c:pt>
                <c:pt idx="401">
                  <c:v>400</c:v>
                </c:pt>
                <c:pt idx="402">
                  <c:v>320</c:v>
                </c:pt>
                <c:pt idx="403">
                  <c:v>250</c:v>
                </c:pt>
                <c:pt idx="404">
                  <c:v>250</c:v>
                </c:pt>
                <c:pt idx="405">
                  <c:v>162</c:v>
                </c:pt>
                <c:pt idx="406">
                  <c:v>334</c:v>
                </c:pt>
                <c:pt idx="407">
                  <c:v>401</c:v>
                </c:pt>
                <c:pt idx="408">
                  <c:v>341</c:v>
                </c:pt>
                <c:pt idx="409">
                  <c:v>368</c:v>
                </c:pt>
                <c:pt idx="410">
                  <c:v>334</c:v>
                </c:pt>
                <c:pt idx="411">
                  <c:v>296</c:v>
                </c:pt>
                <c:pt idx="412">
                  <c:v>272</c:v>
                </c:pt>
                <c:pt idx="413">
                  <c:v>580</c:v>
                </c:pt>
                <c:pt idx="414">
                  <c:v>138</c:v>
                </c:pt>
                <c:pt idx="415">
                  <c:v>567</c:v>
                </c:pt>
                <c:pt idx="416">
                  <c:v>278</c:v>
                </c:pt>
                <c:pt idx="417">
                  <c:v>252</c:v>
                </c:pt>
                <c:pt idx="418">
                  <c:v>146</c:v>
                </c:pt>
                <c:pt idx="419">
                  <c:v>273</c:v>
                </c:pt>
                <c:pt idx="420">
                  <c:v>376</c:v>
                </c:pt>
                <c:pt idx="421">
                  <c:v>375</c:v>
                </c:pt>
                <c:pt idx="422">
                  <c:v>374</c:v>
                </c:pt>
                <c:pt idx="423">
                  <c:v>242</c:v>
                </c:pt>
                <c:pt idx="424">
                  <c:v>176</c:v>
                </c:pt>
                <c:pt idx="425">
                  <c:v>163</c:v>
                </c:pt>
                <c:pt idx="426">
                  <c:v>313</c:v>
                </c:pt>
                <c:pt idx="427">
                  <c:v>179</c:v>
                </c:pt>
                <c:pt idx="428">
                  <c:v>337</c:v>
                </c:pt>
                <c:pt idx="429">
                  <c:v>97</c:v>
                </c:pt>
                <c:pt idx="430">
                  <c:v>243</c:v>
                </c:pt>
                <c:pt idx="431">
                  <c:v>421</c:v>
                </c:pt>
                <c:pt idx="432">
                  <c:v>658</c:v>
                </c:pt>
                <c:pt idx="433">
                  <c:v>226</c:v>
                </c:pt>
                <c:pt idx="434">
                  <c:v>226</c:v>
                </c:pt>
                <c:pt idx="435">
                  <c:v>216</c:v>
                </c:pt>
                <c:pt idx="436">
                  <c:v>501</c:v>
                </c:pt>
                <c:pt idx="437">
                  <c:v>675</c:v>
                </c:pt>
                <c:pt idx="438">
                  <c:v>266</c:v>
                </c:pt>
                <c:pt idx="439">
                  <c:v>439</c:v>
                </c:pt>
                <c:pt idx="440">
                  <c:v>710</c:v>
                </c:pt>
                <c:pt idx="441">
                  <c:v>1500</c:v>
                </c:pt>
                <c:pt idx="442">
                  <c:v>1000</c:v>
                </c:pt>
                <c:pt idx="443">
                  <c:v>588</c:v>
                </c:pt>
                <c:pt idx="444">
                  <c:v>311</c:v>
                </c:pt>
                <c:pt idx="445">
                  <c:v>346</c:v>
                </c:pt>
                <c:pt idx="446">
                  <c:v>308</c:v>
                </c:pt>
                <c:pt idx="447">
                  <c:v>448</c:v>
                </c:pt>
                <c:pt idx="448">
                  <c:v>473</c:v>
                </c:pt>
                <c:pt idx="449">
                  <c:v>353</c:v>
                </c:pt>
                <c:pt idx="450">
                  <c:v>1000</c:v>
                </c:pt>
                <c:pt idx="451">
                  <c:v>207</c:v>
                </c:pt>
                <c:pt idx="452">
                  <c:v>343</c:v>
                </c:pt>
                <c:pt idx="453">
                  <c:v>197</c:v>
                </c:pt>
                <c:pt idx="454">
                  <c:v>344</c:v>
                </c:pt>
                <c:pt idx="455">
                  <c:v>325</c:v>
                </c:pt>
                <c:pt idx="456">
                  <c:v>183</c:v>
                </c:pt>
                <c:pt idx="457">
                  <c:v>174</c:v>
                </c:pt>
                <c:pt idx="458">
                  <c:v>151</c:v>
                </c:pt>
                <c:pt idx="459">
                  <c:v>233</c:v>
                </c:pt>
                <c:pt idx="460">
                  <c:v>192</c:v>
                </c:pt>
                <c:pt idx="461">
                  <c:v>64</c:v>
                </c:pt>
                <c:pt idx="462">
                  <c:v>13</c:v>
                </c:pt>
                <c:pt idx="463">
                  <c:v>149</c:v>
                </c:pt>
                <c:pt idx="464">
                  <c:v>128</c:v>
                </c:pt>
                <c:pt idx="465">
                  <c:v>132</c:v>
                </c:pt>
                <c:pt idx="466">
                  <c:v>206</c:v>
                </c:pt>
                <c:pt idx="467">
                  <c:v>194</c:v>
                </c:pt>
                <c:pt idx="468">
                  <c:v>243</c:v>
                </c:pt>
                <c:pt idx="469">
                  <c:v>200</c:v>
                </c:pt>
                <c:pt idx="470">
                  <c:v>209</c:v>
                </c:pt>
                <c:pt idx="471">
                  <c:v>218</c:v>
                </c:pt>
                <c:pt idx="472">
                  <c:v>244</c:v>
                </c:pt>
                <c:pt idx="473">
                  <c:v>227</c:v>
                </c:pt>
                <c:pt idx="474">
                  <c:v>637</c:v>
                </c:pt>
                <c:pt idx="475">
                  <c:v>255</c:v>
                </c:pt>
                <c:pt idx="476">
                  <c:v>217</c:v>
                </c:pt>
                <c:pt idx="477">
                  <c:v>539</c:v>
                </c:pt>
                <c:pt idx="478">
                  <c:v>837</c:v>
                </c:pt>
                <c:pt idx="479">
                  <c:v>322</c:v>
                </c:pt>
                <c:pt idx="480">
                  <c:v>205</c:v>
                </c:pt>
                <c:pt idx="481">
                  <c:v>363</c:v>
                </c:pt>
                <c:pt idx="482">
                  <c:v>285</c:v>
                </c:pt>
                <c:pt idx="483">
                  <c:v>177</c:v>
                </c:pt>
                <c:pt idx="484">
                  <c:v>439</c:v>
                </c:pt>
                <c:pt idx="485">
                  <c:v>187</c:v>
                </c:pt>
                <c:pt idx="486">
                  <c:v>152</c:v>
                </c:pt>
                <c:pt idx="487">
                  <c:v>158</c:v>
                </c:pt>
                <c:pt idx="488">
                  <c:v>310</c:v>
                </c:pt>
                <c:pt idx="489">
                  <c:v>884</c:v>
                </c:pt>
                <c:pt idx="490">
                  <c:v>454</c:v>
                </c:pt>
                <c:pt idx="491">
                  <c:v>320</c:v>
                </c:pt>
                <c:pt idx="492">
                  <c:v>370</c:v>
                </c:pt>
                <c:pt idx="493">
                  <c:v>541</c:v>
                </c:pt>
                <c:pt idx="494">
                  <c:v>515</c:v>
                </c:pt>
                <c:pt idx="495">
                  <c:v>467</c:v>
                </c:pt>
                <c:pt idx="496">
                  <c:v>524</c:v>
                </c:pt>
                <c:pt idx="497">
                  <c:v>393</c:v>
                </c:pt>
                <c:pt idx="498">
                  <c:v>317</c:v>
                </c:pt>
                <c:pt idx="499">
                  <c:v>129</c:v>
                </c:pt>
                <c:pt idx="500">
                  <c:v>357</c:v>
                </c:pt>
                <c:pt idx="501">
                  <c:v>311</c:v>
                </c:pt>
                <c:pt idx="502">
                  <c:v>321</c:v>
                </c:pt>
                <c:pt idx="503">
                  <c:v>335</c:v>
                </c:pt>
                <c:pt idx="504">
                  <c:v>131</c:v>
                </c:pt>
                <c:pt idx="505">
                  <c:v>125</c:v>
                </c:pt>
                <c:pt idx="506">
                  <c:v>203</c:v>
                </c:pt>
                <c:pt idx="507">
                  <c:v>327</c:v>
                </c:pt>
                <c:pt idx="508">
                  <c:v>210</c:v>
                </c:pt>
                <c:pt idx="509">
                  <c:v>620</c:v>
                </c:pt>
                <c:pt idx="510">
                  <c:v>215</c:v>
                </c:pt>
                <c:pt idx="511">
                  <c:v>482</c:v>
                </c:pt>
                <c:pt idx="512">
                  <c:v>223</c:v>
                </c:pt>
                <c:pt idx="513">
                  <c:v>230</c:v>
                </c:pt>
                <c:pt idx="514">
                  <c:v>327</c:v>
                </c:pt>
                <c:pt idx="515">
                  <c:v>191</c:v>
                </c:pt>
                <c:pt idx="516">
                  <c:v>273</c:v>
                </c:pt>
                <c:pt idx="517">
                  <c:v>208</c:v>
                </c:pt>
                <c:pt idx="518">
                  <c:v>193</c:v>
                </c:pt>
                <c:pt idx="519">
                  <c:v>216</c:v>
                </c:pt>
                <c:pt idx="520">
                  <c:v>265</c:v>
                </c:pt>
                <c:pt idx="521">
                  <c:v>248</c:v>
                </c:pt>
                <c:pt idx="522">
                  <c:v>282</c:v>
                </c:pt>
                <c:pt idx="523">
                  <c:v>544</c:v>
                </c:pt>
                <c:pt idx="524">
                  <c:v>293</c:v>
                </c:pt>
                <c:pt idx="525">
                  <c:v>296</c:v>
                </c:pt>
                <c:pt idx="526">
                  <c:v>222</c:v>
                </c:pt>
                <c:pt idx="527">
                  <c:v>166</c:v>
                </c:pt>
                <c:pt idx="528">
                  <c:v>195</c:v>
                </c:pt>
                <c:pt idx="529">
                  <c:v>248</c:v>
                </c:pt>
                <c:pt idx="530">
                  <c:v>390</c:v>
                </c:pt>
                <c:pt idx="531">
                  <c:v>134</c:v>
                </c:pt>
                <c:pt idx="532">
                  <c:v>217</c:v>
                </c:pt>
                <c:pt idx="533">
                  <c:v>240</c:v>
                </c:pt>
                <c:pt idx="534">
                  <c:v>205</c:v>
                </c:pt>
                <c:pt idx="535">
                  <c:v>216</c:v>
                </c:pt>
                <c:pt idx="536">
                  <c:v>191</c:v>
                </c:pt>
                <c:pt idx="537">
                  <c:v>583</c:v>
                </c:pt>
                <c:pt idx="538">
                  <c:v>482</c:v>
                </c:pt>
                <c:pt idx="539">
                  <c:v>656</c:v>
                </c:pt>
                <c:pt idx="540">
                  <c:v>307</c:v>
                </c:pt>
                <c:pt idx="541">
                  <c:v>150</c:v>
                </c:pt>
                <c:pt idx="542">
                  <c:v>280</c:v>
                </c:pt>
                <c:pt idx="543">
                  <c:v>202</c:v>
                </c:pt>
                <c:pt idx="544">
                  <c:v>249</c:v>
                </c:pt>
                <c:pt idx="545">
                  <c:v>272</c:v>
                </c:pt>
                <c:pt idx="546">
                  <c:v>508</c:v>
                </c:pt>
                <c:pt idx="547">
                  <c:v>300</c:v>
                </c:pt>
                <c:pt idx="548">
                  <c:v>173</c:v>
                </c:pt>
                <c:pt idx="549">
                  <c:v>354</c:v>
                </c:pt>
                <c:pt idx="550">
                  <c:v>275</c:v>
                </c:pt>
                <c:pt idx="551">
                  <c:v>195</c:v>
                </c:pt>
                <c:pt idx="552">
                  <c:v>206</c:v>
                </c:pt>
                <c:pt idx="553">
                  <c:v>373</c:v>
                </c:pt>
                <c:pt idx="554">
                  <c:v>225</c:v>
                </c:pt>
                <c:pt idx="555">
                  <c:v>282</c:v>
                </c:pt>
                <c:pt idx="556">
                  <c:v>236</c:v>
                </c:pt>
                <c:pt idx="557">
                  <c:v>241</c:v>
                </c:pt>
                <c:pt idx="558">
                  <c:v>198</c:v>
                </c:pt>
                <c:pt idx="559">
                  <c:v>226</c:v>
                </c:pt>
                <c:pt idx="560">
                  <c:v>373</c:v>
                </c:pt>
                <c:pt idx="561">
                  <c:v>343</c:v>
                </c:pt>
                <c:pt idx="562">
                  <c:v>187</c:v>
                </c:pt>
                <c:pt idx="563">
                  <c:v>356</c:v>
                </c:pt>
                <c:pt idx="564">
                  <c:v>406</c:v>
                </c:pt>
                <c:pt idx="565">
                  <c:v>289</c:v>
                </c:pt>
                <c:pt idx="566">
                  <c:v>249</c:v>
                </c:pt>
                <c:pt idx="567">
                  <c:v>195</c:v>
                </c:pt>
                <c:pt idx="568">
                  <c:v>325</c:v>
                </c:pt>
                <c:pt idx="569">
                  <c:v>349</c:v>
                </c:pt>
                <c:pt idx="570">
                  <c:v>298</c:v>
                </c:pt>
                <c:pt idx="571">
                  <c:v>635</c:v>
                </c:pt>
                <c:pt idx="572">
                  <c:v>186</c:v>
                </c:pt>
                <c:pt idx="573">
                  <c:v>248</c:v>
                </c:pt>
                <c:pt idx="574">
                  <c:v>184</c:v>
                </c:pt>
                <c:pt idx="575">
                  <c:v>1000</c:v>
                </c:pt>
                <c:pt idx="576">
                  <c:v>414</c:v>
                </c:pt>
                <c:pt idx="577">
                  <c:v>210</c:v>
                </c:pt>
                <c:pt idx="578">
                  <c:v>252</c:v>
                </c:pt>
                <c:pt idx="579">
                  <c:v>257</c:v>
                </c:pt>
                <c:pt idx="580">
                  <c:v>160</c:v>
                </c:pt>
                <c:pt idx="581">
                  <c:v>149</c:v>
                </c:pt>
                <c:pt idx="582">
                  <c:v>139</c:v>
                </c:pt>
                <c:pt idx="583">
                  <c:v>138</c:v>
                </c:pt>
                <c:pt idx="584">
                  <c:v>157</c:v>
                </c:pt>
                <c:pt idx="585">
                  <c:v>205</c:v>
                </c:pt>
                <c:pt idx="586">
                  <c:v>250</c:v>
                </c:pt>
                <c:pt idx="587">
                  <c:v>183</c:v>
                </c:pt>
                <c:pt idx="588">
                  <c:v>246</c:v>
                </c:pt>
                <c:pt idx="589">
                  <c:v>320</c:v>
                </c:pt>
                <c:pt idx="590">
                  <c:v>234</c:v>
                </c:pt>
                <c:pt idx="591">
                  <c:v>289</c:v>
                </c:pt>
                <c:pt idx="592">
                  <c:v>295</c:v>
                </c:pt>
                <c:pt idx="593">
                  <c:v>319</c:v>
                </c:pt>
                <c:pt idx="594">
                  <c:v>232</c:v>
                </c:pt>
                <c:pt idx="595">
                  <c:v>384</c:v>
                </c:pt>
                <c:pt idx="596">
                  <c:v>544</c:v>
                </c:pt>
                <c:pt idx="597">
                  <c:v>457</c:v>
                </c:pt>
                <c:pt idx="598">
                  <c:v>205</c:v>
                </c:pt>
                <c:pt idx="599">
                  <c:v>230</c:v>
                </c:pt>
                <c:pt idx="600">
                  <c:v>285</c:v>
                </c:pt>
                <c:pt idx="601">
                  <c:v>513</c:v>
                </c:pt>
                <c:pt idx="602">
                  <c:v>388</c:v>
                </c:pt>
                <c:pt idx="603">
                  <c:v>263</c:v>
                </c:pt>
                <c:pt idx="604">
                  <c:v>341</c:v>
                </c:pt>
                <c:pt idx="605">
                  <c:v>437</c:v>
                </c:pt>
                <c:pt idx="606">
                  <c:v>488</c:v>
                </c:pt>
                <c:pt idx="607">
                  <c:v>292</c:v>
                </c:pt>
                <c:pt idx="608">
                  <c:v>264</c:v>
                </c:pt>
                <c:pt idx="609">
                  <c:v>354</c:v>
                </c:pt>
                <c:pt idx="610">
                  <c:v>226</c:v>
                </c:pt>
                <c:pt idx="611">
                  <c:v>227</c:v>
                </c:pt>
                <c:pt idx="612">
                  <c:v>233</c:v>
                </c:pt>
                <c:pt idx="613">
                  <c:v>360</c:v>
                </c:pt>
                <c:pt idx="614">
                  <c:v>378</c:v>
                </c:pt>
                <c:pt idx="615">
                  <c:v>445</c:v>
                </c:pt>
                <c:pt idx="616">
                  <c:v>249</c:v>
                </c:pt>
                <c:pt idx="617">
                  <c:v>251</c:v>
                </c:pt>
                <c:pt idx="618">
                  <c:v>228</c:v>
                </c:pt>
                <c:pt idx="619">
                  <c:v>232</c:v>
                </c:pt>
                <c:pt idx="620">
                  <c:v>381</c:v>
                </c:pt>
                <c:pt idx="621">
                  <c:v>350</c:v>
                </c:pt>
                <c:pt idx="622">
                  <c:v>520</c:v>
                </c:pt>
                <c:pt idx="623">
                  <c:v>383</c:v>
                </c:pt>
                <c:pt idx="624">
                  <c:v>459</c:v>
                </c:pt>
                <c:pt idx="625">
                  <c:v>265</c:v>
                </c:pt>
                <c:pt idx="626">
                  <c:v>210</c:v>
                </c:pt>
                <c:pt idx="627">
                  <c:v>176</c:v>
                </c:pt>
                <c:pt idx="628">
                  <c:v>154</c:v>
                </c:pt>
                <c:pt idx="629">
                  <c:v>158</c:v>
                </c:pt>
                <c:pt idx="630">
                  <c:v>237</c:v>
                </c:pt>
                <c:pt idx="631">
                  <c:v>154</c:v>
                </c:pt>
                <c:pt idx="632">
                  <c:v>408</c:v>
                </c:pt>
                <c:pt idx="633">
                  <c:v>180</c:v>
                </c:pt>
                <c:pt idx="634">
                  <c:v>317</c:v>
                </c:pt>
                <c:pt idx="635">
                  <c:v>429</c:v>
                </c:pt>
                <c:pt idx="636">
                  <c:v>295</c:v>
                </c:pt>
                <c:pt idx="637">
                  <c:v>206</c:v>
                </c:pt>
                <c:pt idx="638">
                  <c:v>286</c:v>
                </c:pt>
                <c:pt idx="639">
                  <c:v>402</c:v>
                </c:pt>
                <c:pt idx="640">
                  <c:v>399</c:v>
                </c:pt>
                <c:pt idx="641">
                  <c:v>713</c:v>
                </c:pt>
                <c:pt idx="642">
                  <c:v>1000</c:v>
                </c:pt>
                <c:pt idx="643">
                  <c:v>264</c:v>
                </c:pt>
                <c:pt idx="644">
                  <c:v>404</c:v>
                </c:pt>
                <c:pt idx="645">
                  <c:v>328</c:v>
                </c:pt>
                <c:pt idx="646">
                  <c:v>323</c:v>
                </c:pt>
                <c:pt idx="647">
                  <c:v>407</c:v>
                </c:pt>
                <c:pt idx="648">
                  <c:v>334</c:v>
                </c:pt>
                <c:pt idx="649">
                  <c:v>559</c:v>
                </c:pt>
                <c:pt idx="650">
                  <c:v>295</c:v>
                </c:pt>
                <c:pt idx="651">
                  <c:v>314</c:v>
                </c:pt>
                <c:pt idx="652">
                  <c:v>364</c:v>
                </c:pt>
                <c:pt idx="653">
                  <c:v>647</c:v>
                </c:pt>
                <c:pt idx="654">
                  <c:v>648</c:v>
                </c:pt>
                <c:pt idx="655">
                  <c:v>593</c:v>
                </c:pt>
                <c:pt idx="656">
                  <c:v>699</c:v>
                </c:pt>
                <c:pt idx="657">
                  <c:v>635</c:v>
                </c:pt>
                <c:pt idx="658">
                  <c:v>509</c:v>
                </c:pt>
                <c:pt idx="659">
                  <c:v>444</c:v>
                </c:pt>
                <c:pt idx="660">
                  <c:v>998</c:v>
                </c:pt>
                <c:pt idx="661">
                  <c:v>353</c:v>
                </c:pt>
                <c:pt idx="662">
                  <c:v>412</c:v>
                </c:pt>
                <c:pt idx="663">
                  <c:v>447</c:v>
                </c:pt>
                <c:pt idx="664">
                  <c:v>385</c:v>
                </c:pt>
                <c:pt idx="665">
                  <c:v>440</c:v>
                </c:pt>
                <c:pt idx="666">
                  <c:v>462</c:v>
                </c:pt>
                <c:pt idx="667">
                  <c:v>566</c:v>
                </c:pt>
                <c:pt idx="668">
                  <c:v>295</c:v>
                </c:pt>
                <c:pt idx="669">
                  <c:v>263</c:v>
                </c:pt>
                <c:pt idx="670">
                  <c:v>298</c:v>
                </c:pt>
                <c:pt idx="671">
                  <c:v>160</c:v>
                </c:pt>
                <c:pt idx="672">
                  <c:v>236</c:v>
                </c:pt>
                <c:pt idx="673">
                  <c:v>319</c:v>
                </c:pt>
                <c:pt idx="674">
                  <c:v>188</c:v>
                </c:pt>
                <c:pt idx="675">
                  <c:v>212</c:v>
                </c:pt>
                <c:pt idx="676">
                  <c:v>232</c:v>
                </c:pt>
                <c:pt idx="677">
                  <c:v>449</c:v>
                </c:pt>
                <c:pt idx="678">
                  <c:v>260</c:v>
                </c:pt>
                <c:pt idx="679">
                  <c:v>295</c:v>
                </c:pt>
                <c:pt idx="680">
                  <c:v>328</c:v>
                </c:pt>
                <c:pt idx="681">
                  <c:v>289</c:v>
                </c:pt>
                <c:pt idx="682">
                  <c:v>338</c:v>
                </c:pt>
                <c:pt idx="683">
                  <c:v>388</c:v>
                </c:pt>
                <c:pt idx="684">
                  <c:v>488</c:v>
                </c:pt>
                <c:pt idx="685">
                  <c:v>251</c:v>
                </c:pt>
                <c:pt idx="686">
                  <c:v>285</c:v>
                </c:pt>
                <c:pt idx="687">
                  <c:v>241</c:v>
                </c:pt>
                <c:pt idx="688">
                  <c:v>226</c:v>
                </c:pt>
                <c:pt idx="689">
                  <c:v>285</c:v>
                </c:pt>
                <c:pt idx="690">
                  <c:v>260</c:v>
                </c:pt>
                <c:pt idx="691">
                  <c:v>211</c:v>
                </c:pt>
                <c:pt idx="692">
                  <c:v>262</c:v>
                </c:pt>
                <c:pt idx="693">
                  <c:v>324</c:v>
                </c:pt>
                <c:pt idx="694">
                  <c:v>312</c:v>
                </c:pt>
                <c:pt idx="695">
                  <c:v>235</c:v>
                </c:pt>
                <c:pt idx="696">
                  <c:v>442</c:v>
                </c:pt>
                <c:pt idx="697">
                  <c:v>1000</c:v>
                </c:pt>
                <c:pt idx="698">
                  <c:v>489</c:v>
                </c:pt>
                <c:pt idx="699">
                  <c:v>336</c:v>
                </c:pt>
                <c:pt idx="700">
                  <c:v>239</c:v>
                </c:pt>
                <c:pt idx="701">
                  <c:v>377</c:v>
                </c:pt>
                <c:pt idx="702">
                  <c:v>297</c:v>
                </c:pt>
                <c:pt idx="703">
                  <c:v>258</c:v>
                </c:pt>
                <c:pt idx="704">
                  <c:v>393</c:v>
                </c:pt>
                <c:pt idx="705">
                  <c:v>249</c:v>
                </c:pt>
                <c:pt idx="706">
                  <c:v>297</c:v>
                </c:pt>
                <c:pt idx="707">
                  <c:v>196</c:v>
                </c:pt>
                <c:pt idx="708">
                  <c:v>307</c:v>
                </c:pt>
                <c:pt idx="709">
                  <c:v>625</c:v>
                </c:pt>
                <c:pt idx="710">
                  <c:v>484</c:v>
                </c:pt>
                <c:pt idx="711">
                  <c:v>293</c:v>
                </c:pt>
                <c:pt idx="712">
                  <c:v>330</c:v>
                </c:pt>
                <c:pt idx="713">
                  <c:v>312</c:v>
                </c:pt>
                <c:pt idx="714">
                  <c:v>353</c:v>
                </c:pt>
                <c:pt idx="715">
                  <c:v>646</c:v>
                </c:pt>
                <c:pt idx="716">
                  <c:v>217</c:v>
                </c:pt>
                <c:pt idx="717">
                  <c:v>255</c:v>
                </c:pt>
                <c:pt idx="718">
                  <c:v>429</c:v>
                </c:pt>
                <c:pt idx="719">
                  <c:v>538</c:v>
                </c:pt>
                <c:pt idx="720">
                  <c:v>151</c:v>
                </c:pt>
                <c:pt idx="721">
                  <c:v>248</c:v>
                </c:pt>
                <c:pt idx="722">
                  <c:v>313</c:v>
                </c:pt>
                <c:pt idx="723">
                  <c:v>56</c:v>
                </c:pt>
                <c:pt idx="724">
                  <c:v>307</c:v>
                </c:pt>
                <c:pt idx="725">
                  <c:v>476</c:v>
                </c:pt>
                <c:pt idx="726">
                  <c:v>919</c:v>
                </c:pt>
                <c:pt idx="727">
                  <c:v>558</c:v>
                </c:pt>
                <c:pt idx="728">
                  <c:v>453</c:v>
                </c:pt>
                <c:pt idx="729">
                  <c:v>249</c:v>
                </c:pt>
                <c:pt idx="730">
                  <c:v>314</c:v>
                </c:pt>
                <c:pt idx="731">
                  <c:v>223</c:v>
                </c:pt>
                <c:pt idx="732">
                  <c:v>276</c:v>
                </c:pt>
                <c:pt idx="733">
                  <c:v>282</c:v>
                </c:pt>
                <c:pt idx="734">
                  <c:v>454</c:v>
                </c:pt>
                <c:pt idx="735">
                  <c:v>495</c:v>
                </c:pt>
                <c:pt idx="736">
                  <c:v>307</c:v>
                </c:pt>
                <c:pt idx="737">
                  <c:v>337</c:v>
                </c:pt>
                <c:pt idx="738">
                  <c:v>442</c:v>
                </c:pt>
                <c:pt idx="739">
                  <c:v>407</c:v>
                </c:pt>
                <c:pt idx="740">
                  <c:v>378</c:v>
                </c:pt>
                <c:pt idx="741">
                  <c:v>467</c:v>
                </c:pt>
                <c:pt idx="742">
                  <c:v>497</c:v>
                </c:pt>
                <c:pt idx="743">
                  <c:v>570</c:v>
                </c:pt>
                <c:pt idx="744">
                  <c:v>492</c:v>
                </c:pt>
                <c:pt idx="745">
                  <c:v>616</c:v>
                </c:pt>
                <c:pt idx="746">
                  <c:v>373</c:v>
                </c:pt>
                <c:pt idx="747">
                  <c:v>808</c:v>
                </c:pt>
                <c:pt idx="748">
                  <c:v>831</c:v>
                </c:pt>
                <c:pt idx="749">
                  <c:v>437</c:v>
                </c:pt>
                <c:pt idx="750">
                  <c:v>543</c:v>
                </c:pt>
                <c:pt idx="751">
                  <c:v>412</c:v>
                </c:pt>
                <c:pt idx="752">
                  <c:v>488</c:v>
                </c:pt>
                <c:pt idx="753">
                  <c:v>567</c:v>
                </c:pt>
                <c:pt idx="754">
                  <c:v>879</c:v>
                </c:pt>
                <c:pt idx="755">
                  <c:v>918</c:v>
                </c:pt>
                <c:pt idx="756">
                  <c:v>341</c:v>
                </c:pt>
                <c:pt idx="757">
                  <c:v>385</c:v>
                </c:pt>
                <c:pt idx="758">
                  <c:v>268</c:v>
                </c:pt>
                <c:pt idx="759">
                  <c:v>386</c:v>
                </c:pt>
                <c:pt idx="760">
                  <c:v>467</c:v>
                </c:pt>
                <c:pt idx="761">
                  <c:v>366</c:v>
                </c:pt>
                <c:pt idx="762">
                  <c:v>415</c:v>
                </c:pt>
                <c:pt idx="763">
                  <c:v>470</c:v>
                </c:pt>
                <c:pt idx="764">
                  <c:v>223</c:v>
                </c:pt>
                <c:pt idx="765">
                  <c:v>379</c:v>
                </c:pt>
                <c:pt idx="766">
                  <c:v>345</c:v>
                </c:pt>
                <c:pt idx="767">
                  <c:v>641</c:v>
                </c:pt>
                <c:pt idx="768">
                  <c:v>300</c:v>
                </c:pt>
                <c:pt idx="769">
                  <c:v>341</c:v>
                </c:pt>
                <c:pt idx="770">
                  <c:v>270</c:v>
                </c:pt>
                <c:pt idx="771">
                  <c:v>269</c:v>
                </c:pt>
                <c:pt idx="772">
                  <c:v>303</c:v>
                </c:pt>
                <c:pt idx="773">
                  <c:v>271</c:v>
                </c:pt>
                <c:pt idx="774">
                  <c:v>313</c:v>
                </c:pt>
                <c:pt idx="775">
                  <c:v>741</c:v>
                </c:pt>
                <c:pt idx="776">
                  <c:v>275</c:v>
                </c:pt>
                <c:pt idx="777">
                  <c:v>266</c:v>
                </c:pt>
                <c:pt idx="778">
                  <c:v>274</c:v>
                </c:pt>
                <c:pt idx="779">
                  <c:v>414</c:v>
                </c:pt>
                <c:pt idx="780">
                  <c:v>360</c:v>
                </c:pt>
                <c:pt idx="781">
                  <c:v>462</c:v>
                </c:pt>
                <c:pt idx="782">
                  <c:v>424</c:v>
                </c:pt>
                <c:pt idx="783">
                  <c:v>549</c:v>
                </c:pt>
                <c:pt idx="784">
                  <c:v>919</c:v>
                </c:pt>
                <c:pt idx="785">
                  <c:v>1500</c:v>
                </c:pt>
                <c:pt idx="786">
                  <c:v>328</c:v>
                </c:pt>
                <c:pt idx="787">
                  <c:v>371</c:v>
                </c:pt>
                <c:pt idx="788">
                  <c:v>555</c:v>
                </c:pt>
                <c:pt idx="789">
                  <c:v>512</c:v>
                </c:pt>
                <c:pt idx="790">
                  <c:v>255</c:v>
                </c:pt>
                <c:pt idx="791">
                  <c:v>285</c:v>
                </c:pt>
                <c:pt idx="792">
                  <c:v>263</c:v>
                </c:pt>
                <c:pt idx="793">
                  <c:v>171</c:v>
                </c:pt>
                <c:pt idx="794">
                  <c:v>189</c:v>
                </c:pt>
                <c:pt idx="795">
                  <c:v>410</c:v>
                </c:pt>
                <c:pt idx="796">
                  <c:v>261</c:v>
                </c:pt>
                <c:pt idx="797">
                  <c:v>371</c:v>
                </c:pt>
                <c:pt idx="798">
                  <c:v>307</c:v>
                </c:pt>
                <c:pt idx="799">
                  <c:v>165</c:v>
                </c:pt>
                <c:pt idx="800">
                  <c:v>329</c:v>
                </c:pt>
                <c:pt idx="801">
                  <c:v>572</c:v>
                </c:pt>
                <c:pt idx="802">
                  <c:v>490</c:v>
                </c:pt>
                <c:pt idx="803">
                  <c:v>278</c:v>
                </c:pt>
                <c:pt idx="804">
                  <c:v>226</c:v>
                </c:pt>
                <c:pt idx="805">
                  <c:v>265</c:v>
                </c:pt>
                <c:pt idx="806">
                  <c:v>296</c:v>
                </c:pt>
                <c:pt idx="807">
                  <c:v>214</c:v>
                </c:pt>
                <c:pt idx="808">
                  <c:v>292</c:v>
                </c:pt>
                <c:pt idx="809">
                  <c:v>506</c:v>
                </c:pt>
                <c:pt idx="810">
                  <c:v>819</c:v>
                </c:pt>
                <c:pt idx="811">
                  <c:v>732</c:v>
                </c:pt>
                <c:pt idx="812">
                  <c:v>286</c:v>
                </c:pt>
                <c:pt idx="813">
                  <c:v>610</c:v>
                </c:pt>
                <c:pt idx="814">
                  <c:v>441</c:v>
                </c:pt>
                <c:pt idx="815">
                  <c:v>493</c:v>
                </c:pt>
                <c:pt idx="816">
                  <c:v>375</c:v>
                </c:pt>
                <c:pt idx="817">
                  <c:v>605</c:v>
                </c:pt>
                <c:pt idx="818">
                  <c:v>1200</c:v>
                </c:pt>
                <c:pt idx="819">
                  <c:v>999</c:v>
                </c:pt>
                <c:pt idx="820">
                  <c:v>2000</c:v>
                </c:pt>
                <c:pt idx="821">
                  <c:v>320</c:v>
                </c:pt>
                <c:pt idx="822">
                  <c:v>268</c:v>
                </c:pt>
                <c:pt idx="823">
                  <c:v>431</c:v>
                </c:pt>
                <c:pt idx="824">
                  <c:v>330</c:v>
                </c:pt>
                <c:pt idx="825">
                  <c:v>290</c:v>
                </c:pt>
                <c:pt idx="826">
                  <c:v>512</c:v>
                </c:pt>
                <c:pt idx="827">
                  <c:v>571</c:v>
                </c:pt>
                <c:pt idx="828">
                  <c:v>458</c:v>
                </c:pt>
                <c:pt idx="829">
                  <c:v>528</c:v>
                </c:pt>
                <c:pt idx="830">
                  <c:v>374</c:v>
                </c:pt>
                <c:pt idx="831">
                  <c:v>259</c:v>
                </c:pt>
                <c:pt idx="832">
                  <c:v>371</c:v>
                </c:pt>
                <c:pt idx="833">
                  <c:v>637</c:v>
                </c:pt>
                <c:pt idx="834">
                  <c:v>685</c:v>
                </c:pt>
                <c:pt idx="835">
                  <c:v>319</c:v>
                </c:pt>
                <c:pt idx="836">
                  <c:v>323</c:v>
                </c:pt>
                <c:pt idx="837">
                  <c:v>217</c:v>
                </c:pt>
                <c:pt idx="838">
                  <c:v>359</c:v>
                </c:pt>
                <c:pt idx="839">
                  <c:v>355</c:v>
                </c:pt>
                <c:pt idx="840">
                  <c:v>499</c:v>
                </c:pt>
                <c:pt idx="841">
                  <c:v>344</c:v>
                </c:pt>
                <c:pt idx="842">
                  <c:v>228</c:v>
                </c:pt>
                <c:pt idx="843">
                  <c:v>329</c:v>
                </c:pt>
                <c:pt idx="844">
                  <c:v>1000</c:v>
                </c:pt>
                <c:pt idx="845">
                  <c:v>243</c:v>
                </c:pt>
                <c:pt idx="846">
                  <c:v>327</c:v>
                </c:pt>
                <c:pt idx="847">
                  <c:v>279</c:v>
                </c:pt>
                <c:pt idx="848">
                  <c:v>227</c:v>
                </c:pt>
                <c:pt idx="849">
                  <c:v>237</c:v>
                </c:pt>
                <c:pt idx="850">
                  <c:v>181</c:v>
                </c:pt>
                <c:pt idx="851">
                  <c:v>328</c:v>
                </c:pt>
                <c:pt idx="852">
                  <c:v>353</c:v>
                </c:pt>
                <c:pt idx="853">
                  <c:v>240</c:v>
                </c:pt>
                <c:pt idx="854">
                  <c:v>386</c:v>
                </c:pt>
                <c:pt idx="855">
                  <c:v>385</c:v>
                </c:pt>
                <c:pt idx="856">
                  <c:v>359</c:v>
                </c:pt>
                <c:pt idx="857">
                  <c:v>309</c:v>
                </c:pt>
                <c:pt idx="858">
                  <c:v>234</c:v>
                </c:pt>
                <c:pt idx="859">
                  <c:v>297</c:v>
                </c:pt>
                <c:pt idx="860">
                  <c:v>412</c:v>
                </c:pt>
                <c:pt idx="861">
                  <c:v>268</c:v>
                </c:pt>
                <c:pt idx="862">
                  <c:v>216</c:v>
                </c:pt>
                <c:pt idx="863">
                  <c:v>399</c:v>
                </c:pt>
                <c:pt idx="864">
                  <c:v>705</c:v>
                </c:pt>
                <c:pt idx="865">
                  <c:v>671</c:v>
                </c:pt>
                <c:pt idx="866">
                  <c:v>325</c:v>
                </c:pt>
                <c:pt idx="867">
                  <c:v>321</c:v>
                </c:pt>
                <c:pt idx="868">
                  <c:v>642</c:v>
                </c:pt>
                <c:pt idx="869">
                  <c:v>664</c:v>
                </c:pt>
                <c:pt idx="870">
                  <c:v>1000</c:v>
                </c:pt>
                <c:pt idx="871">
                  <c:v>531</c:v>
                </c:pt>
                <c:pt idx="872">
                  <c:v>979</c:v>
                </c:pt>
                <c:pt idx="873">
                  <c:v>888</c:v>
                </c:pt>
                <c:pt idx="874">
                  <c:v>819</c:v>
                </c:pt>
                <c:pt idx="875">
                  <c:v>466</c:v>
                </c:pt>
                <c:pt idx="876">
                  <c:v>533</c:v>
                </c:pt>
                <c:pt idx="877">
                  <c:v>967</c:v>
                </c:pt>
                <c:pt idx="878">
                  <c:v>813</c:v>
                </c:pt>
                <c:pt idx="879">
                  <c:v>955</c:v>
                </c:pt>
                <c:pt idx="880">
                  <c:v>1000</c:v>
                </c:pt>
                <c:pt idx="881">
                  <c:v>1000</c:v>
                </c:pt>
                <c:pt idx="882">
                  <c:v>2500</c:v>
                </c:pt>
                <c:pt idx="883">
                  <c:v>686</c:v>
                </c:pt>
                <c:pt idx="884">
                  <c:v>557</c:v>
                </c:pt>
                <c:pt idx="885">
                  <c:v>376</c:v>
                </c:pt>
                <c:pt idx="886">
                  <c:v>610</c:v>
                </c:pt>
                <c:pt idx="887">
                  <c:v>506</c:v>
                </c:pt>
                <c:pt idx="888">
                  <c:v>359</c:v>
                </c:pt>
                <c:pt idx="889">
                  <c:v>424</c:v>
                </c:pt>
                <c:pt idx="890">
                  <c:v>510</c:v>
                </c:pt>
                <c:pt idx="891">
                  <c:v>499</c:v>
                </c:pt>
                <c:pt idx="892">
                  <c:v>322</c:v>
                </c:pt>
                <c:pt idx="893">
                  <c:v>255</c:v>
                </c:pt>
                <c:pt idx="894">
                  <c:v>266</c:v>
                </c:pt>
                <c:pt idx="895">
                  <c:v>265</c:v>
                </c:pt>
                <c:pt idx="896">
                  <c:v>284</c:v>
                </c:pt>
                <c:pt idx="897">
                  <c:v>253</c:v>
                </c:pt>
                <c:pt idx="898">
                  <c:v>270</c:v>
                </c:pt>
                <c:pt idx="899">
                  <c:v>391</c:v>
                </c:pt>
                <c:pt idx="900">
                  <c:v>462</c:v>
                </c:pt>
                <c:pt idx="901">
                  <c:v>167</c:v>
                </c:pt>
                <c:pt idx="902">
                  <c:v>324</c:v>
                </c:pt>
                <c:pt idx="903">
                  <c:v>731</c:v>
                </c:pt>
                <c:pt idx="904">
                  <c:v>250</c:v>
                </c:pt>
                <c:pt idx="905">
                  <c:v>511</c:v>
                </c:pt>
                <c:pt idx="906">
                  <c:v>418</c:v>
                </c:pt>
                <c:pt idx="907">
                  <c:v>467</c:v>
                </c:pt>
                <c:pt idx="908">
                  <c:v>319</c:v>
                </c:pt>
                <c:pt idx="909">
                  <c:v>207</c:v>
                </c:pt>
                <c:pt idx="910">
                  <c:v>249</c:v>
                </c:pt>
                <c:pt idx="911">
                  <c:v>439</c:v>
                </c:pt>
                <c:pt idx="912">
                  <c:v>565</c:v>
                </c:pt>
                <c:pt idx="913">
                  <c:v>1000</c:v>
                </c:pt>
                <c:pt idx="914">
                  <c:v>250</c:v>
                </c:pt>
                <c:pt idx="915">
                  <c:v>274</c:v>
                </c:pt>
                <c:pt idx="916">
                  <c:v>297</c:v>
                </c:pt>
                <c:pt idx="917">
                  <c:v>234</c:v>
                </c:pt>
                <c:pt idx="918">
                  <c:v>213</c:v>
                </c:pt>
                <c:pt idx="919">
                  <c:v>543</c:v>
                </c:pt>
                <c:pt idx="920">
                  <c:v>403</c:v>
                </c:pt>
                <c:pt idx="921">
                  <c:v>400</c:v>
                </c:pt>
                <c:pt idx="922">
                  <c:v>315</c:v>
                </c:pt>
                <c:pt idx="923">
                  <c:v>250</c:v>
                </c:pt>
                <c:pt idx="924">
                  <c:v>258</c:v>
                </c:pt>
                <c:pt idx="925">
                  <c:v>243</c:v>
                </c:pt>
                <c:pt idx="926">
                  <c:v>219</c:v>
                </c:pt>
                <c:pt idx="927">
                  <c:v>185</c:v>
                </c:pt>
                <c:pt idx="928">
                  <c:v>142</c:v>
                </c:pt>
                <c:pt idx="929">
                  <c:v>270</c:v>
                </c:pt>
                <c:pt idx="930">
                  <c:v>210</c:v>
                </c:pt>
                <c:pt idx="931">
                  <c:v>158</c:v>
                </c:pt>
                <c:pt idx="932">
                  <c:v>241</c:v>
                </c:pt>
                <c:pt idx="933">
                  <c:v>285</c:v>
                </c:pt>
                <c:pt idx="934">
                  <c:v>279</c:v>
                </c:pt>
                <c:pt idx="935">
                  <c:v>140</c:v>
                </c:pt>
                <c:pt idx="936">
                  <c:v>113</c:v>
                </c:pt>
                <c:pt idx="937">
                  <c:v>210</c:v>
                </c:pt>
                <c:pt idx="938">
                  <c:v>220</c:v>
                </c:pt>
                <c:pt idx="939">
                  <c:v>144</c:v>
                </c:pt>
                <c:pt idx="940">
                  <c:v>198</c:v>
                </c:pt>
                <c:pt idx="941">
                  <c:v>209</c:v>
                </c:pt>
                <c:pt idx="942">
                  <c:v>162</c:v>
                </c:pt>
                <c:pt idx="943">
                  <c:v>173</c:v>
                </c:pt>
                <c:pt idx="944">
                  <c:v>401</c:v>
                </c:pt>
                <c:pt idx="945">
                  <c:v>239</c:v>
                </c:pt>
                <c:pt idx="946">
                  <c:v>509</c:v>
                </c:pt>
                <c:pt idx="947">
                  <c:v>547</c:v>
                </c:pt>
                <c:pt idx="948">
                  <c:v>382</c:v>
                </c:pt>
                <c:pt idx="949">
                  <c:v>265</c:v>
                </c:pt>
                <c:pt idx="950">
                  <c:v>173</c:v>
                </c:pt>
                <c:pt idx="951">
                  <c:v>292</c:v>
                </c:pt>
                <c:pt idx="952">
                  <c:v>475</c:v>
                </c:pt>
                <c:pt idx="953">
                  <c:v>383</c:v>
                </c:pt>
                <c:pt idx="954">
                  <c:v>196</c:v>
                </c:pt>
                <c:pt idx="955">
                  <c:v>183</c:v>
                </c:pt>
                <c:pt idx="956">
                  <c:v>277</c:v>
                </c:pt>
                <c:pt idx="957">
                  <c:v>119</c:v>
                </c:pt>
                <c:pt idx="958">
                  <c:v>180</c:v>
                </c:pt>
                <c:pt idx="959">
                  <c:v>125</c:v>
                </c:pt>
                <c:pt idx="960">
                  <c:v>209</c:v>
                </c:pt>
                <c:pt idx="961">
                  <c:v>253</c:v>
                </c:pt>
                <c:pt idx="962">
                  <c:v>825</c:v>
                </c:pt>
                <c:pt idx="963">
                  <c:v>32</c:v>
                </c:pt>
                <c:pt idx="964">
                  <c:v>388</c:v>
                </c:pt>
                <c:pt idx="965">
                  <c:v>177</c:v>
                </c:pt>
                <c:pt idx="966">
                  <c:v>469</c:v>
                </c:pt>
                <c:pt idx="967">
                  <c:v>659</c:v>
                </c:pt>
                <c:pt idx="968">
                  <c:v>556</c:v>
                </c:pt>
                <c:pt idx="969">
                  <c:v>364</c:v>
                </c:pt>
                <c:pt idx="970">
                  <c:v>372</c:v>
                </c:pt>
                <c:pt idx="971">
                  <c:v>245</c:v>
                </c:pt>
                <c:pt idx="972">
                  <c:v>330</c:v>
                </c:pt>
                <c:pt idx="973">
                  <c:v>318</c:v>
                </c:pt>
                <c:pt idx="974">
                  <c:v>703</c:v>
                </c:pt>
                <c:pt idx="975">
                  <c:v>868</c:v>
                </c:pt>
                <c:pt idx="976">
                  <c:v>1500</c:v>
                </c:pt>
                <c:pt idx="977">
                  <c:v>599</c:v>
                </c:pt>
                <c:pt idx="978">
                  <c:v>347</c:v>
                </c:pt>
                <c:pt idx="979">
                  <c:v>407</c:v>
                </c:pt>
                <c:pt idx="980">
                  <c:v>346</c:v>
                </c:pt>
                <c:pt idx="981">
                  <c:v>234</c:v>
                </c:pt>
                <c:pt idx="982">
                  <c:v>583</c:v>
                </c:pt>
                <c:pt idx="983">
                  <c:v>279</c:v>
                </c:pt>
                <c:pt idx="984">
                  <c:v>229</c:v>
                </c:pt>
                <c:pt idx="985">
                  <c:v>339</c:v>
                </c:pt>
                <c:pt idx="986">
                  <c:v>366</c:v>
                </c:pt>
                <c:pt idx="987">
                  <c:v>422</c:v>
                </c:pt>
                <c:pt idx="988">
                  <c:v>490</c:v>
                </c:pt>
                <c:pt idx="989">
                  <c:v>403</c:v>
                </c:pt>
                <c:pt idx="990">
                  <c:v>261</c:v>
                </c:pt>
                <c:pt idx="991">
                  <c:v>341</c:v>
                </c:pt>
                <c:pt idx="992">
                  <c:v>201</c:v>
                </c:pt>
                <c:pt idx="993">
                  <c:v>206</c:v>
                </c:pt>
                <c:pt idx="994">
                  <c:v>214</c:v>
                </c:pt>
                <c:pt idx="995">
                  <c:v>291</c:v>
                </c:pt>
                <c:pt idx="996">
                  <c:v>503</c:v>
                </c:pt>
                <c:pt idx="997">
                  <c:v>216</c:v>
                </c:pt>
                <c:pt idx="998">
                  <c:v>235</c:v>
                </c:pt>
                <c:pt idx="999">
                  <c:v>168</c:v>
                </c:pt>
                <c:pt idx="1000">
                  <c:v>187</c:v>
                </c:pt>
                <c:pt idx="1001">
                  <c:v>159</c:v>
                </c:pt>
                <c:pt idx="1002">
                  <c:v>198</c:v>
                </c:pt>
                <c:pt idx="1003">
                  <c:v>240</c:v>
                </c:pt>
                <c:pt idx="1004">
                  <c:v>212</c:v>
                </c:pt>
                <c:pt idx="1005">
                  <c:v>198</c:v>
                </c:pt>
                <c:pt idx="1006">
                  <c:v>393</c:v>
                </c:pt>
                <c:pt idx="1007">
                  <c:v>352</c:v>
                </c:pt>
                <c:pt idx="1008">
                  <c:v>475</c:v>
                </c:pt>
                <c:pt idx="1009">
                  <c:v>319</c:v>
                </c:pt>
                <c:pt idx="1010">
                  <c:v>497</c:v>
                </c:pt>
                <c:pt idx="1011">
                  <c:v>183</c:v>
                </c:pt>
                <c:pt idx="1012">
                  <c:v>146</c:v>
                </c:pt>
                <c:pt idx="1013">
                  <c:v>174</c:v>
                </c:pt>
                <c:pt idx="1014">
                  <c:v>310</c:v>
                </c:pt>
                <c:pt idx="1015">
                  <c:v>358</c:v>
                </c:pt>
                <c:pt idx="1016">
                  <c:v>724</c:v>
                </c:pt>
                <c:pt idx="1017">
                  <c:v>204</c:v>
                </c:pt>
                <c:pt idx="1018">
                  <c:v>191</c:v>
                </c:pt>
                <c:pt idx="1019">
                  <c:v>207</c:v>
                </c:pt>
                <c:pt idx="1020">
                  <c:v>206</c:v>
                </c:pt>
                <c:pt idx="1021">
                  <c:v>129</c:v>
                </c:pt>
                <c:pt idx="1022">
                  <c:v>164</c:v>
                </c:pt>
                <c:pt idx="1023">
                  <c:v>236</c:v>
                </c:pt>
                <c:pt idx="1024">
                  <c:v>250</c:v>
                </c:pt>
                <c:pt idx="1025">
                  <c:v>173</c:v>
                </c:pt>
                <c:pt idx="1026">
                  <c:v>258</c:v>
                </c:pt>
                <c:pt idx="1027">
                  <c:v>385</c:v>
                </c:pt>
                <c:pt idx="1028">
                  <c:v>202</c:v>
                </c:pt>
                <c:pt idx="1029">
                  <c:v>245</c:v>
                </c:pt>
                <c:pt idx="1030">
                  <c:v>227</c:v>
                </c:pt>
                <c:pt idx="1031">
                  <c:v>289</c:v>
                </c:pt>
                <c:pt idx="1032">
                  <c:v>297</c:v>
                </c:pt>
                <c:pt idx="1033">
                  <c:v>369</c:v>
                </c:pt>
                <c:pt idx="1034">
                  <c:v>813</c:v>
                </c:pt>
                <c:pt idx="1035">
                  <c:v>1000</c:v>
                </c:pt>
                <c:pt idx="1036">
                  <c:v>953</c:v>
                </c:pt>
                <c:pt idx="1037">
                  <c:v>365</c:v>
                </c:pt>
                <c:pt idx="1038">
                  <c:v>436</c:v>
                </c:pt>
                <c:pt idx="1039">
                  <c:v>292</c:v>
                </c:pt>
                <c:pt idx="1040">
                  <c:v>379</c:v>
                </c:pt>
                <c:pt idx="1041">
                  <c:v>372</c:v>
                </c:pt>
                <c:pt idx="1042">
                  <c:v>610</c:v>
                </c:pt>
                <c:pt idx="1043">
                  <c:v>170</c:v>
                </c:pt>
                <c:pt idx="1044">
                  <c:v>365</c:v>
                </c:pt>
                <c:pt idx="1045">
                  <c:v>382</c:v>
                </c:pt>
                <c:pt idx="1046">
                  <c:v>681</c:v>
                </c:pt>
                <c:pt idx="1047">
                  <c:v>134</c:v>
                </c:pt>
                <c:pt idx="1048">
                  <c:v>256</c:v>
                </c:pt>
                <c:pt idx="1049">
                  <c:v>274</c:v>
                </c:pt>
                <c:pt idx="1050">
                  <c:v>283</c:v>
                </c:pt>
                <c:pt idx="1051">
                  <c:v>235</c:v>
                </c:pt>
                <c:pt idx="1052">
                  <c:v>127</c:v>
                </c:pt>
                <c:pt idx="1053">
                  <c:v>183</c:v>
                </c:pt>
                <c:pt idx="1054">
                  <c:v>278</c:v>
                </c:pt>
                <c:pt idx="1055">
                  <c:v>438</c:v>
                </c:pt>
                <c:pt idx="1056">
                  <c:v>542</c:v>
                </c:pt>
                <c:pt idx="1057">
                  <c:v>361</c:v>
                </c:pt>
                <c:pt idx="1058">
                  <c:v>367</c:v>
                </c:pt>
                <c:pt idx="1059">
                  <c:v>637</c:v>
                </c:pt>
                <c:pt idx="1060">
                  <c:v>224</c:v>
                </c:pt>
                <c:pt idx="1061">
                  <c:v>193</c:v>
                </c:pt>
                <c:pt idx="1062">
                  <c:v>160</c:v>
                </c:pt>
                <c:pt idx="1063">
                  <c:v>193</c:v>
                </c:pt>
                <c:pt idx="1064">
                  <c:v>198</c:v>
                </c:pt>
                <c:pt idx="1065">
                  <c:v>345</c:v>
                </c:pt>
                <c:pt idx="1066">
                  <c:v>218</c:v>
                </c:pt>
                <c:pt idx="1067">
                  <c:v>617</c:v>
                </c:pt>
                <c:pt idx="1068">
                  <c:v>205</c:v>
                </c:pt>
                <c:pt idx="1069">
                  <c:v>349</c:v>
                </c:pt>
                <c:pt idx="1070">
                  <c:v>567</c:v>
                </c:pt>
                <c:pt idx="1071">
                  <c:v>397</c:v>
                </c:pt>
                <c:pt idx="1072">
                  <c:v>328</c:v>
                </c:pt>
                <c:pt idx="1073">
                  <c:v>285</c:v>
                </c:pt>
                <c:pt idx="1074">
                  <c:v>1700</c:v>
                </c:pt>
                <c:pt idx="1075">
                  <c:v>248</c:v>
                </c:pt>
                <c:pt idx="1076">
                  <c:v>176</c:v>
                </c:pt>
                <c:pt idx="1077">
                  <c:v>288</c:v>
                </c:pt>
                <c:pt idx="1078">
                  <c:v>307</c:v>
                </c:pt>
                <c:pt idx="1079">
                  <c:v>256</c:v>
                </c:pt>
                <c:pt idx="1080">
                  <c:v>475</c:v>
                </c:pt>
                <c:pt idx="1081">
                  <c:v>451</c:v>
                </c:pt>
                <c:pt idx="1082">
                  <c:v>357</c:v>
                </c:pt>
                <c:pt idx="1083">
                  <c:v>405</c:v>
                </c:pt>
                <c:pt idx="1084">
                  <c:v>392</c:v>
                </c:pt>
                <c:pt idx="1085">
                  <c:v>1000</c:v>
                </c:pt>
                <c:pt idx="1086">
                  <c:v>872</c:v>
                </c:pt>
                <c:pt idx="1087">
                  <c:v>745</c:v>
                </c:pt>
                <c:pt idx="1088">
                  <c:v>246</c:v>
                </c:pt>
                <c:pt idx="1089">
                  <c:v>215</c:v>
                </c:pt>
                <c:pt idx="1090">
                  <c:v>330</c:v>
                </c:pt>
                <c:pt idx="1091">
                  <c:v>402</c:v>
                </c:pt>
                <c:pt idx="1092">
                  <c:v>475</c:v>
                </c:pt>
                <c:pt idx="1093">
                  <c:v>406</c:v>
                </c:pt>
                <c:pt idx="1094">
                  <c:v>414</c:v>
                </c:pt>
                <c:pt idx="1095">
                  <c:v>512</c:v>
                </c:pt>
                <c:pt idx="1096">
                  <c:v>697</c:v>
                </c:pt>
                <c:pt idx="1097">
                  <c:v>968</c:v>
                </c:pt>
                <c:pt idx="1098">
                  <c:v>1800</c:v>
                </c:pt>
                <c:pt idx="1099">
                  <c:v>1230</c:v>
                </c:pt>
                <c:pt idx="1100">
                  <c:v>559</c:v>
                </c:pt>
                <c:pt idx="1101">
                  <c:v>636</c:v>
                </c:pt>
                <c:pt idx="1102">
                  <c:v>490</c:v>
                </c:pt>
                <c:pt idx="1103">
                  <c:v>551</c:v>
                </c:pt>
                <c:pt idx="1104">
                  <c:v>585</c:v>
                </c:pt>
                <c:pt idx="1105">
                  <c:v>592</c:v>
                </c:pt>
                <c:pt idx="1106">
                  <c:v>635</c:v>
                </c:pt>
                <c:pt idx="1107">
                  <c:v>301</c:v>
                </c:pt>
                <c:pt idx="1108">
                  <c:v>508</c:v>
                </c:pt>
                <c:pt idx="1109">
                  <c:v>540</c:v>
                </c:pt>
                <c:pt idx="1110">
                  <c:v>531</c:v>
                </c:pt>
                <c:pt idx="1111">
                  <c:v>647</c:v>
                </c:pt>
                <c:pt idx="1112">
                  <c:v>422</c:v>
                </c:pt>
                <c:pt idx="1113">
                  <c:v>303</c:v>
                </c:pt>
                <c:pt idx="1114">
                  <c:v>547</c:v>
                </c:pt>
                <c:pt idx="1115">
                  <c:v>716</c:v>
                </c:pt>
                <c:pt idx="1116">
                  <c:v>890</c:v>
                </c:pt>
                <c:pt idx="1117">
                  <c:v>467</c:v>
                </c:pt>
                <c:pt idx="1118">
                  <c:v>654</c:v>
                </c:pt>
                <c:pt idx="1119">
                  <c:v>345</c:v>
                </c:pt>
                <c:pt idx="1120">
                  <c:v>443</c:v>
                </c:pt>
                <c:pt idx="1121">
                  <c:v>614</c:v>
                </c:pt>
                <c:pt idx="1122">
                  <c:v>349</c:v>
                </c:pt>
                <c:pt idx="1123">
                  <c:v>673</c:v>
                </c:pt>
                <c:pt idx="1124">
                  <c:v>302</c:v>
                </c:pt>
                <c:pt idx="1125">
                  <c:v>483</c:v>
                </c:pt>
                <c:pt idx="1126">
                  <c:v>658</c:v>
                </c:pt>
                <c:pt idx="1127">
                  <c:v>2000</c:v>
                </c:pt>
                <c:pt idx="1128">
                  <c:v>1000</c:v>
                </c:pt>
                <c:pt idx="1129">
                  <c:v>467</c:v>
                </c:pt>
                <c:pt idx="1130">
                  <c:v>438</c:v>
                </c:pt>
                <c:pt idx="1131">
                  <c:v>609</c:v>
                </c:pt>
                <c:pt idx="1132">
                  <c:v>1000</c:v>
                </c:pt>
                <c:pt idx="1133">
                  <c:v>803</c:v>
                </c:pt>
                <c:pt idx="1134">
                  <c:v>378</c:v>
                </c:pt>
                <c:pt idx="1135">
                  <c:v>453</c:v>
                </c:pt>
                <c:pt idx="1136">
                  <c:v>528</c:v>
                </c:pt>
                <c:pt idx="1137">
                  <c:v>499</c:v>
                </c:pt>
                <c:pt idx="1138">
                  <c:v>573</c:v>
                </c:pt>
                <c:pt idx="1139">
                  <c:v>555</c:v>
                </c:pt>
                <c:pt idx="1140">
                  <c:v>595</c:v>
                </c:pt>
                <c:pt idx="1141">
                  <c:v>277</c:v>
                </c:pt>
                <c:pt idx="1142">
                  <c:v>408</c:v>
                </c:pt>
                <c:pt idx="1143">
                  <c:v>390</c:v>
                </c:pt>
                <c:pt idx="1144">
                  <c:v>1000</c:v>
                </c:pt>
                <c:pt idx="1145">
                  <c:v>947</c:v>
                </c:pt>
                <c:pt idx="1146">
                  <c:v>769</c:v>
                </c:pt>
                <c:pt idx="1147">
                  <c:v>1000</c:v>
                </c:pt>
                <c:pt idx="1148">
                  <c:v>683</c:v>
                </c:pt>
                <c:pt idx="1149">
                  <c:v>952</c:v>
                </c:pt>
                <c:pt idx="1150">
                  <c:v>2000</c:v>
                </c:pt>
                <c:pt idx="1151">
                  <c:v>1460</c:v>
                </c:pt>
                <c:pt idx="1152">
                  <c:v>745</c:v>
                </c:pt>
                <c:pt idx="1153">
                  <c:v>576</c:v>
                </c:pt>
                <c:pt idx="1154">
                  <c:v>1210</c:v>
                </c:pt>
                <c:pt idx="1155">
                  <c:v>3000</c:v>
                </c:pt>
                <c:pt idx="1156">
                  <c:v>680</c:v>
                </c:pt>
                <c:pt idx="1157">
                  <c:v>481</c:v>
                </c:pt>
                <c:pt idx="1158">
                  <c:v>321</c:v>
                </c:pt>
                <c:pt idx="1159">
                  <c:v>483</c:v>
                </c:pt>
                <c:pt idx="1160">
                  <c:v>461</c:v>
                </c:pt>
                <c:pt idx="1161">
                  <c:v>589</c:v>
                </c:pt>
                <c:pt idx="1162">
                  <c:v>464</c:v>
                </c:pt>
                <c:pt idx="1163">
                  <c:v>423</c:v>
                </c:pt>
                <c:pt idx="1164">
                  <c:v>591</c:v>
                </c:pt>
                <c:pt idx="1165">
                  <c:v>714</c:v>
                </c:pt>
                <c:pt idx="1166">
                  <c:v>802</c:v>
                </c:pt>
                <c:pt idx="1167">
                  <c:v>742</c:v>
                </c:pt>
                <c:pt idx="1168">
                  <c:v>701</c:v>
                </c:pt>
                <c:pt idx="1169">
                  <c:v>530</c:v>
                </c:pt>
                <c:pt idx="1170">
                  <c:v>453</c:v>
                </c:pt>
                <c:pt idx="1171">
                  <c:v>355</c:v>
                </c:pt>
                <c:pt idx="1172">
                  <c:v>728</c:v>
                </c:pt>
                <c:pt idx="1173">
                  <c:v>1000</c:v>
                </c:pt>
                <c:pt idx="1174">
                  <c:v>401</c:v>
                </c:pt>
                <c:pt idx="1175">
                  <c:v>410</c:v>
                </c:pt>
                <c:pt idx="1176">
                  <c:v>431</c:v>
                </c:pt>
                <c:pt idx="1177">
                  <c:v>449</c:v>
                </c:pt>
                <c:pt idx="1178">
                  <c:v>576</c:v>
                </c:pt>
                <c:pt idx="1179">
                  <c:v>598</c:v>
                </c:pt>
                <c:pt idx="1180">
                  <c:v>549</c:v>
                </c:pt>
                <c:pt idx="1181">
                  <c:v>834</c:v>
                </c:pt>
                <c:pt idx="1182">
                  <c:v>630</c:v>
                </c:pt>
                <c:pt idx="1183">
                  <c:v>1000</c:v>
                </c:pt>
                <c:pt idx="1184">
                  <c:v>919</c:v>
                </c:pt>
                <c:pt idx="1185">
                  <c:v>974</c:v>
                </c:pt>
                <c:pt idx="1186">
                  <c:v>1000</c:v>
                </c:pt>
                <c:pt idx="1187">
                  <c:v>1500</c:v>
                </c:pt>
                <c:pt idx="1188">
                  <c:v>1500</c:v>
                </c:pt>
                <c:pt idx="1189">
                  <c:v>910</c:v>
                </c:pt>
                <c:pt idx="1190">
                  <c:v>3000</c:v>
                </c:pt>
                <c:pt idx="1191">
                  <c:v>740</c:v>
                </c:pt>
                <c:pt idx="1192">
                  <c:v>696</c:v>
                </c:pt>
                <c:pt idx="1193">
                  <c:v>752</c:v>
                </c:pt>
                <c:pt idx="1194">
                  <c:v>920</c:v>
                </c:pt>
                <c:pt idx="1195">
                  <c:v>486</c:v>
                </c:pt>
                <c:pt idx="1196">
                  <c:v>481</c:v>
                </c:pt>
                <c:pt idx="1197">
                  <c:v>372</c:v>
                </c:pt>
                <c:pt idx="1198">
                  <c:v>438</c:v>
                </c:pt>
                <c:pt idx="1199">
                  <c:v>445</c:v>
                </c:pt>
                <c:pt idx="1200">
                  <c:v>540</c:v>
                </c:pt>
                <c:pt idx="1201">
                  <c:v>437</c:v>
                </c:pt>
                <c:pt idx="1202">
                  <c:v>708</c:v>
                </c:pt>
                <c:pt idx="1203">
                  <c:v>428</c:v>
                </c:pt>
                <c:pt idx="1204">
                  <c:v>668</c:v>
                </c:pt>
                <c:pt idx="1205">
                  <c:v>811</c:v>
                </c:pt>
                <c:pt idx="1206">
                  <c:v>1000</c:v>
                </c:pt>
                <c:pt idx="1207">
                  <c:v>447</c:v>
                </c:pt>
                <c:pt idx="1208">
                  <c:v>426</c:v>
                </c:pt>
                <c:pt idx="1209">
                  <c:v>584</c:v>
                </c:pt>
                <c:pt idx="1210">
                  <c:v>495</c:v>
                </c:pt>
                <c:pt idx="1211">
                  <c:v>582</c:v>
                </c:pt>
                <c:pt idx="1212">
                  <c:v>489</c:v>
                </c:pt>
                <c:pt idx="1213">
                  <c:v>934</c:v>
                </c:pt>
                <c:pt idx="1214">
                  <c:v>927</c:v>
                </c:pt>
                <c:pt idx="1215">
                  <c:v>509</c:v>
                </c:pt>
                <c:pt idx="1216">
                  <c:v>1000</c:v>
                </c:pt>
                <c:pt idx="1217">
                  <c:v>727</c:v>
                </c:pt>
                <c:pt idx="1218">
                  <c:v>886</c:v>
                </c:pt>
                <c:pt idx="1219">
                  <c:v>2000</c:v>
                </c:pt>
                <c:pt idx="1220">
                  <c:v>2000</c:v>
                </c:pt>
                <c:pt idx="1221">
                  <c:v>871</c:v>
                </c:pt>
                <c:pt idx="1222">
                  <c:v>636</c:v>
                </c:pt>
                <c:pt idx="1223">
                  <c:v>669</c:v>
                </c:pt>
                <c:pt idx="1224">
                  <c:v>545</c:v>
                </c:pt>
                <c:pt idx="1225">
                  <c:v>817</c:v>
                </c:pt>
                <c:pt idx="1226">
                  <c:v>2000</c:v>
                </c:pt>
                <c:pt idx="1227">
                  <c:v>488</c:v>
                </c:pt>
                <c:pt idx="1228">
                  <c:v>405</c:v>
                </c:pt>
                <c:pt idx="1229">
                  <c:v>801</c:v>
                </c:pt>
                <c:pt idx="1230">
                  <c:v>1000</c:v>
                </c:pt>
                <c:pt idx="1231">
                  <c:v>351</c:v>
                </c:pt>
                <c:pt idx="1232">
                  <c:v>313</c:v>
                </c:pt>
                <c:pt idx="1233">
                  <c:v>406</c:v>
                </c:pt>
                <c:pt idx="1234">
                  <c:v>548</c:v>
                </c:pt>
                <c:pt idx="1235">
                  <c:v>772</c:v>
                </c:pt>
                <c:pt idx="1236">
                  <c:v>248</c:v>
                </c:pt>
                <c:pt idx="1237">
                  <c:v>321</c:v>
                </c:pt>
                <c:pt idx="1238">
                  <c:v>456</c:v>
                </c:pt>
                <c:pt idx="1239">
                  <c:v>307</c:v>
                </c:pt>
                <c:pt idx="1240">
                  <c:v>509</c:v>
                </c:pt>
              </c:numCache>
            </c:numRef>
          </c:val>
          <c:smooth val="0"/>
          <c:extLst xmlns:c16r2="http://schemas.microsoft.com/office/drawing/2015/06/chart">
            <c:ext xmlns:c16="http://schemas.microsoft.com/office/drawing/2014/chart" uri="{C3380CC4-5D6E-409C-BE32-E72D297353CC}">
              <c16:uniqueId val="{00000000-B3E8-4AC0-9EF3-10A7FB40BDB8}"/>
            </c:ext>
          </c:extLst>
        </c:ser>
        <c:dLbls>
          <c:showLegendKey val="0"/>
          <c:showVal val="0"/>
          <c:showCatName val="0"/>
          <c:showSerName val="0"/>
          <c:showPercent val="0"/>
          <c:showBubbleSize val="0"/>
        </c:dLbls>
        <c:smooth val="0"/>
        <c:axId val="-1502550656"/>
        <c:axId val="-1502548480"/>
      </c:lineChart>
      <c:catAx>
        <c:axId val="-1502550656"/>
        <c:scaling>
          <c:orientation val="maxMin"/>
        </c:scaling>
        <c:delete val="0"/>
        <c:axPos val="b"/>
        <c:numFmt formatCode="General" sourceLinked="1"/>
        <c:majorTickMark val="none"/>
        <c:minorTickMark val="none"/>
        <c:tickLblPos val="nextTo"/>
        <c:spPr>
          <a:noFill/>
          <a:ln w="9525" cap="flat" cmpd="sng" algn="ctr">
            <a:solidFill>
              <a:schemeClr val="bg1">
                <a:lumMod val="95000"/>
              </a:schemeClr>
            </a:solidFill>
            <a:round/>
          </a:ln>
          <a:effectLst>
            <a:outerShdw blurRad="50800" dist="38100" dir="5400000" algn="t" rotWithShape="0">
              <a:prstClr val="black">
                <a:alpha val="40000"/>
              </a:prstClr>
            </a:outerShdw>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548480"/>
        <c:crosses val="autoZero"/>
        <c:auto val="1"/>
        <c:lblAlgn val="ctr"/>
        <c:lblOffset val="100"/>
        <c:noMultiLvlLbl val="0"/>
      </c:catAx>
      <c:valAx>
        <c:axId val="-150254848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solidFill>
              <a:schemeClr val="bg1">
                <a:lumMod val="95000"/>
              </a:schemeClr>
            </a:solid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550656"/>
        <c:crosses val="max"/>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FFFF00"/>
            </a:solidFill>
            <a:ln>
              <a:solidFill>
                <a:schemeClr val="tx1"/>
              </a:solidFill>
            </a:ln>
            <a:effectLst>
              <a:innerShdw blurRad="63500" dist="50800" dir="189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VALUATION &amp; OTHERS'!$B$13:$B$18</c:f>
              <c:strCache>
                <c:ptCount val="6"/>
                <c:pt idx="0">
                  <c:v>Prom.</c:v>
                </c:pt>
                <c:pt idx="1">
                  <c:v>FIIs </c:v>
                </c:pt>
                <c:pt idx="2">
                  <c:v>DIIs </c:v>
                </c:pt>
                <c:pt idx="3">
                  <c:v>Gov.</c:v>
                </c:pt>
                <c:pt idx="4">
                  <c:v>Public </c:v>
                </c:pt>
                <c:pt idx="5">
                  <c:v>Others </c:v>
                </c:pt>
              </c:strCache>
            </c:strRef>
          </c:cat>
          <c:val>
            <c:numRef>
              <c:f>'DATA VALUATION &amp; OTHERS'!$H$13:$H$18</c:f>
              <c:numCache>
                <c:formatCode>0.00%</c:formatCode>
                <c:ptCount val="6"/>
                <c:pt idx="0">
                  <c:v>0.59230000000000005</c:v>
                </c:pt>
                <c:pt idx="1">
                  <c:v>0.1517</c:v>
                </c:pt>
                <c:pt idx="2">
                  <c:v>0.16789999999999999</c:v>
                </c:pt>
                <c:pt idx="3">
                  <c:v>5.0000000000000001E-4</c:v>
                </c:pt>
                <c:pt idx="4">
                  <c:v>8.5699999999999998E-2</c:v>
                </c:pt>
                <c:pt idx="5">
                  <c:v>1.8E-3</c:v>
                </c:pt>
              </c:numCache>
            </c:numRef>
          </c:val>
          <c:extLst xmlns:c16r2="http://schemas.microsoft.com/office/drawing/2015/06/chart">
            <c:ext xmlns:c16="http://schemas.microsoft.com/office/drawing/2014/chart" uri="{C3380CC4-5D6E-409C-BE32-E72D297353CC}">
              <c16:uniqueId val="{00000000-57C9-42DF-A4D1-CCD939DCA659}"/>
            </c:ext>
          </c:extLst>
        </c:ser>
        <c:dLbls>
          <c:showLegendKey val="0"/>
          <c:showVal val="0"/>
          <c:showCatName val="0"/>
          <c:showSerName val="0"/>
          <c:showPercent val="0"/>
          <c:showBubbleSize val="0"/>
        </c:dLbls>
        <c:gapWidth val="182"/>
        <c:axId val="-1502549568"/>
        <c:axId val="-1502549024"/>
      </c:barChart>
      <c:catAx>
        <c:axId val="-1502549568"/>
        <c:scaling>
          <c:orientation val="minMax"/>
        </c:scaling>
        <c:delete val="0"/>
        <c:axPos val="l"/>
        <c:numFmt formatCode="General" sourceLinked="1"/>
        <c:majorTickMark val="none"/>
        <c:minorTickMark val="none"/>
        <c:tickLblPos val="nextTo"/>
        <c:spPr>
          <a:noFill/>
          <a:ln w="9525" cap="flat" cmpd="sng" algn="ctr">
            <a:solidFill>
              <a:schemeClr val="bg1">
                <a:lumMod val="9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549024"/>
        <c:crosses val="autoZero"/>
        <c:auto val="1"/>
        <c:lblAlgn val="ctr"/>
        <c:lblOffset val="100"/>
        <c:noMultiLvlLbl val="0"/>
      </c:catAx>
      <c:valAx>
        <c:axId val="-1502549024"/>
        <c:scaling>
          <c:orientation val="minMax"/>
        </c:scaling>
        <c:delete val="0"/>
        <c:axPos val="b"/>
        <c:majorGridlines>
          <c:spPr>
            <a:ln w="9525" cap="flat" cmpd="sng" algn="ctr">
              <a:noFill/>
              <a:round/>
            </a:ln>
            <a:effectLst/>
          </c:spPr>
        </c:majorGridlines>
        <c:numFmt formatCode="0.00%" sourceLinked="1"/>
        <c:majorTickMark val="none"/>
        <c:minorTickMark val="none"/>
        <c:tickLblPos val="nextTo"/>
        <c:spPr>
          <a:noFill/>
          <a:ln>
            <a:solidFill>
              <a:schemeClr val="bg1">
                <a:lumMod val="95000"/>
              </a:schemeClr>
            </a:solid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5495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FORECAST!$B$9</c:f>
              <c:strCache>
                <c:ptCount val="1"/>
                <c:pt idx="0">
                  <c:v>Total Income</c:v>
                </c:pt>
              </c:strCache>
            </c:strRef>
          </c:tx>
          <c:spPr>
            <a:solidFill>
              <a:srgbClr val="FFFF00"/>
            </a:solidFill>
            <a:ln>
              <a:noFill/>
            </a:ln>
            <a:effectLst>
              <a:innerShdw blurRad="63500" dist="50800" dir="18900000">
                <a:prstClr val="black">
                  <a:alpha val="50000"/>
                </a:prstClr>
              </a:innerShdw>
            </a:effectLst>
          </c:spPr>
          <c:invertIfNegative val="0"/>
          <c:dLbls>
            <c:dLbl>
              <c:idx val="0"/>
              <c:layout>
                <c:manualLayout>
                  <c:x val="-4.0610317090972866E-17"/>
                  <c:y val="-1.8518518518518563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ADB5-4D4E-8B8B-F762DAE160BE}"/>
                </c:ext>
                <c:ext xmlns:c15="http://schemas.microsoft.com/office/drawing/2012/chart" uri="{CE6537A1-D6FC-4f65-9D91-7224C49458BB}"/>
              </c:extLst>
            </c:dLbl>
            <c:dLbl>
              <c:idx val="4"/>
              <c:layout>
                <c:manualLayout>
                  <c:x val="2.2151337940811626E-3"/>
                  <c:y val="-4.7945214098661454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2A40-47F0-A2CD-E96988DB32EC}"/>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lumMod val="95000"/>
                    <a:lumOff val="5000"/>
                  </a:schemeClr>
                </a:solidFill>
                <a:prstDash val="dash"/>
                <a:headEnd type="oval"/>
                <a:tailEnd type="oval"/>
              </a:ln>
              <a:effectLst/>
            </c:spPr>
            <c:trendlineType val="exp"/>
            <c:dispRSqr val="0"/>
            <c:dispEq val="0"/>
          </c:trendline>
          <c:cat>
            <c:numRef>
              <c:f>FORECAST!$C$7:$G$7</c:f>
              <c:numCache>
                <c:formatCode>yyyy\/\A</c:formatCode>
                <c:ptCount val="5"/>
                <c:pt idx="0">
                  <c:v>44440</c:v>
                </c:pt>
                <c:pt idx="1">
                  <c:v>44805</c:v>
                </c:pt>
                <c:pt idx="2">
                  <c:v>45170</c:v>
                </c:pt>
                <c:pt idx="3">
                  <c:v>45536</c:v>
                </c:pt>
                <c:pt idx="4">
                  <c:v>45901</c:v>
                </c:pt>
              </c:numCache>
            </c:numRef>
          </c:cat>
          <c:val>
            <c:numRef>
              <c:f>FORECAST!$C$9:$G$9</c:f>
              <c:numCache>
                <c:formatCode>#,##0_);\(#,##0\);"--"</c:formatCode>
                <c:ptCount val="5"/>
                <c:pt idx="0">
                  <c:v>45459</c:v>
                </c:pt>
                <c:pt idx="1">
                  <c:v>53106.64</c:v>
                </c:pt>
                <c:pt idx="2">
                  <c:v>63743.060000000005</c:v>
                </c:pt>
                <c:pt idx="3">
                  <c:v>71525</c:v>
                </c:pt>
                <c:pt idx="4">
                  <c:v>76699</c:v>
                </c:pt>
              </c:numCache>
            </c:numRef>
          </c:val>
          <c:extLst xmlns:c16r2="http://schemas.microsoft.com/office/drawing/2015/06/chart">
            <c:ext xmlns:c16="http://schemas.microsoft.com/office/drawing/2014/chart" uri="{C3380CC4-5D6E-409C-BE32-E72D297353CC}">
              <c16:uniqueId val="{00000000-F346-4BDE-8CC2-DBF57BA800A2}"/>
            </c:ext>
          </c:extLst>
        </c:ser>
        <c:dLbls>
          <c:showLegendKey val="0"/>
          <c:showVal val="0"/>
          <c:showCatName val="0"/>
          <c:showSerName val="0"/>
          <c:showPercent val="0"/>
          <c:showBubbleSize val="0"/>
        </c:dLbls>
        <c:gapWidth val="100"/>
        <c:overlap val="-27"/>
        <c:axId val="-1502547392"/>
        <c:axId val="-1502544128"/>
      </c:barChart>
      <c:dateAx>
        <c:axId val="-1502547392"/>
        <c:scaling>
          <c:orientation val="minMax"/>
        </c:scaling>
        <c:delete val="0"/>
        <c:axPos val="b"/>
        <c:numFmt formatCode="yyyy\/\A" sourceLinked="1"/>
        <c:majorTickMark val="none"/>
        <c:minorTickMark val="none"/>
        <c:tickLblPos val="nextTo"/>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544128"/>
        <c:crosses val="autoZero"/>
        <c:auto val="1"/>
        <c:lblOffset val="100"/>
        <c:baseTimeUnit val="years"/>
      </c:dateAx>
      <c:valAx>
        <c:axId val="-1502544128"/>
        <c:scaling>
          <c:orientation val="minMax"/>
        </c:scaling>
        <c:delete val="0"/>
        <c:axPos val="l"/>
        <c:majorGridlines>
          <c:spPr>
            <a:ln w="9525" cap="flat" cmpd="sng" algn="ctr">
              <a:noFill/>
              <a:round/>
            </a:ln>
            <a:effectLst/>
          </c:spPr>
        </c:majorGridlines>
        <c:numFmt formatCode="#,##0_);\(#,##0\);&quot;--&quot;"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5473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FORECAST!$B$32</c:f>
              <c:strCache>
                <c:ptCount val="1"/>
                <c:pt idx="0">
                  <c:v>Dividends per Share</c:v>
                </c:pt>
              </c:strCache>
            </c:strRef>
          </c:tx>
          <c:spPr>
            <a:ln w="38100" cap="rnd">
              <a:solidFill>
                <a:srgbClr val="FFFF00"/>
              </a:solidFill>
              <a:round/>
            </a:ln>
            <a:effectLst>
              <a:innerShdw blurRad="63500" dist="50800" dir="18900000">
                <a:prstClr val="black">
                  <a:alpha val="50000"/>
                </a:prstClr>
              </a:innerShdw>
            </a:effectLst>
          </c:spPr>
          <c:marker>
            <c:symbol val="circle"/>
            <c:size val="5"/>
            <c:spPr>
              <a:solidFill>
                <a:schemeClr val="bg2">
                  <a:lumMod val="10000"/>
                </a:schemeClr>
              </a:solidFill>
              <a:ln w="60325" cap="sq">
                <a:solidFill>
                  <a:schemeClr val="tx1">
                    <a:lumMod val="95000"/>
                    <a:lumOff val="5000"/>
                  </a:schemeClr>
                </a:solidFill>
              </a:ln>
              <a:effectLst>
                <a:innerShdw blurRad="63500" dist="50800" dir="18900000">
                  <a:prstClr val="black">
                    <a:alpha val="50000"/>
                  </a:prstClr>
                </a:innerShdw>
              </a:effectLst>
            </c:spPr>
          </c:marker>
          <c:dLbls>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FORECAST!$C$7:$G$7</c:f>
              <c:numCache>
                <c:formatCode>yyyy\/\A</c:formatCode>
                <c:ptCount val="5"/>
                <c:pt idx="0">
                  <c:v>44440</c:v>
                </c:pt>
                <c:pt idx="1">
                  <c:v>44805</c:v>
                </c:pt>
                <c:pt idx="2">
                  <c:v>45170</c:v>
                </c:pt>
                <c:pt idx="3">
                  <c:v>45536</c:v>
                </c:pt>
                <c:pt idx="4">
                  <c:v>45901</c:v>
                </c:pt>
              </c:numCache>
            </c:numRef>
          </c:cat>
          <c:val>
            <c:numRef>
              <c:f>FORECAST!$C$32:$G$32</c:f>
              <c:numCache>
                <c:formatCode>0.00</c:formatCode>
                <c:ptCount val="5"/>
                <c:pt idx="0">
                  <c:v>12.740089960417416</c:v>
                </c:pt>
                <c:pt idx="1">
                  <c:v>36.968773004082195</c:v>
                </c:pt>
                <c:pt idx="2">
                  <c:v>37.778686503451098</c:v>
                </c:pt>
                <c:pt idx="3">
                  <c:v>37.650528553209583</c:v>
                </c:pt>
                <c:pt idx="4">
                  <c:v>67.04313830651715</c:v>
                </c:pt>
              </c:numCache>
            </c:numRef>
          </c:val>
          <c:smooth val="0"/>
          <c:extLst xmlns:c16r2="http://schemas.microsoft.com/office/drawing/2015/06/chart">
            <c:ext xmlns:c16="http://schemas.microsoft.com/office/drawing/2014/chart" uri="{C3380CC4-5D6E-409C-BE32-E72D297353CC}">
              <c16:uniqueId val="{00000000-8653-4C45-92B0-E8CB804B9868}"/>
            </c:ext>
          </c:extLst>
        </c:ser>
        <c:dLbls>
          <c:showLegendKey val="0"/>
          <c:showVal val="0"/>
          <c:showCatName val="0"/>
          <c:showSerName val="0"/>
          <c:showPercent val="0"/>
          <c:showBubbleSize val="0"/>
        </c:dLbls>
        <c:marker val="1"/>
        <c:smooth val="0"/>
        <c:axId val="-1502543584"/>
        <c:axId val="-1502542496"/>
      </c:lineChart>
      <c:dateAx>
        <c:axId val="-1502543584"/>
        <c:scaling>
          <c:orientation val="minMax"/>
        </c:scaling>
        <c:delete val="0"/>
        <c:axPos val="b"/>
        <c:numFmt formatCode="yyyy\/\A" sourceLinked="1"/>
        <c:majorTickMark val="none"/>
        <c:minorTickMark val="none"/>
        <c:tickLblPos val="nextTo"/>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542496"/>
        <c:crosses val="autoZero"/>
        <c:auto val="1"/>
        <c:lblOffset val="100"/>
        <c:baseTimeUnit val="years"/>
      </c:dateAx>
      <c:valAx>
        <c:axId val="-1502542496"/>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5435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FORECAST!$B$32</c:f>
              <c:strCache>
                <c:ptCount val="1"/>
                <c:pt idx="0">
                  <c:v>Dividends per Share</c:v>
                </c:pt>
              </c:strCache>
            </c:strRef>
          </c:tx>
          <c:spPr>
            <a:ln w="38100" cap="rnd">
              <a:solidFill>
                <a:srgbClr val="FFFF00"/>
              </a:solidFill>
              <a:round/>
            </a:ln>
            <a:effectLst/>
          </c:spPr>
          <c:marker>
            <c:symbol val="circle"/>
            <c:size val="5"/>
            <c:spPr>
              <a:solidFill>
                <a:schemeClr val="tx1">
                  <a:lumMod val="95000"/>
                  <a:lumOff val="5000"/>
                </a:schemeClr>
              </a:solidFill>
              <a:ln w="60325">
                <a:solidFill>
                  <a:schemeClr val="tx1">
                    <a:lumMod val="95000"/>
                    <a:lumOff val="5000"/>
                  </a:schemeClr>
                </a:solidFill>
                <a:headEnd type="oval"/>
                <a:tailEnd type="ova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(FORECAST!$G$7,FORECAST!$J$7,FORECAST!$K$7,FORECAST!$L$7,FORECAST!$M$7,FORECAST!$N$7)</c:f>
              <c:numCache>
                <c:formatCode>yyyy\E</c:formatCode>
                <c:ptCount val="6"/>
                <c:pt idx="0" formatCode="yyyy\/\A">
                  <c:v>45901</c:v>
                </c:pt>
                <c:pt idx="1">
                  <c:v>46112</c:v>
                </c:pt>
                <c:pt idx="2">
                  <c:v>46477</c:v>
                </c:pt>
                <c:pt idx="3">
                  <c:v>46843</c:v>
                </c:pt>
                <c:pt idx="4">
                  <c:v>47208</c:v>
                </c:pt>
                <c:pt idx="5">
                  <c:v>47573</c:v>
                </c:pt>
              </c:numCache>
            </c:numRef>
          </c:cat>
          <c:val>
            <c:numRef>
              <c:f>(FORECAST!$G$32,FORECAST!$J$32:$N$32)</c:f>
              <c:numCache>
                <c:formatCode>0.00</c:formatCode>
                <c:ptCount val="6"/>
                <c:pt idx="0">
                  <c:v>67.04313830651715</c:v>
                </c:pt>
                <c:pt idx="1">
                  <c:v>39.945634703639001</c:v>
                </c:pt>
                <c:pt idx="2">
                  <c:v>45.578207337335336</c:v>
                </c:pt>
                <c:pt idx="3">
                  <c:v>47.596906718393335</c:v>
                </c:pt>
                <c:pt idx="4">
                  <c:v>49.325318662845667</c:v>
                </c:pt>
                <c:pt idx="5">
                  <c:v>52.929994610233997</c:v>
                </c:pt>
              </c:numCache>
            </c:numRef>
          </c:val>
          <c:smooth val="0"/>
          <c:extLst xmlns:c16r2="http://schemas.microsoft.com/office/drawing/2015/06/chart">
            <c:ext xmlns:c16="http://schemas.microsoft.com/office/drawing/2014/chart" uri="{C3380CC4-5D6E-409C-BE32-E72D297353CC}">
              <c16:uniqueId val="{00000000-0873-4F1B-8557-FD31140F748D}"/>
            </c:ext>
          </c:extLst>
        </c:ser>
        <c:dLbls>
          <c:showLegendKey val="0"/>
          <c:showVal val="0"/>
          <c:showCatName val="0"/>
          <c:showSerName val="0"/>
          <c:showPercent val="0"/>
          <c:showBubbleSize val="0"/>
        </c:dLbls>
        <c:marker val="1"/>
        <c:smooth val="0"/>
        <c:axId val="-1504840672"/>
        <c:axId val="-1306055472"/>
      </c:lineChart>
      <c:dateAx>
        <c:axId val="-1504840672"/>
        <c:scaling>
          <c:orientation val="minMax"/>
        </c:scaling>
        <c:delete val="0"/>
        <c:axPos val="b"/>
        <c:numFmt formatCode="yyyy\/\A" sourceLinked="1"/>
        <c:majorTickMark val="none"/>
        <c:minorTickMark val="none"/>
        <c:tickLblPos val="nextTo"/>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5472"/>
        <c:crosses val="autoZero"/>
        <c:auto val="1"/>
        <c:lblOffset val="100"/>
        <c:baseTimeUnit val="years"/>
        <c:majorUnit val="1"/>
        <c:majorTimeUnit val="years"/>
      </c:dateAx>
      <c:valAx>
        <c:axId val="-1306055472"/>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840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FORECAST!$B$9</c:f>
              <c:strCache>
                <c:ptCount val="1"/>
                <c:pt idx="0">
                  <c:v>Total Income</c:v>
                </c:pt>
              </c:strCache>
            </c:strRef>
          </c:tx>
          <c:spPr>
            <a:solidFill>
              <a:srgbClr val="FFFF00"/>
            </a:solidFill>
            <a:ln>
              <a:noFill/>
            </a:ln>
            <a:effectLst>
              <a:innerShdw blurRad="63500" dist="50800" dir="189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lumMod val="95000"/>
                    <a:lumOff val="5000"/>
                  </a:schemeClr>
                </a:solidFill>
                <a:prstDash val="dash"/>
                <a:headEnd type="oval"/>
                <a:tailEnd type="oval"/>
              </a:ln>
              <a:effectLst/>
            </c:spPr>
            <c:trendlineType val="exp"/>
            <c:dispRSqr val="0"/>
            <c:dispEq val="0"/>
          </c:trendline>
          <c:cat>
            <c:numRef>
              <c:f>(FORECAST!$G$7,FORECAST!$J$7,FORECAST!$K$7,FORECAST!$L$7,FORECAST!$M$7,FORECAST!$N$7)</c:f>
              <c:numCache>
                <c:formatCode>yyyy\E</c:formatCode>
                <c:ptCount val="6"/>
                <c:pt idx="0" formatCode="yyyy\/\A">
                  <c:v>45901</c:v>
                </c:pt>
                <c:pt idx="1">
                  <c:v>46112</c:v>
                </c:pt>
                <c:pt idx="2">
                  <c:v>46477</c:v>
                </c:pt>
                <c:pt idx="3">
                  <c:v>46843</c:v>
                </c:pt>
                <c:pt idx="4">
                  <c:v>47208</c:v>
                </c:pt>
                <c:pt idx="5">
                  <c:v>47573</c:v>
                </c:pt>
              </c:numCache>
            </c:numRef>
          </c:cat>
          <c:val>
            <c:numRef>
              <c:f>(FORECAST!$G$9,FORECAST!$J$9:$N$9)</c:f>
              <c:numCache>
                <c:formatCode>#,##0_);\(#,##0\);"--"</c:formatCode>
                <c:ptCount val="6"/>
                <c:pt idx="0">
                  <c:v>76699</c:v>
                </c:pt>
                <c:pt idx="1">
                  <c:v>84774.607199999999</c:v>
                </c:pt>
                <c:pt idx="2">
                  <c:v>91506.881376000005</c:v>
                </c:pt>
                <c:pt idx="3">
                  <c:v>98777.737486080005</c:v>
                </c:pt>
                <c:pt idx="4">
                  <c:v>106630.26208496641</c:v>
                </c:pt>
                <c:pt idx="5">
                  <c:v>115110.98865176371</c:v>
                </c:pt>
              </c:numCache>
            </c:numRef>
          </c:val>
          <c:extLst xmlns:c16r2="http://schemas.microsoft.com/office/drawing/2015/06/chart">
            <c:ext xmlns:c16="http://schemas.microsoft.com/office/drawing/2014/chart" uri="{C3380CC4-5D6E-409C-BE32-E72D297353CC}">
              <c16:uniqueId val="{00000000-D36E-4DAE-B4EA-B37F93CA2CDE}"/>
            </c:ext>
          </c:extLst>
        </c:ser>
        <c:dLbls>
          <c:showLegendKey val="0"/>
          <c:showVal val="0"/>
          <c:showCatName val="0"/>
          <c:showSerName val="0"/>
          <c:showPercent val="0"/>
          <c:showBubbleSize val="0"/>
        </c:dLbls>
        <c:gapWidth val="77"/>
        <c:overlap val="-27"/>
        <c:axId val="-1306052752"/>
        <c:axId val="-1306052208"/>
      </c:barChart>
      <c:dateAx>
        <c:axId val="-1306052752"/>
        <c:scaling>
          <c:orientation val="minMax"/>
        </c:scaling>
        <c:delete val="0"/>
        <c:axPos val="b"/>
        <c:numFmt formatCode="yyyy\/\A" sourceLinked="1"/>
        <c:majorTickMark val="none"/>
        <c:minorTickMark val="none"/>
        <c:tickLblPos val="nextTo"/>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2208"/>
        <c:crosses val="autoZero"/>
        <c:auto val="0"/>
        <c:lblOffset val="100"/>
        <c:baseTimeUnit val="years"/>
        <c:majorUnit val="1"/>
        <c:majorTimeUnit val="years"/>
        <c:minorUnit val="1"/>
        <c:minorTimeUnit val="years"/>
      </c:dateAx>
      <c:valAx>
        <c:axId val="-1306052208"/>
        <c:scaling>
          <c:orientation val="minMax"/>
        </c:scaling>
        <c:delete val="0"/>
        <c:axPos val="l"/>
        <c:majorGridlines>
          <c:spPr>
            <a:ln w="9525" cap="flat" cmpd="sng" algn="ctr">
              <a:noFill/>
              <a:round/>
            </a:ln>
            <a:effectLst/>
          </c:spPr>
        </c:majorGridlines>
        <c:numFmt formatCode="#,##0_);\(#,##0\);&quot;--&quot;"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27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FORECAST!$B$50</c:f>
              <c:strCache>
                <c:ptCount val="1"/>
                <c:pt idx="0">
                  <c:v>Total Equity</c:v>
                </c:pt>
              </c:strCache>
            </c:strRef>
          </c:tx>
          <c:spPr>
            <a:solidFill>
              <a:srgbClr val="FFFF00"/>
            </a:solidFill>
            <a:ln w="12700">
              <a:solidFill>
                <a:schemeClr val="tx1">
                  <a:lumMod val="95000"/>
                  <a:lumOff val="5000"/>
                </a:schemeClr>
              </a:solidFill>
            </a:ln>
            <a:effectLst>
              <a:innerShdw blurRad="63500" dist="50800" dir="18900000">
                <a:prstClr val="black">
                  <a:alpha val="50000"/>
                </a:prstClr>
              </a:innerShdw>
            </a:effectLst>
          </c:spPr>
          <c:dLbls>
            <c:dLbl>
              <c:idx val="0"/>
              <c:layout>
                <c:manualLayout>
                  <c:x val="-6.6454013822435281E-3"/>
                  <c:y val="-0.28703703703703709"/>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6B7B-4508-A840-086CCB36B519}"/>
                </c:ext>
                <c:ext xmlns:c15="http://schemas.microsoft.com/office/drawing/2012/chart" uri="{CE6537A1-D6FC-4f65-9D91-7224C49458BB}"/>
              </c:extLst>
            </c:dLbl>
            <c:dLbl>
              <c:idx val="1"/>
              <c:layout>
                <c:manualLayout>
                  <c:x val="0"/>
                  <c:y val="-0.3194444444444444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6B7B-4508-A840-086CCB36B519}"/>
                </c:ext>
                <c:ext xmlns:c15="http://schemas.microsoft.com/office/drawing/2012/chart" uri="{CE6537A1-D6FC-4f65-9D91-7224C49458BB}"/>
              </c:extLst>
            </c:dLbl>
            <c:dLbl>
              <c:idx val="2"/>
              <c:layout>
                <c:manualLayout>
                  <c:x val="-1.3290802764486893E-2"/>
                  <c:y val="-0.34722222222222221"/>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6B7B-4508-A840-086CCB36B519}"/>
                </c:ext>
                <c:ext xmlns:c15="http://schemas.microsoft.com/office/drawing/2012/chart" uri="{CE6537A1-D6FC-4f65-9D91-7224C49458BB}"/>
              </c:extLst>
            </c:dLbl>
            <c:dLbl>
              <c:idx val="3"/>
              <c:layout>
                <c:manualLayout>
                  <c:x val="-3.3227006911217438E-2"/>
                  <c:y val="-0.375"/>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6B7B-4508-A840-086CCB36B519}"/>
                </c:ext>
                <c:ext xmlns:c15="http://schemas.microsoft.com/office/drawing/2012/chart" uri="{CE6537A1-D6FC-4f65-9D91-7224C49458BB}"/>
              </c:extLst>
            </c:dLbl>
            <c:dLbl>
              <c:idx val="4"/>
              <c:layout>
                <c:manualLayout>
                  <c:x val="-3.3227006911217438E-2"/>
                  <c:y val="-0.37198065274572045"/>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6-6B7B-4508-A840-086CCB36B519}"/>
                </c:ext>
                <c:ext xmlns:c15="http://schemas.microsoft.com/office/drawing/2012/chart" uri="{CE6537A1-D6FC-4f65-9D91-7224C49458BB}"/>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050" b="1" i="1"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ellipse">
                    <a:avLst/>
                  </a:prstGeom>
                  <a:noFill/>
                  <a:ln>
                    <a:noFill/>
                  </a:ln>
                </c15:spPr>
                <c15:showLeaderLines val="0"/>
              </c:ext>
            </c:extLst>
          </c:dLbls>
          <c:cat>
            <c:numRef>
              <c:f>FORECAST!$C$7:$G$7</c:f>
              <c:numCache>
                <c:formatCode>yyyy\/\A</c:formatCode>
                <c:ptCount val="5"/>
                <c:pt idx="0">
                  <c:v>44440</c:v>
                </c:pt>
                <c:pt idx="1">
                  <c:v>44805</c:v>
                </c:pt>
                <c:pt idx="2">
                  <c:v>45170</c:v>
                </c:pt>
                <c:pt idx="3">
                  <c:v>45536</c:v>
                </c:pt>
                <c:pt idx="4">
                  <c:v>45901</c:v>
                </c:pt>
              </c:numCache>
            </c:numRef>
          </c:cat>
          <c:val>
            <c:numRef>
              <c:f>FORECAST!$C$50:$G$50</c:f>
              <c:numCache>
                <c:formatCode>#,##0_);\(#,##0\);"--"</c:formatCode>
                <c:ptCount val="5"/>
                <c:pt idx="0">
                  <c:v>44174</c:v>
                </c:pt>
                <c:pt idx="1">
                  <c:v>50435.27</c:v>
                </c:pt>
                <c:pt idx="2">
                  <c:v>54324.54</c:v>
                </c:pt>
                <c:pt idx="3">
                  <c:v>60226</c:v>
                </c:pt>
                <c:pt idx="4">
                  <c:v>70705</c:v>
                </c:pt>
              </c:numCache>
            </c:numRef>
          </c:val>
          <c:extLst xmlns:c16r2="http://schemas.microsoft.com/office/drawing/2015/06/chart">
            <c:ext xmlns:c16="http://schemas.microsoft.com/office/drawing/2014/chart" uri="{C3380CC4-5D6E-409C-BE32-E72D297353CC}">
              <c16:uniqueId val="{00000000-6B7B-4508-A840-086CCB36B519}"/>
            </c:ext>
          </c:extLst>
        </c:ser>
        <c:dLbls>
          <c:showLegendKey val="0"/>
          <c:showVal val="0"/>
          <c:showCatName val="0"/>
          <c:showSerName val="0"/>
          <c:showPercent val="0"/>
          <c:showBubbleSize val="0"/>
        </c:dLbls>
        <c:axId val="-1306051664"/>
        <c:axId val="-1306049488"/>
      </c:areaChart>
      <c:dateAx>
        <c:axId val="-1306051664"/>
        <c:scaling>
          <c:orientation val="minMax"/>
        </c:scaling>
        <c:delete val="0"/>
        <c:axPos val="b"/>
        <c:numFmt formatCode="yyyy\/\A" sourceLinked="1"/>
        <c:majorTickMark val="out"/>
        <c:minorTickMark val="none"/>
        <c:tickLblPos val="nextTo"/>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49488"/>
        <c:crosses val="autoZero"/>
        <c:auto val="1"/>
        <c:lblOffset val="100"/>
        <c:baseTimeUnit val="years"/>
        <c:majorUnit val="1"/>
        <c:majorTimeUnit val="years"/>
      </c:dateAx>
      <c:valAx>
        <c:axId val="-1306049488"/>
        <c:scaling>
          <c:orientation val="minMax"/>
        </c:scaling>
        <c:delete val="0"/>
        <c:axPos val="l"/>
        <c:majorGridlines>
          <c:spPr>
            <a:ln w="9525" cap="flat" cmpd="sng" algn="ctr">
              <a:noFill/>
              <a:round/>
            </a:ln>
            <a:effectLst/>
          </c:spPr>
        </c:majorGridlines>
        <c:numFmt formatCode="#,##0_);\(#,##0\);&quot;--&quot;"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1664"/>
        <c:crosses val="autoZero"/>
        <c:crossBetween val="between"/>
      </c:valAx>
      <c:spPr>
        <a:noFill/>
        <a:ln>
          <a:noFill/>
        </a:ln>
        <a:effectLst/>
      </c:spPr>
    </c:plotArea>
    <c:plotVisOnly val="1"/>
    <c:dispBlanksAs val="zero"/>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FORECAST!$B$50</c:f>
              <c:strCache>
                <c:ptCount val="1"/>
                <c:pt idx="0">
                  <c:v>Total Equity</c:v>
                </c:pt>
              </c:strCache>
            </c:strRef>
          </c:tx>
          <c:spPr>
            <a:solidFill>
              <a:srgbClr val="FFFF00"/>
            </a:solidFill>
            <a:ln w="12700">
              <a:solidFill>
                <a:schemeClr val="tx1">
                  <a:lumMod val="95000"/>
                  <a:lumOff val="5000"/>
                </a:schemeClr>
              </a:solidFill>
            </a:ln>
            <a:effectLst>
              <a:innerShdw blurRad="63500" dist="50800" dir="18900000">
                <a:prstClr val="black">
                  <a:alpha val="50000"/>
                </a:prstClr>
              </a:innerShdw>
            </a:effectLst>
          </c:spPr>
          <c:dLbls>
            <c:dLbl>
              <c:idx val="0"/>
              <c:layout>
                <c:manualLayout>
                  <c:x val="-1.5505936558568138E-2"/>
                  <c:y val="-0.3099838772881004"/>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F814-4567-B4BB-71E55932F177}"/>
                </c:ext>
                <c:ext xmlns:c15="http://schemas.microsoft.com/office/drawing/2012/chart" uri="{CE6537A1-D6FC-4f65-9D91-7224C49458BB}"/>
              </c:extLst>
            </c:dLbl>
            <c:dLbl>
              <c:idx val="1"/>
              <c:layout>
                <c:manualLayout>
                  <c:x val="-6.6454013822435281E-3"/>
                  <c:y val="-0.33272963769829988"/>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F814-4567-B4BB-71E55932F177}"/>
                </c:ext>
                <c:ext xmlns:c15="http://schemas.microsoft.com/office/drawing/2012/chart" uri="{CE6537A1-D6FC-4f65-9D91-7224C49458BB}"/>
              </c:extLst>
            </c:dLbl>
            <c:dLbl>
              <c:idx val="2"/>
              <c:layout>
                <c:manualLayout>
                  <c:x val="-8.8605351763247318E-3"/>
                  <c:y val="-0.35688397194745763"/>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F814-4567-B4BB-71E55932F177}"/>
                </c:ext>
                <c:ext xmlns:c15="http://schemas.microsoft.com/office/drawing/2012/chart" uri="{CE6537A1-D6FC-4f65-9D91-7224C49458BB}"/>
              </c:extLst>
            </c:dLbl>
            <c:dLbl>
              <c:idx val="3"/>
              <c:layout>
                <c:manualLayout>
                  <c:x val="-1.1075668970405813E-2"/>
                  <c:y val="-0.38768132503573577"/>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F814-4567-B4BB-71E55932F177}"/>
                </c:ext>
                <c:ext xmlns:c15="http://schemas.microsoft.com/office/drawing/2012/chart" uri="{CE6537A1-D6FC-4f65-9D91-7224C49458BB}"/>
              </c:extLst>
            </c:dLbl>
            <c:dLbl>
              <c:idx val="4"/>
              <c:layout>
                <c:manualLayout>
                  <c:x val="-1.9936204146730464E-2"/>
                  <c:y val="-0.40418657967295701"/>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F814-4567-B4BB-71E55932F177}"/>
                </c:ext>
                <c:ext xmlns:c15="http://schemas.microsoft.com/office/drawing/2012/chart" uri="{CE6537A1-D6FC-4f65-9D91-7224C49458BB}"/>
              </c:extLst>
            </c:dLbl>
            <c:dLbl>
              <c:idx val="5"/>
              <c:layout>
                <c:manualLayout>
                  <c:x val="-2.2151337940811786E-2"/>
                  <c:y val="-0.4170692167148987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6-F814-4567-B4BB-71E55932F177}"/>
                </c:ext>
                <c:ext xmlns:c15="http://schemas.microsoft.com/office/drawing/2012/chart" uri="{CE6537A1-D6FC-4f65-9D91-7224C49458BB}"/>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050" b="1" i="1"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bg1"/>
                      </a:solidFill>
                      <a:round/>
                    </a:ln>
                    <a:effectLst/>
                  </c:spPr>
                </c15:leaderLines>
              </c:ext>
            </c:extLst>
          </c:dLbls>
          <c:cat>
            <c:numRef>
              <c:f>(FORECAST!$G$7,FORECAST!$J$7,FORECAST!$K$7,FORECAST!$L$7,FORECAST!$M$7,FORECAST!$N$7)</c:f>
              <c:numCache>
                <c:formatCode>yyyy\E</c:formatCode>
                <c:ptCount val="6"/>
                <c:pt idx="0" formatCode="yyyy\/\A">
                  <c:v>45901</c:v>
                </c:pt>
                <c:pt idx="1">
                  <c:v>46112</c:v>
                </c:pt>
                <c:pt idx="2">
                  <c:v>46477</c:v>
                </c:pt>
                <c:pt idx="3">
                  <c:v>46843</c:v>
                </c:pt>
                <c:pt idx="4">
                  <c:v>47208</c:v>
                </c:pt>
                <c:pt idx="5">
                  <c:v>47573</c:v>
                </c:pt>
              </c:numCache>
            </c:numRef>
          </c:cat>
          <c:val>
            <c:numRef>
              <c:f>(FORECAST!$G$50,FORECAST!$J$50,FORECAST!$K$50,FORECAST!$L$50,FORECAST!$M$50,FORECAST!$N$50)</c:f>
              <c:numCache>
                <c:formatCode>#,##0_);\(#,##0\);"--"</c:formatCode>
                <c:ptCount val="6"/>
                <c:pt idx="0">
                  <c:v>70705</c:v>
                </c:pt>
                <c:pt idx="1">
                  <c:v>79576.785999999993</c:v>
                </c:pt>
                <c:pt idx="2">
                  <c:v>89566.417035999999</c:v>
                </c:pt>
                <c:pt idx="3">
                  <c:v>100814.74158253599</c:v>
                </c:pt>
                <c:pt idx="4">
                  <c:v>113480.35502193552</c:v>
                </c:pt>
                <c:pt idx="5">
                  <c:v>127741.83575469939</c:v>
                </c:pt>
              </c:numCache>
            </c:numRef>
          </c:val>
          <c:extLst xmlns:c16r2="http://schemas.microsoft.com/office/drawing/2015/06/chart">
            <c:ext xmlns:c16="http://schemas.microsoft.com/office/drawing/2014/chart" uri="{C3380CC4-5D6E-409C-BE32-E72D297353CC}">
              <c16:uniqueId val="{00000000-F814-4567-B4BB-71E55932F177}"/>
            </c:ext>
          </c:extLst>
        </c:ser>
        <c:dLbls>
          <c:showLegendKey val="0"/>
          <c:showVal val="0"/>
          <c:showCatName val="0"/>
          <c:showSerName val="0"/>
          <c:showPercent val="0"/>
          <c:showBubbleSize val="0"/>
        </c:dLbls>
        <c:axId val="-1306051120"/>
        <c:axId val="-1306048400"/>
      </c:areaChart>
      <c:dateAx>
        <c:axId val="-1306051120"/>
        <c:scaling>
          <c:orientation val="minMax"/>
        </c:scaling>
        <c:delete val="0"/>
        <c:axPos val="b"/>
        <c:numFmt formatCode="yyyy\/\A" sourceLinked="1"/>
        <c:majorTickMark val="out"/>
        <c:minorTickMark val="none"/>
        <c:tickLblPos val="nextTo"/>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48400"/>
        <c:crosses val="autoZero"/>
        <c:auto val="1"/>
        <c:lblOffset val="100"/>
        <c:baseTimeUnit val="years"/>
        <c:majorUnit val="1"/>
        <c:majorTimeUnit val="years"/>
      </c:dateAx>
      <c:valAx>
        <c:axId val="-1306048400"/>
        <c:scaling>
          <c:orientation val="minMax"/>
        </c:scaling>
        <c:delete val="0"/>
        <c:axPos val="l"/>
        <c:majorGridlines>
          <c:spPr>
            <a:ln w="9525" cap="flat" cmpd="sng" algn="ctr">
              <a:noFill/>
              <a:round/>
            </a:ln>
            <a:effectLst/>
          </c:spPr>
        </c:majorGridlines>
        <c:numFmt formatCode="#,##0_);\(#,##0\);&quot;--&quot;"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1120"/>
        <c:crosses val="autoZero"/>
        <c:crossBetween val="between"/>
      </c:valAx>
      <c:spPr>
        <a:noFill/>
        <a:ln>
          <a:noFill/>
        </a:ln>
        <a:effectLst/>
      </c:spPr>
    </c:plotArea>
    <c:plotVisOnly val="1"/>
    <c:dispBlanksAs val="zero"/>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FORECAST!$B$68</c:f>
              <c:strCache>
                <c:ptCount val="1"/>
                <c:pt idx="0">
                  <c:v>Borrowings</c:v>
                </c:pt>
              </c:strCache>
            </c:strRef>
          </c:tx>
          <c:spPr>
            <a:solidFill>
              <a:srgbClr val="FFFF00"/>
            </a:solidFill>
            <a:ln w="12700">
              <a:solidFill>
                <a:schemeClr val="tx1">
                  <a:lumMod val="95000"/>
                  <a:lumOff val="5000"/>
                </a:schemeClr>
              </a:solidFill>
            </a:ln>
            <a:effectLst/>
            <a:sp3d contourW="12700">
              <a:contourClr>
                <a:schemeClr val="tx1">
                  <a:lumMod val="95000"/>
                  <a:lumOff val="5000"/>
                </a:schemeClr>
              </a:contourClr>
            </a:sp3d>
          </c:spPr>
          <c:dLbls>
            <c:dLbl>
              <c:idx val="0"/>
              <c:layout>
                <c:manualLayout>
                  <c:x val="-6.8669147616516032E-2"/>
                  <c:y val="0.1312397319181908"/>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004B-44AD-87BA-4BC23E9896C9}"/>
                </c:ext>
                <c:ext xmlns:c15="http://schemas.microsoft.com/office/drawing/2012/chart" uri="{CE6537A1-D6FC-4f65-9D91-7224C49458BB}"/>
              </c:extLst>
            </c:dLbl>
            <c:dLbl>
              <c:idx val="1"/>
              <c:layout>
                <c:manualLayout>
                  <c:x val="-7.3099415204678359E-2"/>
                  <c:y val="0.10185182719711433"/>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004B-44AD-87BA-4BC23E9896C9}"/>
                </c:ext>
                <c:ext xmlns:c15="http://schemas.microsoft.com/office/drawing/2012/chart" uri="{CE6537A1-D6FC-4f65-9D91-7224C49458BB}"/>
              </c:extLst>
            </c:dLbl>
            <c:dLbl>
              <c:idx val="2"/>
              <c:layout>
                <c:manualLayout>
                  <c:x val="-4.8732943469785656E-2"/>
                  <c:y val="0.12540262419109038"/>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004B-44AD-87BA-4BC23E9896C9}"/>
                </c:ext>
                <c:ext xmlns:c15="http://schemas.microsoft.com/office/drawing/2012/chart" uri="{CE6537A1-D6FC-4f65-9D91-7224C49458BB}"/>
              </c:extLst>
            </c:dLbl>
            <c:dLbl>
              <c:idx val="3"/>
              <c:layout>
                <c:manualLayout>
                  <c:x val="-4.2087542087542167E-2"/>
                  <c:y val="0.11513698320095218"/>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004B-44AD-87BA-4BC23E9896C9}"/>
                </c:ext>
                <c:ext xmlns:c15="http://schemas.microsoft.com/office/drawing/2012/chart" uri="{CE6537A1-D6FC-4f65-9D91-7224C49458BB}"/>
              </c:extLst>
            </c:dLbl>
            <c:dLbl>
              <c:idx val="4"/>
              <c:layout>
                <c:manualLayout>
                  <c:x val="-2.2151337940811627E-2"/>
                  <c:y val="0.11272145994704744"/>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B0B0-40C4-A4FD-3E8F6EBB868D}"/>
                </c:ext>
                <c:ext xmlns:c15="http://schemas.microsoft.com/office/drawing/2012/chart" uri="{CE6537A1-D6FC-4f65-9D91-7224C49458BB}"/>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050" b="1" i="1"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FORECAST!$C$7:$G$7</c:f>
              <c:numCache>
                <c:formatCode>yyyy\/\A</c:formatCode>
                <c:ptCount val="5"/>
                <c:pt idx="0">
                  <c:v>44440</c:v>
                </c:pt>
                <c:pt idx="1">
                  <c:v>44805</c:v>
                </c:pt>
                <c:pt idx="2">
                  <c:v>45170</c:v>
                </c:pt>
                <c:pt idx="3">
                  <c:v>45536</c:v>
                </c:pt>
                <c:pt idx="4">
                  <c:v>45901</c:v>
                </c:pt>
              </c:numCache>
            </c:numRef>
          </c:cat>
          <c:val>
            <c:numRef>
              <c:f>FORECAST!$C$68:$G$68</c:f>
              <c:numCache>
                <c:formatCode>#,##0_);\(#,##0\);"--"</c:formatCode>
                <c:ptCount val="5"/>
                <c:pt idx="0">
                  <c:v>17783</c:v>
                </c:pt>
                <c:pt idx="1">
                  <c:v>10202.84</c:v>
                </c:pt>
                <c:pt idx="2">
                  <c:v>9900.7799999999988</c:v>
                </c:pt>
                <c:pt idx="3">
                  <c:v>10297</c:v>
                </c:pt>
                <c:pt idx="4">
                  <c:v>23030</c:v>
                </c:pt>
              </c:numCache>
            </c:numRef>
          </c:val>
          <c:smooth val="0"/>
          <c:extLst xmlns:c16r2="http://schemas.microsoft.com/office/drawing/2015/06/chart">
            <c:ext xmlns:c16="http://schemas.microsoft.com/office/drawing/2014/chart" uri="{C3380CC4-5D6E-409C-BE32-E72D297353CC}">
              <c16:uniqueId val="{00000000-004B-44AD-87BA-4BC23E9896C9}"/>
            </c:ext>
          </c:extLst>
        </c:ser>
        <c:dLbls>
          <c:showLegendKey val="0"/>
          <c:showVal val="0"/>
          <c:showCatName val="0"/>
          <c:showSerName val="0"/>
          <c:showPercent val="0"/>
          <c:showBubbleSize val="0"/>
        </c:dLbls>
        <c:gapDepth val="100"/>
        <c:axId val="-1306063632"/>
        <c:axId val="-1306054384"/>
        <c:axId val="-1499502752"/>
      </c:line3DChart>
      <c:dateAx>
        <c:axId val="-1306063632"/>
        <c:scaling>
          <c:orientation val="minMax"/>
        </c:scaling>
        <c:delete val="0"/>
        <c:axPos val="b"/>
        <c:numFmt formatCode="yyyy\/\A" sourceLinked="1"/>
        <c:majorTickMark val="out"/>
        <c:minorTickMark val="none"/>
        <c:tickLblPos val="nextTo"/>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4384"/>
        <c:crosses val="autoZero"/>
        <c:auto val="1"/>
        <c:lblOffset val="100"/>
        <c:baseTimeUnit val="years"/>
      </c:dateAx>
      <c:valAx>
        <c:axId val="-1306054384"/>
        <c:scaling>
          <c:orientation val="minMax"/>
        </c:scaling>
        <c:delete val="0"/>
        <c:axPos val="l"/>
        <c:majorGridlines>
          <c:spPr>
            <a:ln w="9525" cap="flat" cmpd="sng" algn="ctr">
              <a:noFill/>
              <a:round/>
            </a:ln>
            <a:effectLst/>
          </c:spPr>
        </c:majorGridlines>
        <c:numFmt formatCode="#,##0_);\(#,##0\);&quot;--&quot;"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63632"/>
        <c:crosses val="autoZero"/>
        <c:crossBetween val="between"/>
      </c:valAx>
      <c:serAx>
        <c:axId val="-1499502752"/>
        <c:scaling>
          <c:orientation val="minMax"/>
        </c:scaling>
        <c:delete val="1"/>
        <c:axPos val="b"/>
        <c:majorTickMark val="out"/>
        <c:minorTickMark val="none"/>
        <c:tickLblPos val="nextTo"/>
        <c:crossAx val="-1306054384"/>
        <c:crosses val="autoZero"/>
      </c:ser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FORECAST!$B$68</c:f>
              <c:strCache>
                <c:ptCount val="1"/>
                <c:pt idx="0">
                  <c:v>Borrowings</c:v>
                </c:pt>
              </c:strCache>
            </c:strRef>
          </c:tx>
          <c:spPr>
            <a:solidFill>
              <a:srgbClr val="FFFF00"/>
            </a:solidFill>
            <a:ln w="12700">
              <a:solidFill>
                <a:schemeClr val="tx1">
                  <a:lumMod val="95000"/>
                  <a:lumOff val="5000"/>
                </a:schemeClr>
              </a:solidFill>
            </a:ln>
            <a:effectLst/>
            <a:sp3d contourW="12700">
              <a:contourClr>
                <a:schemeClr val="tx1">
                  <a:lumMod val="95000"/>
                  <a:lumOff val="5000"/>
                </a:schemeClr>
              </a:contourClr>
            </a:sp3d>
          </c:spPr>
          <c:dLbls>
            <c:dLbl>
              <c:idx val="0"/>
              <c:layout>
                <c:manualLayout>
                  <c:x val="-6.202374623427255E-2"/>
                  <c:y val="0.12399360594175229"/>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DF50-45C1-8381-BA1BEB371826}"/>
                </c:ext>
                <c:ext xmlns:c15="http://schemas.microsoft.com/office/drawing/2012/chart" uri="{CE6537A1-D6FC-4f65-9D91-7224C49458BB}"/>
              </c:extLst>
            </c:dLbl>
            <c:dLbl>
              <c:idx val="1"/>
              <c:layout>
                <c:manualLayout>
                  <c:x val="-4.208754208754209E-2"/>
                  <c:y val="7.8905021962933169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DF50-45C1-8381-BA1BEB371826}"/>
                </c:ext>
                <c:ext xmlns:c15="http://schemas.microsoft.com/office/drawing/2012/chart" uri="{CE6537A1-D6FC-4f65-9D91-7224C49458BB}"/>
              </c:extLst>
            </c:dLbl>
            <c:dLbl>
              <c:idx val="2"/>
              <c:layout>
                <c:manualLayout>
                  <c:x val="-2.2151337940811627E-2"/>
                  <c:y val="0.11473446995618054"/>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DF50-45C1-8381-BA1BEB371826}"/>
                </c:ext>
                <c:ext xmlns:c15="http://schemas.microsoft.com/office/drawing/2012/chart" uri="{CE6537A1-D6FC-4f65-9D91-7224C49458BB}"/>
              </c:extLst>
            </c:dLbl>
            <c:dLbl>
              <c:idx val="3"/>
              <c:layout>
                <c:manualLayout>
                  <c:x val="-1.5505936558568138E-2"/>
                  <c:y val="9.0177167957638027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DF50-45C1-8381-BA1BEB371826}"/>
                </c:ext>
                <c:ext xmlns:c15="http://schemas.microsoft.com/office/drawing/2012/chart" uri="{CE6537A1-D6FC-4f65-9D91-7224C49458BB}"/>
              </c:extLst>
            </c:dLbl>
            <c:dLbl>
              <c:idx val="4"/>
              <c:layout>
                <c:manualLayout>
                  <c:x val="-2.4366471734892786E-2"/>
                  <c:y val="0.10849440519903315"/>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DF50-45C1-8381-BA1BEB371826}"/>
                </c:ext>
                <c:ext xmlns:c15="http://schemas.microsoft.com/office/drawing/2012/chart" uri="{CE6537A1-D6FC-4f65-9D91-7224C49458BB}"/>
              </c:extLst>
            </c:dLbl>
            <c:dLbl>
              <c:idx val="5"/>
              <c:layout>
                <c:manualLayout>
                  <c:x val="-2.2151337940811626E-3"/>
                  <c:y val="0.10889691844380481"/>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6-DF50-45C1-8381-BA1BEB371826}"/>
                </c:ext>
                <c:ext xmlns:c15="http://schemas.microsoft.com/office/drawing/2012/chart" uri="{CE6537A1-D6FC-4f65-9D91-7224C49458BB}"/>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050" b="1" i="1"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(FORECAST!$G$7,FORECAST!$J$7,FORECAST!$K$7,FORECAST!$L$7,FORECAST!$M$7,FORECAST!$N$7)</c:f>
              <c:numCache>
                <c:formatCode>yyyy\E</c:formatCode>
                <c:ptCount val="6"/>
                <c:pt idx="0" formatCode="yyyy\/\A">
                  <c:v>45901</c:v>
                </c:pt>
                <c:pt idx="1">
                  <c:v>46112</c:v>
                </c:pt>
                <c:pt idx="2">
                  <c:v>46477</c:v>
                </c:pt>
                <c:pt idx="3">
                  <c:v>46843</c:v>
                </c:pt>
                <c:pt idx="4">
                  <c:v>47208</c:v>
                </c:pt>
                <c:pt idx="5">
                  <c:v>47573</c:v>
                </c:pt>
              </c:numCache>
            </c:numRef>
          </c:cat>
          <c:val>
            <c:numRef>
              <c:f>(FORECAST!$G$68,FORECAST!$J$68,FORECAST!$K$68,FORECAST!$L$68,FORECAST!$M$68,FORECAST!$N$68)</c:f>
              <c:numCache>
                <c:formatCode>#,##0_);\(#,##0\);"--"</c:formatCode>
                <c:ptCount val="6"/>
                <c:pt idx="0">
                  <c:v>23030</c:v>
                </c:pt>
                <c:pt idx="1">
                  <c:v>10030</c:v>
                </c:pt>
                <c:pt idx="2">
                  <c:v>13130</c:v>
                </c:pt>
                <c:pt idx="3">
                  <c:v>20030</c:v>
                </c:pt>
                <c:pt idx="4">
                  <c:v>26230</c:v>
                </c:pt>
                <c:pt idx="5">
                  <c:v>25330</c:v>
                </c:pt>
              </c:numCache>
            </c:numRef>
          </c:val>
          <c:smooth val="0"/>
          <c:extLst xmlns:c16r2="http://schemas.microsoft.com/office/drawing/2015/06/chart">
            <c:ext xmlns:c16="http://schemas.microsoft.com/office/drawing/2014/chart" uri="{C3380CC4-5D6E-409C-BE32-E72D297353CC}">
              <c16:uniqueId val="{00000000-DF50-45C1-8381-BA1BEB371826}"/>
            </c:ext>
          </c:extLst>
        </c:ser>
        <c:dLbls>
          <c:showLegendKey val="0"/>
          <c:showVal val="0"/>
          <c:showCatName val="0"/>
          <c:showSerName val="0"/>
          <c:showPercent val="0"/>
          <c:showBubbleSize val="0"/>
        </c:dLbls>
        <c:gapDepth val="100"/>
        <c:axId val="-1306063088"/>
        <c:axId val="-1306050576"/>
        <c:axId val="-1499501504"/>
      </c:line3DChart>
      <c:dateAx>
        <c:axId val="-1306063088"/>
        <c:scaling>
          <c:orientation val="minMax"/>
        </c:scaling>
        <c:delete val="0"/>
        <c:axPos val="b"/>
        <c:numFmt formatCode="yyyy\/\A" sourceLinked="1"/>
        <c:majorTickMark val="out"/>
        <c:minorTickMark val="none"/>
        <c:tickLblPos val="nextTo"/>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0576"/>
        <c:crosses val="autoZero"/>
        <c:auto val="1"/>
        <c:lblOffset val="100"/>
        <c:baseTimeUnit val="years"/>
        <c:majorUnit val="1"/>
        <c:majorTimeUnit val="years"/>
      </c:dateAx>
      <c:valAx>
        <c:axId val="-1306050576"/>
        <c:scaling>
          <c:orientation val="minMax"/>
        </c:scaling>
        <c:delete val="0"/>
        <c:axPos val="l"/>
        <c:majorGridlines>
          <c:spPr>
            <a:ln w="9525" cap="flat" cmpd="sng" algn="ctr">
              <a:noFill/>
              <a:round/>
            </a:ln>
            <a:effectLst/>
          </c:spPr>
        </c:majorGridlines>
        <c:numFmt formatCode="#,##0_);\(#,##0\);&quot;--&quot;"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63088"/>
        <c:crosses val="autoZero"/>
        <c:crossBetween val="between"/>
      </c:valAx>
      <c:serAx>
        <c:axId val="-1499501504"/>
        <c:scaling>
          <c:orientation val="minMax"/>
        </c:scaling>
        <c:delete val="1"/>
        <c:axPos val="b"/>
        <c:majorTickMark val="out"/>
        <c:minorTickMark val="none"/>
        <c:tickLblPos val="nextTo"/>
        <c:crossAx val="-1306050576"/>
        <c:crosses val="autoZero"/>
      </c:ser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r>
              <a:rPr lang="en-IN" sz="1050" b="1" i="1"/>
              <a:t>EV</a:t>
            </a:r>
            <a:r>
              <a:rPr lang="en-IN" sz="1050" b="1" i="1" baseline="0"/>
              <a:t> / EBITDA</a:t>
            </a:r>
          </a:p>
        </c:rich>
      </c:tx>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effectLst>
              <a:innerShdw blurRad="63500" dist="50800" dir="18900000">
                <a:prstClr val="black">
                  <a:alpha val="50000"/>
                </a:prstClr>
              </a:innerShdw>
            </a:effectLst>
          </c:spPr>
          <c:dPt>
            <c:idx val="0"/>
            <c:bubble3D val="0"/>
            <c:spPr>
              <a:solidFill>
                <a:srgbClr val="FFFF0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2-A295-4BE5-9502-E337F58AD6E6}"/>
              </c:ext>
            </c:extLst>
          </c:dPt>
          <c:dPt>
            <c:idx val="1"/>
            <c:bubble3D val="0"/>
            <c:spPr>
              <a:solidFill>
                <a:srgbClr val="FF000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4-A295-4BE5-9502-E337F58AD6E6}"/>
              </c:ext>
            </c:extLst>
          </c:dPt>
          <c:dPt>
            <c:idx val="2"/>
            <c:bubble3D val="0"/>
            <c:spPr>
              <a:solidFill>
                <a:srgbClr val="FFC00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5-A295-4BE5-9502-E337F58AD6E6}"/>
              </c:ext>
            </c:extLst>
          </c:dPt>
          <c:dPt>
            <c:idx val="3"/>
            <c:bubble3D val="0"/>
            <c:spPr>
              <a:solidFill>
                <a:schemeClr val="accent5">
                  <a:lumMod val="40000"/>
                  <a:lumOff val="60000"/>
                </a:schemeClr>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6-A295-4BE5-9502-E337F58AD6E6}"/>
              </c:ext>
            </c:extLst>
          </c:dPt>
          <c:dPt>
            <c:idx val="4"/>
            <c:bubble3D val="0"/>
            <c:spPr>
              <a:solidFill>
                <a:schemeClr val="accent4">
                  <a:lumMod val="50000"/>
                </a:schemeClr>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7-A295-4BE5-9502-E337F58AD6E6}"/>
              </c:ext>
            </c:extLst>
          </c:dPt>
          <c:dPt>
            <c:idx val="5"/>
            <c:bubble3D val="0"/>
            <c:spPr>
              <a:solidFill>
                <a:srgbClr val="7030A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3-A295-4BE5-9502-E337F58AD6E6}"/>
              </c:ext>
            </c:extLst>
          </c:dPt>
          <c:dPt>
            <c:idx val="6"/>
            <c:bubble3D val="0"/>
            <c:spPr>
              <a:solidFill>
                <a:srgbClr val="00206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1-A295-4BE5-9502-E337F58AD6E6}"/>
              </c:ext>
            </c:extLst>
          </c:dPt>
          <c:dLbls>
            <c:dLbl>
              <c:idx val="0"/>
              <c:layout>
                <c:manualLayout>
                  <c:x val="1.6666666666666666E-2"/>
                  <c:y val="-2.7777777777777755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A295-4BE5-9502-E337F58AD6E6}"/>
                </c:ext>
                <c:ext xmlns:c15="http://schemas.microsoft.com/office/drawing/2012/chart" uri="{CE6537A1-D6FC-4f65-9D91-7224C49458BB}"/>
              </c:extLst>
            </c:dLbl>
            <c:dLbl>
              <c:idx val="1"/>
              <c:layout>
                <c:manualLayout>
                  <c:x val="2.2222222222222223E-2"/>
                  <c:y val="-4.2437781360066642E-17"/>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A295-4BE5-9502-E337F58AD6E6}"/>
                </c:ext>
                <c:ext xmlns:c15="http://schemas.microsoft.com/office/drawing/2012/chart" uri="{CE6537A1-D6FC-4f65-9D91-7224C49458BB}"/>
              </c:extLst>
            </c:dLbl>
            <c:dLbl>
              <c:idx val="2"/>
              <c:layout>
                <c:manualLayout>
                  <c:x val="2.2222222222222223E-2"/>
                  <c:y val="4.6296296296296294E-3"/>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A295-4BE5-9502-E337F58AD6E6}"/>
                </c:ext>
                <c:ext xmlns:c15="http://schemas.microsoft.com/office/drawing/2012/chart" uri="{CE6537A1-D6FC-4f65-9D91-7224C49458BB}"/>
              </c:extLst>
            </c:dLbl>
            <c:dLbl>
              <c:idx val="3"/>
              <c:layout>
                <c:manualLayout>
                  <c:x val="3.8919136812621394E-2"/>
                  <c:y val="1.1769255866298614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6-A295-4BE5-9502-E337F58AD6E6}"/>
                </c:ext>
                <c:ext xmlns:c15="http://schemas.microsoft.com/office/drawing/2012/chart" uri="{CE6537A1-D6FC-4f65-9D91-7224C49458BB}"/>
              </c:extLst>
            </c:dLbl>
            <c:dLbl>
              <c:idx val="4"/>
              <c:layout>
                <c:manualLayout>
                  <c:x val="-2.2222222222222223E-2"/>
                  <c:y val="-1.3888888888888931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7-A295-4BE5-9502-E337F58AD6E6}"/>
                </c:ext>
                <c:ext xmlns:c15="http://schemas.microsoft.com/office/drawing/2012/chart" uri="{CE6537A1-D6FC-4f65-9D91-7224C49458BB}"/>
              </c:extLst>
            </c:dLbl>
            <c:dLbl>
              <c:idx val="5"/>
              <c:layout>
                <c:manualLayout>
                  <c:x val="-2.2222222222222223E-2"/>
                  <c:y val="-4.2437781360066642E-17"/>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A295-4BE5-9502-E337F58AD6E6}"/>
                </c:ext>
                <c:ext xmlns:c15="http://schemas.microsoft.com/office/drawing/2012/chart" uri="{CE6537A1-D6FC-4f65-9D91-7224C49458BB}"/>
              </c:extLst>
            </c:dLbl>
            <c:dLbl>
              <c:idx val="6"/>
              <c:layout>
                <c:manualLayout>
                  <c:x val="2.7777535017555204E-3"/>
                  <c:y val="-9.1292229224022338E-3"/>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A295-4BE5-9502-E337F58AD6E6}"/>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('RELATIVE VALUATION'!$C$11,'RELATIVE VALUATION'!$C$13:$C$18)</c:f>
              <c:strCache>
                <c:ptCount val="7"/>
                <c:pt idx="0">
                  <c:v>ULTRACEMCO</c:v>
                </c:pt>
                <c:pt idx="1">
                  <c:v>RAMCOCEM</c:v>
                </c:pt>
                <c:pt idx="2">
                  <c:v>AMBUJACEM</c:v>
                </c:pt>
                <c:pt idx="3">
                  <c:v>SHREECEM</c:v>
                </c:pt>
                <c:pt idx="4">
                  <c:v>JKCEMENT</c:v>
                </c:pt>
                <c:pt idx="5">
                  <c:v>ACC</c:v>
                </c:pt>
                <c:pt idx="6">
                  <c:v>DALBHARAT</c:v>
                </c:pt>
              </c:strCache>
            </c:strRef>
          </c:cat>
          <c:val>
            <c:numRef>
              <c:f>('RELATIVE VALUATION'!$O$11,'RELATIVE VALUATION'!$O$13:$O$18)</c:f>
              <c:numCache>
                <c:formatCode>0.00\x</c:formatCode>
                <c:ptCount val="7"/>
                <c:pt idx="0">
                  <c:v>27.583994747430403</c:v>
                </c:pt>
                <c:pt idx="1">
                  <c:v>23.361426256077795</c:v>
                </c:pt>
                <c:pt idx="2">
                  <c:v>20.040937499999998</c:v>
                </c:pt>
                <c:pt idx="3">
                  <c:v>31.419323036477159</c:v>
                </c:pt>
                <c:pt idx="4">
                  <c:v>39.141331142152836</c:v>
                </c:pt>
                <c:pt idx="5">
                  <c:v>13.032270606531881</c:v>
                </c:pt>
                <c:pt idx="6">
                  <c:v>15.771125426297839</c:v>
                </c:pt>
              </c:numCache>
            </c:numRef>
          </c:val>
          <c:extLst xmlns:c16r2="http://schemas.microsoft.com/office/drawing/2015/06/chart">
            <c:ext xmlns:c16="http://schemas.microsoft.com/office/drawing/2014/chart" uri="{C3380CC4-5D6E-409C-BE32-E72D297353CC}">
              <c16:uniqueId val="{00000000-A295-4BE5-9502-E337F58AD6E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r>
              <a:rPr lang="en-IN" sz="1050" b="1" i="1"/>
              <a:t>EV</a:t>
            </a:r>
            <a:r>
              <a:rPr lang="en-IN" sz="1050" b="1" i="1" baseline="0"/>
              <a:t> / Revenue</a:t>
            </a:r>
          </a:p>
        </c:rich>
      </c:tx>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effectLst>
              <a:innerShdw blurRad="63500" dist="50800" dir="18900000">
                <a:prstClr val="black">
                  <a:alpha val="50000"/>
                </a:prstClr>
              </a:innerShdw>
            </a:effectLst>
          </c:spPr>
          <c:dPt>
            <c:idx val="0"/>
            <c:bubble3D val="0"/>
            <c:spPr>
              <a:solidFill>
                <a:srgbClr val="FFFF0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6-7AC8-4DE4-B6E2-5D2AA9E6926B}"/>
              </c:ext>
            </c:extLst>
          </c:dPt>
          <c:dPt>
            <c:idx val="1"/>
            <c:bubble3D val="0"/>
            <c:spPr>
              <a:solidFill>
                <a:srgbClr val="FF000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5-7AC8-4DE4-B6E2-5D2AA9E6926B}"/>
              </c:ext>
            </c:extLst>
          </c:dPt>
          <c:dPt>
            <c:idx val="2"/>
            <c:bubble3D val="0"/>
            <c:spPr>
              <a:solidFill>
                <a:srgbClr val="FFC00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4-7AC8-4DE4-B6E2-5D2AA9E6926B}"/>
              </c:ext>
            </c:extLst>
          </c:dPt>
          <c:dPt>
            <c:idx val="3"/>
            <c:bubble3D val="0"/>
            <c:spPr>
              <a:solidFill>
                <a:schemeClr val="accent1">
                  <a:lumMod val="40000"/>
                  <a:lumOff val="60000"/>
                </a:schemeClr>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3-7AC8-4DE4-B6E2-5D2AA9E6926B}"/>
              </c:ext>
            </c:extLst>
          </c:dPt>
          <c:dPt>
            <c:idx val="4"/>
            <c:bubble3D val="0"/>
            <c:spPr>
              <a:solidFill>
                <a:schemeClr val="accent4">
                  <a:lumMod val="50000"/>
                </a:schemeClr>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2-7AC8-4DE4-B6E2-5D2AA9E6926B}"/>
              </c:ext>
            </c:extLst>
          </c:dPt>
          <c:dPt>
            <c:idx val="5"/>
            <c:bubble3D val="0"/>
            <c:spPr>
              <a:solidFill>
                <a:srgbClr val="7030A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1-7AC8-4DE4-B6E2-5D2AA9E6926B}"/>
              </c:ext>
            </c:extLst>
          </c:dPt>
          <c:dPt>
            <c:idx val="6"/>
            <c:bubble3D val="0"/>
            <c:spPr>
              <a:solidFill>
                <a:srgbClr val="00206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7-7AC8-4DE4-B6E2-5D2AA9E6926B}"/>
              </c:ext>
            </c:extLst>
          </c:dPt>
          <c:dLbls>
            <c:dLbl>
              <c:idx val="0"/>
              <c:layout>
                <c:manualLayout>
                  <c:x val="1.3888888888888888E-2"/>
                  <c:y val="-2.7777777777777776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6-7AC8-4DE4-B6E2-5D2AA9E6926B}"/>
                </c:ext>
                <c:ext xmlns:c15="http://schemas.microsoft.com/office/drawing/2012/chart" uri="{CE6537A1-D6FC-4f65-9D91-7224C49458BB}"/>
              </c:extLst>
            </c:dLbl>
            <c:dLbl>
              <c:idx val="1"/>
              <c:layout>
                <c:manualLayout>
                  <c:x val="1.9444444444444445E-2"/>
                  <c:y val="-2.7777777777777776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7AC8-4DE4-B6E2-5D2AA9E6926B}"/>
                </c:ext>
                <c:ext xmlns:c15="http://schemas.microsoft.com/office/drawing/2012/chart" uri="{CE6537A1-D6FC-4f65-9D91-7224C49458BB}"/>
              </c:extLst>
            </c:dLbl>
            <c:dLbl>
              <c:idx val="2"/>
              <c:layout>
                <c:manualLayout>
                  <c:x val="1.6666666666666566E-2"/>
                  <c:y val="4.6296296296296294E-3"/>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7AC8-4DE4-B6E2-5D2AA9E6926B}"/>
                </c:ext>
                <c:ext xmlns:c15="http://schemas.microsoft.com/office/drawing/2012/chart" uri="{CE6537A1-D6FC-4f65-9D91-7224C49458BB}"/>
              </c:extLst>
            </c:dLbl>
            <c:dLbl>
              <c:idx val="3"/>
              <c:layout>
                <c:manualLayout>
                  <c:x val="-3.3333333333333333E-2"/>
                  <c:y val="-1.3888888888888805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7AC8-4DE4-B6E2-5D2AA9E6926B}"/>
                </c:ext>
                <c:ext xmlns:c15="http://schemas.microsoft.com/office/drawing/2012/chart" uri="{CE6537A1-D6FC-4f65-9D91-7224C49458BB}"/>
              </c:extLst>
            </c:dLbl>
            <c:dLbl>
              <c:idx val="4"/>
              <c:layout>
                <c:manualLayout>
                  <c:x val="-1.9444444444444445E-2"/>
                  <c:y val="4.6296296296295869E-3"/>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7AC8-4DE4-B6E2-5D2AA9E6926B}"/>
                </c:ext>
                <c:ext xmlns:c15="http://schemas.microsoft.com/office/drawing/2012/chart" uri="{CE6537A1-D6FC-4f65-9D91-7224C49458BB}"/>
              </c:extLst>
            </c:dLbl>
            <c:dLbl>
              <c:idx val="5"/>
              <c:layout>
                <c:manualLayout>
                  <c:x val="-2.500000000000005E-2"/>
                  <c:y val="4.6296296296296294E-3"/>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7AC8-4DE4-B6E2-5D2AA9E6926B}"/>
                </c:ext>
                <c:ext xmlns:c15="http://schemas.microsoft.com/office/drawing/2012/chart" uri="{CE6537A1-D6FC-4f65-9D91-7224C49458BB}"/>
              </c:extLst>
            </c:dLbl>
            <c:dLbl>
              <c:idx val="6"/>
              <c:layout>
                <c:manualLayout>
                  <c:x val="1.6666666666666614E-2"/>
                  <c:y val="-1.3888888888888888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7-7AC8-4DE4-B6E2-5D2AA9E6926B}"/>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('RELATIVE VALUATION'!$C$11,'RELATIVE VALUATION'!$C$13:$C$18)</c:f>
              <c:strCache>
                <c:ptCount val="7"/>
                <c:pt idx="0">
                  <c:v>ULTRACEMCO</c:v>
                </c:pt>
                <c:pt idx="1">
                  <c:v>RAMCOCEM</c:v>
                </c:pt>
                <c:pt idx="2">
                  <c:v>AMBUJACEM</c:v>
                </c:pt>
                <c:pt idx="3">
                  <c:v>SHREECEM</c:v>
                </c:pt>
                <c:pt idx="4">
                  <c:v>JKCEMENT</c:v>
                </c:pt>
                <c:pt idx="5">
                  <c:v>ACC</c:v>
                </c:pt>
                <c:pt idx="6">
                  <c:v>DALBHARAT</c:v>
                </c:pt>
              </c:strCache>
            </c:strRef>
          </c:cat>
          <c:val>
            <c:numRef>
              <c:f>('RELATIVE VALUATION'!$N$11,'RELATIVE VALUATION'!$N$13:$N$18)</c:f>
              <c:numCache>
                <c:formatCode>0.00\x</c:formatCode>
                <c:ptCount val="7"/>
                <c:pt idx="0">
                  <c:v>4.8318747957943717</c:v>
                </c:pt>
                <c:pt idx="1">
                  <c:v>3.3843625264146513</c:v>
                </c:pt>
                <c:pt idx="2">
                  <c:v>7.0996346728661575</c:v>
                </c:pt>
                <c:pt idx="3">
                  <c:v>4.7458056189814357</c:v>
                </c:pt>
                <c:pt idx="4">
                  <c:v>4.3096896770107662</c:v>
                </c:pt>
                <c:pt idx="5">
                  <c:v>1.6793927551480534</c:v>
                </c:pt>
                <c:pt idx="6">
                  <c:v>2.9739192568774562</c:v>
                </c:pt>
              </c:numCache>
            </c:numRef>
          </c:val>
          <c:extLst xmlns:c16r2="http://schemas.microsoft.com/office/drawing/2015/06/chart">
            <c:ext xmlns:c16="http://schemas.microsoft.com/office/drawing/2014/chart" uri="{C3380CC4-5D6E-409C-BE32-E72D297353CC}">
              <c16:uniqueId val="{00000000-7AC8-4DE4-B6E2-5D2AA9E6926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r>
              <a:rPr lang="en-IN" sz="1050" b="1" i="1"/>
              <a:t>P/E</a:t>
            </a:r>
          </a:p>
        </c:rich>
      </c:tx>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7091440281101753"/>
          <c:y val="0.16068096460318151"/>
          <c:w val="0.50973112844653112"/>
          <c:h val="0.58261423123214562"/>
        </c:manualLayout>
      </c:layout>
      <c:pieChart>
        <c:varyColors val="1"/>
        <c:ser>
          <c:idx val="0"/>
          <c:order val="0"/>
          <c:spPr>
            <a:effectLst>
              <a:innerShdw blurRad="63500" dist="50800" dir="18900000">
                <a:prstClr val="black">
                  <a:alpha val="50000"/>
                </a:prstClr>
              </a:innerShdw>
            </a:effectLst>
          </c:spPr>
          <c:dPt>
            <c:idx val="0"/>
            <c:bubble3D val="0"/>
            <c:spPr>
              <a:solidFill>
                <a:srgbClr val="FFFF0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6-BE54-4BF3-864E-4240631021E2}"/>
              </c:ext>
            </c:extLst>
          </c:dPt>
          <c:dPt>
            <c:idx val="1"/>
            <c:bubble3D val="0"/>
            <c:spPr>
              <a:solidFill>
                <a:srgbClr val="FF000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7-BE54-4BF3-864E-4240631021E2}"/>
              </c:ext>
            </c:extLst>
          </c:dPt>
          <c:dPt>
            <c:idx val="2"/>
            <c:bubble3D val="0"/>
            <c:spPr>
              <a:solidFill>
                <a:srgbClr val="FFC00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4-BE54-4BF3-864E-4240631021E2}"/>
              </c:ext>
            </c:extLst>
          </c:dPt>
          <c:dPt>
            <c:idx val="3"/>
            <c:bubble3D val="0"/>
            <c:spPr>
              <a:solidFill>
                <a:schemeClr val="accent1">
                  <a:lumMod val="40000"/>
                  <a:lumOff val="60000"/>
                </a:schemeClr>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3-BE54-4BF3-864E-4240631021E2}"/>
              </c:ext>
            </c:extLst>
          </c:dPt>
          <c:dPt>
            <c:idx val="4"/>
            <c:bubble3D val="0"/>
            <c:spPr>
              <a:solidFill>
                <a:schemeClr val="accent4">
                  <a:lumMod val="50000"/>
                </a:schemeClr>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2-BE54-4BF3-864E-4240631021E2}"/>
              </c:ext>
            </c:extLst>
          </c:dPt>
          <c:dPt>
            <c:idx val="5"/>
            <c:bubble3D val="0"/>
            <c:spPr>
              <a:solidFill>
                <a:srgbClr val="7030A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1-BE54-4BF3-864E-4240631021E2}"/>
              </c:ext>
            </c:extLst>
          </c:dPt>
          <c:dPt>
            <c:idx val="6"/>
            <c:bubble3D val="0"/>
            <c:spPr>
              <a:solidFill>
                <a:srgbClr val="00206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5-BE54-4BF3-864E-4240631021E2}"/>
              </c:ext>
            </c:extLst>
          </c:dPt>
          <c:dLbls>
            <c:dLbl>
              <c:idx val="0"/>
              <c:layout>
                <c:manualLayout>
                  <c:x val="1.9334880123743233E-2"/>
                  <c:y val="-1.8779342723004695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6-BE54-4BF3-864E-4240631021E2}"/>
                </c:ext>
                <c:ext xmlns:c15="http://schemas.microsoft.com/office/drawing/2012/chart" uri="{CE6537A1-D6FC-4f65-9D91-7224C49458BB}"/>
              </c:extLst>
            </c:dLbl>
            <c:dLbl>
              <c:idx val="1"/>
              <c:layout>
                <c:manualLayout>
                  <c:x val="2.9002320185614848E-2"/>
                  <c:y val="-2.2535211267605635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7-BE54-4BF3-864E-4240631021E2}"/>
                </c:ext>
                <c:ext xmlns:c15="http://schemas.microsoft.com/office/drawing/2012/chart" uri="{CE6537A1-D6FC-4f65-9D91-7224C49458BB}"/>
              </c:extLst>
            </c:dLbl>
            <c:dLbl>
              <c:idx val="2"/>
              <c:layout>
                <c:manualLayout>
                  <c:x val="3.8669760247486466E-2"/>
                  <c:y val="3.7558685446009389E-3"/>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BE54-4BF3-864E-4240631021E2}"/>
                </c:ext>
                <c:ext xmlns:c15="http://schemas.microsoft.com/office/drawing/2012/chart" uri="{CE6537A1-D6FC-4f65-9D91-7224C49458BB}"/>
              </c:extLst>
            </c:dLbl>
            <c:dLbl>
              <c:idx val="3"/>
              <c:layout>
                <c:manualLayout>
                  <c:x val="-6.1227120391853629E-2"/>
                  <c:y val="-1.1267605633802818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BE54-4BF3-864E-4240631021E2}"/>
                </c:ext>
                <c:ext xmlns:c15="http://schemas.microsoft.com/office/drawing/2012/chart" uri="{CE6537A1-D6FC-4f65-9D91-7224C49458BB}"/>
              </c:extLst>
            </c:dLbl>
            <c:dLbl>
              <c:idx val="4"/>
              <c:layout>
                <c:manualLayout>
                  <c:x val="-2.2557360144367104E-2"/>
                  <c:y val="2.2535211267605635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BE54-4BF3-864E-4240631021E2}"/>
                </c:ext>
                <c:ext xmlns:c15="http://schemas.microsoft.com/office/drawing/2012/chart" uri="{CE6537A1-D6FC-4f65-9D91-7224C49458BB}"/>
              </c:extLst>
            </c:dLbl>
            <c:dLbl>
              <c:idx val="5"/>
              <c:layout>
                <c:manualLayout>
                  <c:x val="-6.7892872826901526E-2"/>
                  <c:y val="4.9550274741304496E-4"/>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BE54-4BF3-864E-4240631021E2}"/>
                </c:ext>
                <c:ext xmlns:c15="http://schemas.microsoft.com/office/drawing/2012/chart" uri="{CE6537A1-D6FC-4f65-9D91-7224C49458BB}"/>
              </c:extLst>
            </c:dLbl>
            <c:dLbl>
              <c:idx val="6"/>
              <c:layout>
                <c:manualLayout>
                  <c:x val="6.4449600412477444E-3"/>
                  <c:y val="-2.2535211267605635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BE54-4BF3-864E-4240631021E2}"/>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extLst>
          </c:dLbls>
          <c:cat>
            <c:strRef>
              <c:f>('RELATIVE VALUATION'!$C$11,'RELATIVE VALUATION'!$C$13:$C$18)</c:f>
              <c:strCache>
                <c:ptCount val="7"/>
                <c:pt idx="0">
                  <c:v>ULTRACEMCO</c:v>
                </c:pt>
                <c:pt idx="1">
                  <c:v>RAMCOCEM</c:v>
                </c:pt>
                <c:pt idx="2">
                  <c:v>AMBUJACEM</c:v>
                </c:pt>
                <c:pt idx="3">
                  <c:v>SHREECEM</c:v>
                </c:pt>
                <c:pt idx="4">
                  <c:v>JKCEMENT</c:v>
                </c:pt>
                <c:pt idx="5">
                  <c:v>ACC</c:v>
                </c:pt>
                <c:pt idx="6">
                  <c:v>DALBHARAT</c:v>
                </c:pt>
              </c:strCache>
            </c:strRef>
          </c:cat>
          <c:val>
            <c:numRef>
              <c:f>('RELATIVE VALUATION'!$P$11,'RELATIVE VALUATION'!$P$13:$P$18)</c:f>
              <c:numCache>
                <c:formatCode>0.00\x</c:formatCode>
                <c:ptCount val="7"/>
                <c:pt idx="0">
                  <c:v>56.057134500073126</c:v>
                </c:pt>
                <c:pt idx="1">
                  <c:v>87.31481481481481</c:v>
                </c:pt>
                <c:pt idx="2">
                  <c:v>36.448545861297539</c:v>
                </c:pt>
                <c:pt idx="3">
                  <c:v>41.862236628849274</c:v>
                </c:pt>
                <c:pt idx="4">
                  <c:v>53.185542168674701</c:v>
                </c:pt>
                <c:pt idx="5">
                  <c:v>13.368859283930059</c:v>
                </c:pt>
                <c:pt idx="6">
                  <c:v>36.986301369863014</c:v>
                </c:pt>
              </c:numCache>
            </c:numRef>
          </c:val>
          <c:extLst xmlns:c16r2="http://schemas.microsoft.com/office/drawing/2015/06/chart">
            <c:ext xmlns:c16="http://schemas.microsoft.com/office/drawing/2014/chart" uri="{C3380CC4-5D6E-409C-BE32-E72D297353CC}">
              <c16:uniqueId val="{00000000-BE54-4BF3-864E-4240631021E2}"/>
            </c:ext>
          </c:extLst>
        </c:ser>
        <c:dLbls>
          <c:showLegendKey val="0"/>
          <c:showVal val="0"/>
          <c:showCatName val="0"/>
          <c:showSerName val="0"/>
          <c:showPercent val="0"/>
          <c:showBubbleSize val="0"/>
          <c:showLeaderLines val="1"/>
        </c:dLbls>
        <c:firstSliceAng val="0"/>
      </c:pieChart>
      <c:spPr>
        <a:noFill/>
        <a:ln>
          <a:noFill/>
        </a:ln>
        <a:effectLst>
          <a:innerShdw blurRad="63500" dist="50800" dir="18900000">
            <a:prstClr val="black">
              <a:alpha val="50000"/>
            </a:prstClr>
          </a:innerShdw>
        </a:effectLst>
      </c:spPr>
    </c:plotArea>
    <c:legend>
      <c:legendPos val="b"/>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'KEY FINANCIAL RATIOS'!$B$12</c:f>
              <c:strCache>
                <c:ptCount val="1"/>
                <c:pt idx="0">
                  <c:v>Price to Earnings</c:v>
                </c:pt>
              </c:strCache>
            </c:strRef>
          </c:tx>
          <c:spPr>
            <a:solidFill>
              <a:srgbClr val="FFFF00"/>
            </a:solidFill>
            <a:ln>
              <a:solidFill>
                <a:schemeClr val="tx1"/>
              </a:solidFill>
            </a:ln>
            <a:effectLst>
              <a:innerShdw blurRad="63500" dist="50800" dir="18900000">
                <a:prstClr val="black">
                  <a:alpha val="50000"/>
                </a:prstClr>
              </a:innerShdw>
            </a:effectLst>
          </c:spPr>
          <c:invertIfNegative val="0"/>
          <c:dLbls>
            <c:dLbl>
              <c:idx val="0"/>
              <c:layout>
                <c:manualLayout>
                  <c:x val="0"/>
                  <c:y val="-2.4297640354745548E-2"/>
                </c:manualLayout>
              </c:layout>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3C70-4FA7-95F9-8F5748A9FBD5}"/>
                </c:ext>
                <c:ext xmlns:c15="http://schemas.microsoft.com/office/drawing/2012/chart" uri="{CE6537A1-D6FC-4f65-9D91-7224C49458BB}"/>
              </c:extLst>
            </c:dLbl>
            <c:dLbl>
              <c:idx val="2"/>
              <c:layout>
                <c:manualLayout>
                  <c:x val="0"/>
                  <c:y val="-0.12488053937904363"/>
                </c:manualLayout>
              </c:layout>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9A1C-4BF1-B735-DB2CED265696}"/>
                </c:ext>
                <c:ext xmlns:c15="http://schemas.microsoft.com/office/drawing/2012/chart" uri="{CE6537A1-D6FC-4f65-9D91-7224C49458BB}"/>
              </c:extLst>
            </c:dLbl>
            <c:dLbl>
              <c:idx val="4"/>
              <c:layout>
                <c:manualLayout>
                  <c:x val="9.5671867175727539E-17"/>
                  <c:y val="-8.3764546569390669E-2"/>
                </c:manualLayout>
              </c:layout>
              <c:dLblPos val="outEnd"/>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3C70-4FA7-95F9-8F5748A9FBD5}"/>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flat" cmpd="sng">
                <a:solidFill>
                  <a:schemeClr val="tx1">
                    <a:lumMod val="95000"/>
                    <a:lumOff val="5000"/>
                  </a:schemeClr>
                </a:solidFill>
                <a:prstDash val="dash"/>
                <a:headEnd type="stealth" w="lg" len="med"/>
                <a:tailEnd type="oval" w="lg" len="med"/>
              </a:ln>
              <a:effectLst/>
            </c:spPr>
            <c:trendlineType val="exp"/>
            <c:dispRSqr val="0"/>
            <c:dispEq val="0"/>
          </c:trendline>
          <c:cat>
            <c:numRef>
              <c:f>'KEY FINANCIAL RATIOS'!$C$7:$G$7</c:f>
              <c:numCache>
                <c:formatCode>yyyy\/\A</c:formatCode>
                <c:ptCount val="5"/>
                <c:pt idx="0">
                  <c:v>44440</c:v>
                </c:pt>
                <c:pt idx="1">
                  <c:v>44805</c:v>
                </c:pt>
                <c:pt idx="2">
                  <c:v>45170</c:v>
                </c:pt>
                <c:pt idx="3">
                  <c:v>45536</c:v>
                </c:pt>
                <c:pt idx="4">
                  <c:v>45901</c:v>
                </c:pt>
              </c:numCache>
            </c:numRef>
          </c:cat>
          <c:val>
            <c:numRef>
              <c:f>'KEY FINANCIAL RATIOS'!$C$12:$G$12</c:f>
              <c:numCache>
                <c:formatCode>0.00\x</c:formatCode>
                <c:ptCount val="5"/>
                <c:pt idx="0">
                  <c:v>27.930861458828495</c:v>
                </c:pt>
                <c:pt idx="1">
                  <c:v>30.488593461322196</c:v>
                </c:pt>
                <c:pt idx="2">
                  <c:v>39.643670958186171</c:v>
                </c:pt>
                <c:pt idx="3">
                  <c:v>43.245563470169223</c:v>
                </c:pt>
                <c:pt idx="4">
                  <c:v>56.055428265002682</c:v>
                </c:pt>
              </c:numCache>
            </c:numRef>
          </c:val>
          <c:extLst xmlns:c16r2="http://schemas.microsoft.com/office/drawing/2015/06/chart">
            <c:ext xmlns:c16="http://schemas.microsoft.com/office/drawing/2014/chart" uri="{C3380CC4-5D6E-409C-BE32-E72D297353CC}">
              <c16:uniqueId val="{00000000-3C70-4FA7-95F9-8F5748A9FBD5}"/>
            </c:ext>
          </c:extLst>
        </c:ser>
        <c:dLbls>
          <c:showLegendKey val="0"/>
          <c:showVal val="0"/>
          <c:showCatName val="0"/>
          <c:showSerName val="0"/>
          <c:showPercent val="0"/>
          <c:showBubbleSize val="0"/>
        </c:dLbls>
        <c:gapWidth val="100"/>
        <c:overlap val="-27"/>
        <c:axId val="-1306054928"/>
        <c:axId val="-1306062544"/>
      </c:barChart>
      <c:dateAx>
        <c:axId val="-1306054928"/>
        <c:scaling>
          <c:orientation val="minMax"/>
        </c:scaling>
        <c:delete val="0"/>
        <c:axPos val="b"/>
        <c:numFmt formatCode="yyyy" sourceLinked="0"/>
        <c:majorTickMark val="none"/>
        <c:minorTickMark val="none"/>
        <c:tickLblPos val="nextTo"/>
        <c:spPr>
          <a:noFill/>
          <a:ln w="9525" cap="flat" cmpd="sng" algn="ctr">
            <a:solidFill>
              <a:schemeClr val="bg1">
                <a:lumMod val="9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62544"/>
        <c:crosses val="autoZero"/>
        <c:auto val="0"/>
        <c:lblOffset val="100"/>
        <c:baseTimeUnit val="years"/>
      </c:dateAx>
      <c:valAx>
        <c:axId val="-1306062544"/>
        <c:scaling>
          <c:orientation val="minMax"/>
        </c:scaling>
        <c:delete val="0"/>
        <c:axPos val="l"/>
        <c:majorGridlines>
          <c:spPr>
            <a:ln w="9525" cap="flat" cmpd="sng" algn="ctr">
              <a:noFill/>
              <a:round/>
            </a:ln>
            <a:effectLst/>
          </c:spPr>
        </c:majorGridlines>
        <c:numFmt formatCode="0.00\x" sourceLinked="1"/>
        <c:majorTickMark val="none"/>
        <c:minorTickMark val="none"/>
        <c:tickLblPos val="nextTo"/>
        <c:spPr>
          <a:noFill/>
          <a:ln>
            <a:solidFill>
              <a:schemeClr val="bg1">
                <a:lumMod val="95000"/>
              </a:schemeClr>
            </a:solid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49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'KEY FINANCIAL RATIOS'!$B$17</c:f>
              <c:strCache>
                <c:ptCount val="1"/>
                <c:pt idx="0">
                  <c:v>Price to Book</c:v>
                </c:pt>
              </c:strCache>
            </c:strRef>
          </c:tx>
          <c:spPr>
            <a:solidFill>
              <a:srgbClr val="FFFF00"/>
            </a:solidFill>
            <a:ln>
              <a:solidFill>
                <a:schemeClr val="tx1"/>
              </a:solidFill>
            </a:ln>
            <a:effectLst>
              <a:innerShdw blurRad="63500" dist="50800" dir="18900000">
                <a:prstClr val="black">
                  <a:alpha val="50000"/>
                </a:prstClr>
              </a:innerShdw>
            </a:effectLst>
          </c:spPr>
          <c:invertIfNegative val="0"/>
          <c:dLbls>
            <c:dLbl>
              <c:idx val="0"/>
              <c:layout>
                <c:manualLayout>
                  <c:x val="0"/>
                  <c:y val="-3.1225612673566463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2-FE16-4D4E-9DA3-C10C7C5B712E}"/>
                </c:ext>
                <c:ext xmlns:c15="http://schemas.microsoft.com/office/drawing/2012/chart" uri="{CE6537A1-D6FC-4f65-9D91-7224C49458BB}"/>
              </c:extLst>
            </c:dLbl>
            <c:dLbl>
              <c:idx val="2"/>
              <c:layout>
                <c:manualLayout>
                  <c:x val="-9.5724318857293173E-17"/>
                  <c:y val="-8.7431715485986092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FE16-4D4E-9DA3-C10C7C5B712E}"/>
                </c:ext>
                <c:ext xmlns:c15="http://schemas.microsoft.com/office/drawing/2012/chart" uri="{CE6537A1-D6FC-4f65-9D91-7224C49458BB}"/>
              </c:extLst>
            </c:dLbl>
            <c:dLbl>
              <c:idx val="4"/>
              <c:layout>
                <c:manualLayout>
                  <c:x val="-9.5724318857293173E-17"/>
                  <c:y val="-3.1225612673566463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FE16-4D4E-9DA3-C10C7C5B712E}"/>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solidFill>
                <a:prstDash val="dash"/>
                <a:headEnd type="stealth" w="lg" len="med"/>
                <a:tailEnd type="oval" w="lg" len="med"/>
              </a:ln>
              <a:effectLst/>
            </c:spPr>
            <c:trendlineType val="exp"/>
            <c:dispRSqr val="0"/>
            <c:dispEq val="0"/>
          </c:trendline>
          <c:cat>
            <c:numRef>
              <c:f>'KEY FINANCIAL RATIOS'!$C$7:$G$7</c:f>
              <c:numCache>
                <c:formatCode>yyyy\/\A</c:formatCode>
                <c:ptCount val="5"/>
                <c:pt idx="0">
                  <c:v>44440</c:v>
                </c:pt>
                <c:pt idx="1">
                  <c:v>44805</c:v>
                </c:pt>
                <c:pt idx="2">
                  <c:v>45170</c:v>
                </c:pt>
                <c:pt idx="3">
                  <c:v>45536</c:v>
                </c:pt>
                <c:pt idx="4">
                  <c:v>45901</c:v>
                </c:pt>
              </c:numCache>
            </c:numRef>
          </c:cat>
          <c:val>
            <c:numRef>
              <c:f>'KEY FINANCIAL RATIOS'!$C$17:$G$17</c:f>
              <c:numCache>
                <c:formatCode>0.00\x</c:formatCode>
                <c:ptCount val="5"/>
                <c:pt idx="0">
                  <c:v>3.5142782629639338</c:v>
                </c:pt>
                <c:pt idx="1">
                  <c:v>4.3359281115064512</c:v>
                </c:pt>
                <c:pt idx="2">
                  <c:v>3.6994042884725826</c:v>
                </c:pt>
                <c:pt idx="3">
                  <c:v>5.067312147726633</c:v>
                </c:pt>
                <c:pt idx="4">
                  <c:v>4.8781422829299412</c:v>
                </c:pt>
              </c:numCache>
            </c:numRef>
          </c:val>
          <c:extLst xmlns:c16r2="http://schemas.microsoft.com/office/drawing/2015/06/chart">
            <c:ext xmlns:c16="http://schemas.microsoft.com/office/drawing/2014/chart" uri="{C3380CC4-5D6E-409C-BE32-E72D297353CC}">
              <c16:uniqueId val="{00000000-FE16-4D4E-9DA3-C10C7C5B712E}"/>
            </c:ext>
          </c:extLst>
        </c:ser>
        <c:dLbls>
          <c:showLegendKey val="0"/>
          <c:showVal val="0"/>
          <c:showCatName val="0"/>
          <c:showSerName val="0"/>
          <c:showPercent val="0"/>
          <c:showBubbleSize val="0"/>
        </c:dLbls>
        <c:gapWidth val="100"/>
        <c:overlap val="-27"/>
        <c:axId val="-1306062000"/>
        <c:axId val="-1306057104"/>
      </c:barChart>
      <c:dateAx>
        <c:axId val="-1306062000"/>
        <c:scaling>
          <c:orientation val="minMax"/>
        </c:scaling>
        <c:delete val="0"/>
        <c:axPos val="b"/>
        <c:numFmt formatCode="yyyy" sourceLinked="0"/>
        <c:majorTickMark val="none"/>
        <c:minorTickMark val="none"/>
        <c:tickLblPos val="nextTo"/>
        <c:spPr>
          <a:noFill/>
          <a:ln w="9525" cap="flat" cmpd="sng" algn="ctr">
            <a:solidFill>
              <a:schemeClr val="bg1">
                <a:lumMod val="9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7104"/>
        <c:crosses val="autoZero"/>
        <c:auto val="0"/>
        <c:lblOffset val="100"/>
        <c:baseTimeUnit val="years"/>
      </c:dateAx>
      <c:valAx>
        <c:axId val="-1306057104"/>
        <c:scaling>
          <c:orientation val="minMax"/>
        </c:scaling>
        <c:delete val="0"/>
        <c:axPos val="l"/>
        <c:majorGridlines>
          <c:spPr>
            <a:ln w="9525" cap="flat" cmpd="sng" algn="ctr">
              <a:noFill/>
              <a:round/>
            </a:ln>
            <a:effectLst/>
          </c:spPr>
        </c:majorGridlines>
        <c:numFmt formatCode="0.00\x" sourceLinked="1"/>
        <c:majorTickMark val="none"/>
        <c:minorTickMark val="none"/>
        <c:tickLblPos val="nextTo"/>
        <c:spPr>
          <a:noFill/>
          <a:ln>
            <a:solidFill>
              <a:schemeClr val="bg1">
                <a:lumMod val="95000"/>
              </a:schemeClr>
            </a:solid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620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'KEY FINANCIAL RATIOS'!$B$22</c:f>
              <c:strCache>
                <c:ptCount val="1"/>
                <c:pt idx="0">
                  <c:v>Price to Sales</c:v>
                </c:pt>
              </c:strCache>
            </c:strRef>
          </c:tx>
          <c:spPr>
            <a:solidFill>
              <a:srgbClr val="FFFF00"/>
            </a:solidFill>
            <a:ln>
              <a:solidFill>
                <a:schemeClr val="tx1">
                  <a:lumMod val="95000"/>
                  <a:lumOff val="5000"/>
                </a:schemeClr>
              </a:solidFill>
            </a:ln>
            <a:effectLst>
              <a:innerShdw blurRad="63500" dist="50800">
                <a:prstClr val="black">
                  <a:alpha val="50000"/>
                </a:prstClr>
              </a:innerShdw>
            </a:effectLst>
          </c:spPr>
          <c:invertIfNegative val="0"/>
          <c:dLbls>
            <c:dLbl>
              <c:idx val="1"/>
              <c:layout>
                <c:manualLayout>
                  <c:x val="0"/>
                  <c:y val="-6.6516906352250327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E697-492F-A503-2A102A3BF113}"/>
                </c:ext>
                <c:ext xmlns:c15="http://schemas.microsoft.com/office/drawing/2012/chart" uri="{CE6537A1-D6FC-4f65-9D91-7224C49458BB}"/>
              </c:extLst>
            </c:dLbl>
            <c:dLbl>
              <c:idx val="3"/>
              <c:layout>
                <c:manualLayout>
                  <c:x val="-9.5645122639634434E-17"/>
                  <c:y val="-3.672517472170559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E697-492F-A503-2A102A3BF113}"/>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lumMod val="95000"/>
                    <a:lumOff val="5000"/>
                  </a:schemeClr>
                </a:solidFill>
                <a:prstDash val="dash"/>
                <a:headEnd type="stealth" w="lg" len="med"/>
                <a:tailEnd type="oval" w="lg" len="med"/>
              </a:ln>
              <a:effectLst/>
            </c:spPr>
            <c:trendlineType val="exp"/>
            <c:dispRSqr val="0"/>
            <c:dispEq val="0"/>
          </c:trendline>
          <c:cat>
            <c:numRef>
              <c:f>'KEY FINANCIAL RATIOS'!$C$7:$G$7</c:f>
              <c:numCache>
                <c:formatCode>yyyy\/\A</c:formatCode>
                <c:ptCount val="5"/>
                <c:pt idx="0">
                  <c:v>44440</c:v>
                </c:pt>
                <c:pt idx="1">
                  <c:v>44805</c:v>
                </c:pt>
                <c:pt idx="2">
                  <c:v>45170</c:v>
                </c:pt>
                <c:pt idx="3">
                  <c:v>45536</c:v>
                </c:pt>
                <c:pt idx="4">
                  <c:v>45901</c:v>
                </c:pt>
              </c:numCache>
            </c:numRef>
          </c:cat>
          <c:val>
            <c:numRef>
              <c:f>'KEY FINANCIAL RATIOS'!$C$22:$F$22</c:f>
              <c:numCache>
                <c:formatCode>0.00\x</c:formatCode>
                <c:ptCount val="4"/>
                <c:pt idx="0">
                  <c:v>3.4149393516832487</c:v>
                </c:pt>
                <c:pt idx="1">
                  <c:v>4.1178222724016802</c:v>
                </c:pt>
                <c:pt idx="2">
                  <c:v>3.1527892800455506</c:v>
                </c:pt>
                <c:pt idx="3">
                  <c:v>4.2668149795034491</c:v>
                </c:pt>
              </c:numCache>
            </c:numRef>
          </c:val>
          <c:extLst xmlns:c16r2="http://schemas.microsoft.com/office/drawing/2015/06/chart">
            <c:ext xmlns:c16="http://schemas.microsoft.com/office/drawing/2014/chart" uri="{C3380CC4-5D6E-409C-BE32-E72D297353CC}">
              <c16:uniqueId val="{00000000-0F0B-4C8E-A252-6BF61E87A66A}"/>
            </c:ext>
          </c:extLst>
        </c:ser>
        <c:dLbls>
          <c:showLegendKey val="0"/>
          <c:showVal val="0"/>
          <c:showCatName val="0"/>
          <c:showSerName val="0"/>
          <c:showPercent val="0"/>
          <c:showBubbleSize val="0"/>
        </c:dLbls>
        <c:gapWidth val="100"/>
        <c:overlap val="-27"/>
        <c:axId val="-1306061456"/>
        <c:axId val="-1306053840"/>
      </c:barChart>
      <c:dateAx>
        <c:axId val="-1306061456"/>
        <c:scaling>
          <c:orientation val="minMax"/>
        </c:scaling>
        <c:delete val="0"/>
        <c:axPos val="b"/>
        <c:numFmt formatCode="yyyy" sourceLinked="0"/>
        <c:majorTickMark val="none"/>
        <c:minorTickMark val="none"/>
        <c:tickLblPos val="nextTo"/>
        <c:spPr>
          <a:noFill/>
          <a:ln w="9525" cap="flat" cmpd="sng" algn="ctr">
            <a:solidFill>
              <a:schemeClr val="bg1">
                <a:lumMod val="9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3840"/>
        <c:crosses val="autoZero"/>
        <c:auto val="0"/>
        <c:lblOffset val="100"/>
        <c:baseTimeUnit val="years"/>
      </c:dateAx>
      <c:valAx>
        <c:axId val="-1306053840"/>
        <c:scaling>
          <c:orientation val="minMax"/>
        </c:scaling>
        <c:delete val="0"/>
        <c:axPos val="l"/>
        <c:majorGridlines>
          <c:spPr>
            <a:ln w="9525" cap="flat" cmpd="sng" algn="ctr">
              <a:noFill/>
              <a:round/>
            </a:ln>
            <a:effectLst/>
          </c:spPr>
        </c:majorGridlines>
        <c:numFmt formatCode="0.00\x" sourceLinked="1"/>
        <c:majorTickMark val="none"/>
        <c:minorTickMark val="none"/>
        <c:tickLblPos val="nextTo"/>
        <c:spPr>
          <a:noFill/>
          <a:ln>
            <a:solidFill>
              <a:schemeClr val="bg1">
                <a:lumMod val="95000"/>
              </a:schemeClr>
            </a:solid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614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r>
              <a:rPr lang="en-IN" sz="1050" b="1" i="1"/>
              <a:t>EV</a:t>
            </a:r>
            <a:r>
              <a:rPr lang="en-IN" sz="1050" b="1" i="1" baseline="0"/>
              <a:t> / EBITDA</a:t>
            </a:r>
          </a:p>
        </c:rich>
      </c:tx>
      <c:layout>
        <c:manualLayout>
          <c:xMode val="edge"/>
          <c:yMode val="edge"/>
          <c:x val="0.42412489063867009"/>
          <c:y val="4.3793793793793792E-2"/>
        </c:manualLayout>
      </c:layout>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FF00"/>
            </a:solidFill>
            <a:ln>
              <a:solidFill>
                <a:schemeClr val="tx1"/>
              </a:solidFill>
            </a:ln>
            <a:effectLst>
              <a:innerShdw blurRad="63500" dist="50800" dir="18900000">
                <a:prstClr val="black">
                  <a:alpha val="50000"/>
                </a:prstClr>
              </a:innerShdw>
            </a:effectLst>
          </c:spPr>
          <c:invertIfNegative val="0"/>
          <c:dLbls>
            <c:dLbl>
              <c:idx val="1"/>
              <c:layout>
                <c:manualLayout>
                  <c:x val="2.5983671206307279E-3"/>
                  <c:y val="-8.569207435064638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3E8C-47D2-97C3-CFBCBCA4CC12}"/>
                </c:ext>
                <c:ext xmlns:c15="http://schemas.microsoft.com/office/drawing/2012/chart" uri="{CE6537A1-D6FC-4f65-9D91-7224C49458BB}"/>
              </c:extLst>
            </c:dLbl>
            <c:dLbl>
              <c:idx val="3"/>
              <c:layout>
                <c:manualLayout>
                  <c:x val="-9.5272360495355011E-17"/>
                  <c:y val="-6.7329486989793616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3E8C-47D2-97C3-CFBCBCA4CC12}"/>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solidFill>
                <a:prstDash val="dash"/>
                <a:headEnd type="stealth" w="lg" len="med"/>
                <a:tailEnd type="oval" w="lg" len="med"/>
              </a:ln>
              <a:effectLst/>
            </c:spPr>
            <c:trendlineType val="exp"/>
            <c:dispRSqr val="0"/>
            <c:dispEq val="0"/>
          </c:trendline>
          <c:cat>
            <c:numRef>
              <c:f>'KEY FINANCIAL RATIOS'!$C$7:$G$7</c:f>
              <c:numCache>
                <c:formatCode>yyyy\/\A</c:formatCode>
                <c:ptCount val="5"/>
                <c:pt idx="0">
                  <c:v>44440</c:v>
                </c:pt>
                <c:pt idx="1">
                  <c:v>44805</c:v>
                </c:pt>
                <c:pt idx="2">
                  <c:v>45170</c:v>
                </c:pt>
                <c:pt idx="3">
                  <c:v>45536</c:v>
                </c:pt>
                <c:pt idx="4">
                  <c:v>45901</c:v>
                </c:pt>
              </c:numCache>
            </c:numRef>
          </c:cat>
          <c:val>
            <c:numRef>
              <c:f>'KEY FINANCIAL RATIOS'!$C$27:$F$27</c:f>
              <c:numCache>
                <c:formatCode>0.00\x</c:formatCode>
                <c:ptCount val="4"/>
                <c:pt idx="0">
                  <c:v>14.059826397538377</c:v>
                </c:pt>
                <c:pt idx="1">
                  <c:v>19.018667610846801</c:v>
                </c:pt>
                <c:pt idx="2">
                  <c:v>18.891468007557389</c:v>
                </c:pt>
                <c:pt idx="3">
                  <c:v>23.136218826095391</c:v>
                </c:pt>
              </c:numCache>
            </c:numRef>
          </c:val>
          <c:extLst xmlns:c16r2="http://schemas.microsoft.com/office/drawing/2015/06/chart">
            <c:ext xmlns:c16="http://schemas.microsoft.com/office/drawing/2014/chart" uri="{C3380CC4-5D6E-409C-BE32-E72D297353CC}">
              <c16:uniqueId val="{00000000-5711-493E-BBAB-FB9824A96AC5}"/>
            </c:ext>
          </c:extLst>
        </c:ser>
        <c:dLbls>
          <c:showLegendKey val="0"/>
          <c:showVal val="0"/>
          <c:showCatName val="0"/>
          <c:showSerName val="0"/>
          <c:showPercent val="0"/>
          <c:showBubbleSize val="0"/>
        </c:dLbls>
        <c:gapWidth val="100"/>
        <c:overlap val="-27"/>
        <c:axId val="-1306053296"/>
        <c:axId val="-1306060912"/>
      </c:barChart>
      <c:dateAx>
        <c:axId val="-1306053296"/>
        <c:scaling>
          <c:orientation val="minMax"/>
        </c:scaling>
        <c:delete val="0"/>
        <c:axPos val="b"/>
        <c:numFmt formatCode="yyyy" sourceLinked="0"/>
        <c:majorTickMark val="none"/>
        <c:minorTickMark val="none"/>
        <c:tickLblPos val="nextTo"/>
        <c:spPr>
          <a:noFill/>
          <a:ln w="9525" cap="flat" cmpd="sng" algn="ctr">
            <a:solidFill>
              <a:schemeClr val="bg1">
                <a:lumMod val="9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60912"/>
        <c:crosses val="autoZero"/>
        <c:auto val="0"/>
        <c:lblOffset val="100"/>
        <c:baseTimeUnit val="years"/>
      </c:dateAx>
      <c:valAx>
        <c:axId val="-1306060912"/>
        <c:scaling>
          <c:orientation val="minMax"/>
        </c:scaling>
        <c:delete val="0"/>
        <c:axPos val="l"/>
        <c:majorGridlines>
          <c:spPr>
            <a:ln w="9525" cap="flat" cmpd="sng" algn="ctr">
              <a:noFill/>
              <a:round/>
            </a:ln>
            <a:effectLst/>
          </c:spPr>
        </c:majorGridlines>
        <c:numFmt formatCode="0.00\x" sourceLinked="1"/>
        <c:majorTickMark val="none"/>
        <c:minorTickMark val="none"/>
        <c:tickLblPos val="nextTo"/>
        <c:spPr>
          <a:noFill/>
          <a:ln>
            <a:solidFill>
              <a:schemeClr val="bg1">
                <a:lumMod val="95000"/>
              </a:schemeClr>
            </a:solid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32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r>
              <a:rPr lang="en-IN" sz="1050" b="1" i="1"/>
              <a:t>PEG</a:t>
            </a:r>
            <a:r>
              <a:rPr lang="en-IN" sz="1050" b="1" i="1" baseline="0"/>
              <a:t> Ratio</a:t>
            </a:r>
            <a:endParaRPr lang="en-IN" sz="1050" b="1" i="1"/>
          </a:p>
        </c:rich>
      </c:tx>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percentStacked"/>
        <c:varyColors val="0"/>
        <c:ser>
          <c:idx val="0"/>
          <c:order val="0"/>
          <c:spPr>
            <a:ln w="38100" cap="rnd">
              <a:solidFill>
                <a:srgbClr val="FFFF00"/>
              </a:solidFill>
              <a:round/>
            </a:ln>
            <a:effectLst>
              <a:innerShdw blurRad="63500" dist="50800" dir="18900000">
                <a:prstClr val="black">
                  <a:alpha val="50000"/>
                </a:prstClr>
              </a:innerShdw>
            </a:effectLst>
          </c:spPr>
          <c:marker>
            <c:symbol val="circle"/>
            <c:size val="5"/>
            <c:spPr>
              <a:solidFill>
                <a:schemeClr val="tx1">
                  <a:lumMod val="95000"/>
                  <a:lumOff val="5000"/>
                </a:schemeClr>
              </a:solidFill>
              <a:ln w="50800">
                <a:solidFill>
                  <a:schemeClr val="tx1">
                    <a:lumMod val="95000"/>
                    <a:lumOff val="5000"/>
                  </a:schemeClr>
                </a:solidFill>
                <a:headEnd type="oval"/>
                <a:tailEnd type="oval"/>
              </a:ln>
              <a:effectLst/>
            </c:spPr>
          </c:marker>
          <c:dPt>
            <c:idx val="1"/>
            <c:marker>
              <c:symbol val="circle"/>
              <c:size val="5"/>
              <c:spPr>
                <a:solidFill>
                  <a:schemeClr val="tx1">
                    <a:lumMod val="95000"/>
                    <a:lumOff val="5000"/>
                  </a:schemeClr>
                </a:solidFill>
                <a:ln w="50800">
                  <a:solidFill>
                    <a:schemeClr val="tx1">
                      <a:lumMod val="95000"/>
                      <a:lumOff val="5000"/>
                    </a:schemeClr>
                  </a:solidFill>
                  <a:headEnd type="oval"/>
                  <a:tailEnd type="oval"/>
                </a:ln>
                <a:effectLst/>
              </c:spPr>
            </c:marker>
            <c:bubble3D val="0"/>
            <c:spPr>
              <a:ln w="38100" cap="rnd">
                <a:solidFill>
                  <a:srgbClr val="FFFF00"/>
                </a:solidFill>
                <a:round/>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1-BAEF-4360-A709-5ADF622FAC8B}"/>
              </c:ext>
            </c:extLst>
          </c:dPt>
          <c:dLbls>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'KEY FINANCIAL RATIOS'!$D$7:$G$7</c:f>
              <c:numCache>
                <c:formatCode>yyyy\/\A</c:formatCode>
                <c:ptCount val="4"/>
                <c:pt idx="0">
                  <c:v>44805</c:v>
                </c:pt>
                <c:pt idx="1">
                  <c:v>45170</c:v>
                </c:pt>
                <c:pt idx="2">
                  <c:v>45536</c:v>
                </c:pt>
                <c:pt idx="3">
                  <c:v>45901</c:v>
                </c:pt>
              </c:numCache>
            </c:numRef>
          </c:cat>
          <c:val>
            <c:numRef>
              <c:f>'KEY FINANCIAL RATIOS'!$D$37:$G$37</c:f>
              <c:numCache>
                <c:formatCode>0.00\x</c:formatCode>
                <c:ptCount val="4"/>
                <c:pt idx="0">
                  <c:v>9.6771255658543733</c:v>
                </c:pt>
                <c:pt idx="1">
                  <c:v>-13.440197705840401</c:v>
                </c:pt>
                <c:pt idx="2">
                  <c:v>11.274805007505574</c:v>
                </c:pt>
                <c:pt idx="3">
                  <c:v>-36.073613838688921</c:v>
                </c:pt>
              </c:numCache>
            </c:numRef>
          </c:val>
          <c:smooth val="1"/>
          <c:extLst xmlns:c16r2="http://schemas.microsoft.com/office/drawing/2015/06/chart">
            <c:ext xmlns:c16="http://schemas.microsoft.com/office/drawing/2014/chart" uri="{C3380CC4-5D6E-409C-BE32-E72D297353CC}">
              <c16:uniqueId val="{00000000-BAEF-4360-A709-5ADF622FAC8B}"/>
            </c:ext>
          </c:extLst>
        </c:ser>
        <c:dLbls>
          <c:showLegendKey val="0"/>
          <c:showVal val="0"/>
          <c:showCatName val="0"/>
          <c:showSerName val="0"/>
          <c:showPercent val="0"/>
          <c:showBubbleSize val="0"/>
        </c:dLbls>
        <c:marker val="1"/>
        <c:smooth val="0"/>
        <c:axId val="-1306059824"/>
        <c:axId val="-1306060368"/>
      </c:lineChart>
      <c:dateAx>
        <c:axId val="-1306059824"/>
        <c:scaling>
          <c:orientation val="minMax"/>
        </c:scaling>
        <c:delete val="0"/>
        <c:axPos val="b"/>
        <c:numFmt formatCode="yyyy\/\A" sourceLinked="1"/>
        <c:majorTickMark val="none"/>
        <c:minorTickMark val="none"/>
        <c:tickLblPos val="nextTo"/>
        <c:spPr>
          <a:noFill/>
          <a:ln w="9525" cap="flat" cmpd="sng" algn="ctr">
            <a:solidFill>
              <a:schemeClr val="bg1">
                <a:lumMod val="95000"/>
              </a:schemeClr>
            </a:solidFill>
            <a:round/>
          </a:ln>
          <a:effectLst>
            <a:outerShdw blurRad="50800" dist="38100" dir="5400000" algn="t" rotWithShape="0">
              <a:prstClr val="black">
                <a:alpha val="40000"/>
              </a:prstClr>
            </a:outerShdw>
          </a:effectLst>
        </c:spPr>
        <c:txPr>
          <a:bodyPr rot="540000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306060368"/>
        <c:crosses val="autoZero"/>
        <c:auto val="0"/>
        <c:lblOffset val="100"/>
        <c:baseTimeUnit val="years"/>
      </c:dateAx>
      <c:valAx>
        <c:axId val="-1306060368"/>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9824"/>
        <c:crossesAt val="44197"/>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'KEY FINANCIAL RATIOS'!$B$42</c:f>
              <c:strCache>
                <c:ptCount val="1"/>
                <c:pt idx="0">
                  <c:v>Debt to Equity</c:v>
                </c:pt>
              </c:strCache>
            </c:strRef>
          </c:tx>
          <c:spPr>
            <a:ln w="38100" cap="rnd">
              <a:solidFill>
                <a:srgbClr val="FFFF00"/>
              </a:solidFill>
              <a:round/>
            </a:ln>
            <a:effectLst>
              <a:outerShdw blurRad="50800" dist="38100" dir="5400000" algn="t" rotWithShape="0">
                <a:prstClr val="black">
                  <a:alpha val="40000"/>
                </a:prstClr>
              </a:outerShdw>
            </a:effectLst>
          </c:spPr>
          <c:marker>
            <c:symbol val="circle"/>
            <c:size val="5"/>
            <c:spPr>
              <a:solidFill>
                <a:schemeClr val="tx1">
                  <a:lumMod val="95000"/>
                  <a:lumOff val="5000"/>
                </a:schemeClr>
              </a:solidFill>
              <a:ln w="50800">
                <a:solidFill>
                  <a:schemeClr val="tx1">
                    <a:lumMod val="95000"/>
                    <a:lumOff val="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'KEY FINANCIAL RATIOS'!$C$7:$G$7</c:f>
              <c:numCache>
                <c:formatCode>yyyy\/\A</c:formatCode>
                <c:ptCount val="5"/>
                <c:pt idx="0">
                  <c:v>44440</c:v>
                </c:pt>
                <c:pt idx="1">
                  <c:v>44805</c:v>
                </c:pt>
                <c:pt idx="2">
                  <c:v>45170</c:v>
                </c:pt>
                <c:pt idx="3">
                  <c:v>45536</c:v>
                </c:pt>
                <c:pt idx="4">
                  <c:v>45901</c:v>
                </c:pt>
              </c:numCache>
            </c:numRef>
          </c:cat>
          <c:val>
            <c:numRef>
              <c:f>'KEY FINANCIAL RATIOS'!$C$42:$F$42</c:f>
              <c:numCache>
                <c:formatCode>0.00\x</c:formatCode>
                <c:ptCount val="4"/>
                <c:pt idx="0">
                  <c:v>0.40256712093086433</c:v>
                </c:pt>
                <c:pt idx="1">
                  <c:v>0.20229573471104648</c:v>
                </c:pt>
                <c:pt idx="2">
                  <c:v>0.18225244060971338</c:v>
                </c:pt>
                <c:pt idx="3">
                  <c:v>0.17097266961113142</c:v>
                </c:pt>
              </c:numCache>
            </c:numRef>
          </c:val>
          <c:smooth val="0"/>
          <c:extLst xmlns:c16r2="http://schemas.microsoft.com/office/drawing/2015/06/chart">
            <c:ext xmlns:c16="http://schemas.microsoft.com/office/drawing/2014/chart" uri="{C3380CC4-5D6E-409C-BE32-E72D297353CC}">
              <c16:uniqueId val="{00000000-42E4-4578-9D9C-44083F247CAF}"/>
            </c:ext>
          </c:extLst>
        </c:ser>
        <c:dLbls>
          <c:showLegendKey val="0"/>
          <c:showVal val="0"/>
          <c:showCatName val="0"/>
          <c:showSerName val="0"/>
          <c:showPercent val="0"/>
          <c:showBubbleSize val="0"/>
        </c:dLbls>
        <c:marker val="1"/>
        <c:smooth val="0"/>
        <c:axId val="-1306059280"/>
        <c:axId val="-1306058736"/>
      </c:lineChart>
      <c:dateAx>
        <c:axId val="-1306059280"/>
        <c:scaling>
          <c:orientation val="minMax"/>
        </c:scaling>
        <c:delete val="0"/>
        <c:axPos val="b"/>
        <c:numFmt formatCode="yyyy" sourceLinked="0"/>
        <c:majorTickMark val="none"/>
        <c:minorTickMark val="none"/>
        <c:tickLblPos val="nextTo"/>
        <c:spPr>
          <a:noFill/>
          <a:ln w="9525" cap="flat" cmpd="sng" algn="ctr">
            <a:solidFill>
              <a:schemeClr val="bg1">
                <a:lumMod val="9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8736"/>
        <c:crosses val="autoZero"/>
        <c:auto val="0"/>
        <c:lblOffset val="100"/>
        <c:baseTimeUnit val="years"/>
      </c:dateAx>
      <c:valAx>
        <c:axId val="-1306058736"/>
        <c:scaling>
          <c:orientation val="minMax"/>
        </c:scaling>
        <c:delete val="0"/>
        <c:axPos val="l"/>
        <c:majorGridlines>
          <c:spPr>
            <a:ln w="9525" cap="flat" cmpd="sng" algn="ctr">
              <a:noFill/>
              <a:round/>
            </a:ln>
            <a:effectLst/>
          </c:spPr>
        </c:majorGridlines>
        <c:numFmt formatCode="0.00\x" sourceLinked="1"/>
        <c:majorTickMark val="none"/>
        <c:minorTickMark val="none"/>
        <c:tickLblPos val="nextTo"/>
        <c:spPr>
          <a:noFill/>
          <a:ln>
            <a:solidFill>
              <a:schemeClr val="bg1">
                <a:lumMod val="95000"/>
              </a:schemeClr>
            </a:solid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92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r>
              <a:rPr lang="en-IN" sz="1050" b="1" i="1"/>
              <a:t>Football</a:t>
            </a:r>
            <a:r>
              <a:rPr lang="en-IN" sz="1050" b="1" i="1" baseline="0"/>
              <a:t> Field Analysis (Enterprise Value)</a:t>
            </a:r>
            <a:endParaRPr lang="en-IN" sz="1050" b="1" i="1"/>
          </a:p>
        </c:rich>
      </c:tx>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noFill/>
            <a:ln>
              <a:noFill/>
            </a:ln>
            <a:effectLst/>
          </c:spPr>
          <c:invertIfNegative val="0"/>
          <c:dLbls>
            <c:dLbl>
              <c:idx val="2"/>
              <c:layout>
                <c:manualLayout>
                  <c:x val="7.2281649427245603E-3"/>
                  <c:y val="0"/>
                </c:manualLayout>
              </c:layout>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9F7F-460E-882C-30C40FDD3C2E}"/>
                </c:ext>
                <c:ext xmlns:c15="http://schemas.microsoft.com/office/drawing/2012/chart" uri="{CE6537A1-D6FC-4f65-9D91-7224C49458BB}"/>
              </c:extLst>
            </c:dLbl>
            <c:dLbl>
              <c:idx val="3"/>
              <c:layout>
                <c:manualLayout>
                  <c:x val="2.8864292991937258E-2"/>
                  <c:y val="-0.15591705490244642"/>
                </c:manualLayout>
              </c:layout>
              <c:dLblPos val="ctr"/>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0-9F7F-460E-882C-30C40FDD3C2E}"/>
                </c:ext>
                <c:ext xmlns:c15="http://schemas.microsoft.com/office/drawing/2012/chart" uri="{CE6537A1-D6FC-4f65-9D91-7224C49458BB}"/>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050" b="1" i="1"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'FOOTBALL FIELD ANALYSIS'!$F$23:$F$26</c:f>
              <c:strCache>
                <c:ptCount val="4"/>
                <c:pt idx="0">
                  <c:v>EV/EBITDA </c:v>
                </c:pt>
                <c:pt idx="1">
                  <c:v>EV/Sales</c:v>
                </c:pt>
                <c:pt idx="2">
                  <c:v>Terminal Value</c:v>
                </c:pt>
                <c:pt idx="3">
                  <c:v>Value of Op. Assets</c:v>
                </c:pt>
              </c:strCache>
            </c:strRef>
          </c:cat>
          <c:val>
            <c:numRef>
              <c:f>'FOOTBALL FIELD ANALYSIS'!$G$23:$G$26</c:f>
              <c:numCache>
                <c:formatCode>#,##0;\(#,##0\);"--"</c:formatCode>
                <c:ptCount val="4"/>
                <c:pt idx="0">
                  <c:v>173394.36041990668</c:v>
                </c:pt>
                <c:pt idx="1">
                  <c:v>127558.2767172704</c:v>
                </c:pt>
                <c:pt idx="2">
                  <c:v>55623</c:v>
                </c:pt>
                <c:pt idx="3">
                  <c:v>51151</c:v>
                </c:pt>
              </c:numCache>
            </c:numRef>
          </c:val>
          <c:extLst xmlns:c16r2="http://schemas.microsoft.com/office/drawing/2015/06/chart">
            <c:ext xmlns:c16="http://schemas.microsoft.com/office/drawing/2014/chart" uri="{C3380CC4-5D6E-409C-BE32-E72D297353CC}">
              <c16:uniqueId val="{00000000-C745-47BC-8896-86E4B4364453}"/>
            </c:ext>
          </c:extLst>
        </c:ser>
        <c:ser>
          <c:idx val="1"/>
          <c:order val="1"/>
          <c:spPr>
            <a:solidFill>
              <a:srgbClr val="FFFF00"/>
            </a:solidFill>
            <a:ln>
              <a:solidFill>
                <a:schemeClr val="tx1"/>
              </a:solidFill>
            </a:ln>
            <a:effectLst>
              <a:innerShdw blurRad="63500" dist="50800" dir="18900000">
                <a:prstClr val="black">
                  <a:alpha val="50000"/>
                </a:prstClr>
              </a:innerShdw>
            </a:effectLst>
          </c:spPr>
          <c:invertIfNegative val="0"/>
          <c:cat>
            <c:strRef>
              <c:f>'FOOTBALL FIELD ANALYSIS'!$F$23:$F$26</c:f>
              <c:strCache>
                <c:ptCount val="4"/>
                <c:pt idx="0">
                  <c:v>EV/EBITDA </c:v>
                </c:pt>
                <c:pt idx="1">
                  <c:v>EV/Sales</c:v>
                </c:pt>
                <c:pt idx="2">
                  <c:v>Terminal Value</c:v>
                </c:pt>
                <c:pt idx="3">
                  <c:v>Value of Op. Assets</c:v>
                </c:pt>
              </c:strCache>
            </c:strRef>
          </c:cat>
          <c:val>
            <c:numRef>
              <c:f>'FOOTBALL FIELD ANALYSIS'!$H$23:$H$26</c:f>
              <c:numCache>
                <c:formatCode>#,##0;\(#,##0\);"--"</c:formatCode>
                <c:ptCount val="4"/>
                <c:pt idx="0">
                  <c:v>323787.45542180684</c:v>
                </c:pt>
                <c:pt idx="1">
                  <c:v>314938.50235234579</c:v>
                </c:pt>
                <c:pt idx="2">
                  <c:v>104293</c:v>
                </c:pt>
                <c:pt idx="3">
                  <c:v>79626.5</c:v>
                </c:pt>
              </c:numCache>
            </c:numRef>
          </c:val>
          <c:extLst xmlns:c16r2="http://schemas.microsoft.com/office/drawing/2015/06/chart">
            <c:ext xmlns:c16="http://schemas.microsoft.com/office/drawing/2014/chart" uri="{C3380CC4-5D6E-409C-BE32-E72D297353CC}">
              <c16:uniqueId val="{00000001-C745-47BC-8896-86E4B4364453}"/>
            </c:ext>
          </c:extLst>
        </c:ser>
        <c:ser>
          <c:idx val="2"/>
          <c:order val="2"/>
          <c:spPr>
            <a:noFill/>
            <a:ln>
              <a:noFill/>
            </a:ln>
            <a:effectLst/>
          </c:spPr>
          <c:invertIfNegative val="0"/>
          <c:dLbls>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050" b="1" i="1" u="none" strike="noStrike" kern="1200" baseline="0">
                    <a:solidFill>
                      <a:schemeClr val="dk1">
                        <a:lumMod val="65000"/>
                        <a:lumOff val="3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'FOOTBALL FIELD ANALYSIS'!$F$23:$F$26</c:f>
              <c:strCache>
                <c:ptCount val="4"/>
                <c:pt idx="0">
                  <c:v>EV/EBITDA </c:v>
                </c:pt>
                <c:pt idx="1">
                  <c:v>EV/Sales</c:v>
                </c:pt>
                <c:pt idx="2">
                  <c:v>Terminal Value</c:v>
                </c:pt>
                <c:pt idx="3">
                  <c:v>Value of Op. Assets</c:v>
                </c:pt>
              </c:strCache>
            </c:strRef>
          </c:cat>
          <c:val>
            <c:numRef>
              <c:f>'FOOTBALL FIELD ANALYSIS'!$I$23:$I$26</c:f>
              <c:numCache>
                <c:formatCode>#,##0;\(#,##0\);"--"</c:formatCode>
                <c:ptCount val="4"/>
                <c:pt idx="0">
                  <c:v>520775.4108463435</c:v>
                </c:pt>
                <c:pt idx="1">
                  <c:v>539252.75157754903</c:v>
                </c:pt>
                <c:pt idx="2">
                  <c:v>152963</c:v>
                </c:pt>
                <c:pt idx="3">
                  <c:v>108102</c:v>
                </c:pt>
              </c:numCache>
            </c:numRef>
          </c:val>
          <c:extLst xmlns:c16r2="http://schemas.microsoft.com/office/drawing/2015/06/chart">
            <c:ext xmlns:c16="http://schemas.microsoft.com/office/drawing/2014/chart" uri="{C3380CC4-5D6E-409C-BE32-E72D297353CC}">
              <c16:uniqueId val="{00000002-C745-47BC-8896-86E4B4364453}"/>
            </c:ext>
          </c:extLst>
        </c:ser>
        <c:dLbls>
          <c:showLegendKey val="0"/>
          <c:showVal val="0"/>
          <c:showCatName val="0"/>
          <c:showSerName val="0"/>
          <c:showPercent val="0"/>
          <c:showBubbleSize val="0"/>
        </c:dLbls>
        <c:gapWidth val="30"/>
        <c:overlap val="100"/>
        <c:axId val="-1306058192"/>
        <c:axId val="-1306056016"/>
      </c:barChart>
      <c:catAx>
        <c:axId val="-1306058192"/>
        <c:scaling>
          <c:orientation val="minMax"/>
        </c:scaling>
        <c:delete val="0"/>
        <c:axPos val="l"/>
        <c:numFmt formatCode="General" sourceLinked="1"/>
        <c:majorTickMark val="none"/>
        <c:minorTickMark val="none"/>
        <c:tickLblPos val="nextTo"/>
        <c:spPr>
          <a:solidFill>
            <a:schemeClr val="bg1"/>
          </a:solidFill>
          <a:ln w="9525" cap="flat" cmpd="sng" algn="ctr">
            <a:solidFill>
              <a:schemeClr val="bg1">
                <a:lumMod val="85000"/>
              </a:schemeClr>
            </a:solidFill>
            <a:round/>
          </a:ln>
          <a:effectLst>
            <a:outerShdw blurRad="50800" dist="38100" dir="2700000" algn="tl"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6016"/>
        <c:crosses val="autoZero"/>
        <c:auto val="1"/>
        <c:lblAlgn val="ctr"/>
        <c:lblOffset val="100"/>
        <c:noMultiLvlLbl val="0"/>
      </c:catAx>
      <c:valAx>
        <c:axId val="-1306056016"/>
        <c:scaling>
          <c:orientation val="minMax"/>
          <c:max val="550000"/>
          <c:min val="0"/>
        </c:scaling>
        <c:delete val="0"/>
        <c:axPos val="b"/>
        <c:majorGridlines>
          <c:spPr>
            <a:ln w="9525" cap="flat" cmpd="sng" algn="ctr">
              <a:noFill/>
              <a:round/>
            </a:ln>
            <a:effectLst/>
          </c:spPr>
        </c:majorGridlines>
        <c:numFmt formatCode="#,##0;\(#,##0\);&quot;--&quot;" sourceLinked="1"/>
        <c:majorTickMark val="none"/>
        <c:minorTickMark val="none"/>
        <c:tickLblPos val="nextTo"/>
        <c:spPr>
          <a:noFill/>
          <a:ln>
            <a:solidFill>
              <a:schemeClr val="bg1">
                <a:lumMod val="85000"/>
              </a:schemeClr>
            </a:solid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8192"/>
        <c:crosses val="autoZero"/>
        <c:crossBetween val="between"/>
        <c:majorUnit val="60000"/>
        <c:minorUnit val="100"/>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r>
              <a:rPr lang="en-IN" sz="1050" b="1" i="1"/>
              <a:t>Football</a:t>
            </a:r>
            <a:r>
              <a:rPr lang="en-IN" sz="1050" b="1" i="1" baseline="0"/>
              <a:t> Field Analysis (Equity Value per Share)</a:t>
            </a:r>
            <a:endParaRPr lang="en-IN" sz="1050" b="1" i="1"/>
          </a:p>
        </c:rich>
      </c:tx>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Low</c:v>
          </c:tx>
          <c:spPr>
            <a:solidFill>
              <a:schemeClr val="accent4">
                <a:lumMod val="40000"/>
                <a:lumOff val="60000"/>
              </a:schemeClr>
            </a:solidFill>
            <a:ln>
              <a:solidFill>
                <a:schemeClr val="tx1">
                  <a:lumMod val="95000"/>
                  <a:lumOff val="5000"/>
                </a:schemeClr>
              </a:solidFill>
            </a:ln>
            <a:effectLst>
              <a:innerShdw blurRad="63500" dist="50800" dir="18900000">
                <a:prstClr val="black">
                  <a:alpha val="50000"/>
                </a:prstClr>
              </a:innerShdw>
            </a:effectLst>
          </c:spPr>
          <c:invertIfNegative val="0"/>
          <c:dLbls>
            <c:dLbl>
              <c:idx val="1"/>
              <c:layout>
                <c:manualLayout>
                  <c:x val="-2.1042074207277134E-2"/>
                  <c:y val="-6.5543143645282569E-3"/>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4B49-45ED-9460-DB08057BF976}"/>
                </c:ext>
                <c:ext xmlns:c15="http://schemas.microsoft.com/office/drawing/2012/chart" uri="{CE6537A1-D6FC-4f65-9D91-7224C49458BB}"/>
              </c:extLst>
            </c:dLbl>
            <c:dLbl>
              <c:idx val="2"/>
              <c:layout>
                <c:manualLayout>
                  <c:x val="-2.8056098943036178E-2"/>
                  <c:y val="-6.5543143645282569E-3"/>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6-4B49-45ED-9460-DB08057BF976}"/>
                </c:ext>
                <c:ext xmlns:c15="http://schemas.microsoft.com/office/drawing/2012/chart" uri="{CE6537A1-D6FC-4f65-9D91-7224C49458BB}"/>
              </c:extLst>
            </c:dLbl>
            <c:dLbl>
              <c:idx val="3"/>
              <c:layout>
                <c:manualLayout>
                  <c:x val="-2.8056098943036178E-2"/>
                  <c:y val="0"/>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8-4B49-45ED-9460-DB08057BF976}"/>
                </c:ext>
                <c:ext xmlns:c15="http://schemas.microsoft.com/office/drawing/2012/chart" uri="{CE6537A1-D6FC-4f65-9D91-7224C49458BB}"/>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800" b="1" i="1"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'FOOTBALL FIELD ANALYSIS'!$F$11:$F$14</c:f>
              <c:strCache>
                <c:ptCount val="4"/>
                <c:pt idx="0">
                  <c:v>Comps P/E</c:v>
                </c:pt>
                <c:pt idx="1">
                  <c:v>DCF to Equity</c:v>
                </c:pt>
                <c:pt idx="2">
                  <c:v>Analyst Price T.</c:v>
                </c:pt>
                <c:pt idx="3">
                  <c:v>52W H/L</c:v>
                </c:pt>
              </c:strCache>
            </c:strRef>
          </c:cat>
          <c:val>
            <c:numRef>
              <c:f>'FOOTBALL FIELD ANALYSIS'!$G$11:$G$14</c:f>
              <c:numCache>
                <c:formatCode>#,##0;\(#,##0\);"--"</c:formatCode>
                <c:ptCount val="4"/>
                <c:pt idx="0" formatCode="#,##0_);\(#,##0\)&quot;--&quot;">
                  <c:v>2742.3541049125729</c:v>
                </c:pt>
                <c:pt idx="1">
                  <c:v>879</c:v>
                </c:pt>
                <c:pt idx="2">
                  <c:v>13339</c:v>
                </c:pt>
                <c:pt idx="3">
                  <c:v>10047</c:v>
                </c:pt>
              </c:numCache>
            </c:numRef>
          </c:val>
          <c:extLst xmlns:c16r2="http://schemas.microsoft.com/office/drawing/2015/06/chart">
            <c:ext xmlns:c16="http://schemas.microsoft.com/office/drawing/2014/chart" uri="{C3380CC4-5D6E-409C-BE32-E72D297353CC}">
              <c16:uniqueId val="{00000000-4B49-45ED-9460-DB08057BF976}"/>
            </c:ext>
          </c:extLst>
        </c:ser>
        <c:ser>
          <c:idx val="1"/>
          <c:order val="1"/>
          <c:tx>
            <c:v>Median</c:v>
          </c:tx>
          <c:spPr>
            <a:solidFill>
              <a:schemeClr val="accent4">
                <a:lumMod val="60000"/>
                <a:lumOff val="40000"/>
              </a:schemeClr>
            </a:solidFill>
            <a:ln>
              <a:solidFill>
                <a:schemeClr val="tx1">
                  <a:lumMod val="95000"/>
                  <a:lumOff val="5000"/>
                </a:schemeClr>
              </a:solidFill>
            </a:ln>
            <a:effectLst>
              <a:innerShdw blurRad="63500" dist="50800" dir="18900000">
                <a:prstClr val="black">
                  <a:alpha val="50000"/>
                </a:prstClr>
              </a:innerShdw>
            </a:effectLst>
          </c:spPr>
          <c:invertIfNegative val="0"/>
          <c:dLbls>
            <c:dLbl>
              <c:idx val="1"/>
              <c:layout>
                <c:manualLayout>
                  <c:x val="-4.6760164905060297E-3"/>
                  <c:y val="-1.2016104190574154E-16"/>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4-4B49-45ED-9460-DB08057BF976}"/>
                </c:ext>
                <c:ext xmlns:c15="http://schemas.microsoft.com/office/drawing/2012/chart" uri="{CE6537A1-D6FC-4f65-9D91-7224C49458BB}"/>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800" b="1" i="1"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'FOOTBALL FIELD ANALYSIS'!$F$11:$F$14</c:f>
              <c:strCache>
                <c:ptCount val="4"/>
                <c:pt idx="0">
                  <c:v>Comps P/E</c:v>
                </c:pt>
                <c:pt idx="1">
                  <c:v>DCF to Equity</c:v>
                </c:pt>
                <c:pt idx="2">
                  <c:v>Analyst Price T.</c:v>
                </c:pt>
                <c:pt idx="3">
                  <c:v>52W H/L</c:v>
                </c:pt>
              </c:strCache>
            </c:strRef>
          </c:cat>
          <c:val>
            <c:numRef>
              <c:f>'FOOTBALL FIELD ANALYSIS'!$H$11:$H$14</c:f>
              <c:numCache>
                <c:formatCode>#,##0_);\(#,##0\)"--"</c:formatCode>
                <c:ptCount val="4"/>
                <c:pt idx="0">
                  <c:v>9530.4404493056572</c:v>
                </c:pt>
                <c:pt idx="1">
                  <c:v>1979</c:v>
                </c:pt>
                <c:pt idx="2" formatCode="#,##0;\(#,##0\);&quot;--&quot;">
                  <c:v>14374.5</c:v>
                </c:pt>
                <c:pt idx="3" formatCode="#,##0;\(#,##0\);&quot;--&quot;">
                  <c:v>11572</c:v>
                </c:pt>
              </c:numCache>
            </c:numRef>
          </c:val>
          <c:extLst xmlns:c16r2="http://schemas.microsoft.com/office/drawing/2015/06/chart">
            <c:ext xmlns:c16="http://schemas.microsoft.com/office/drawing/2014/chart" uri="{C3380CC4-5D6E-409C-BE32-E72D297353CC}">
              <c16:uniqueId val="{00000001-4B49-45ED-9460-DB08057BF976}"/>
            </c:ext>
          </c:extLst>
        </c:ser>
        <c:ser>
          <c:idx val="2"/>
          <c:order val="2"/>
          <c:tx>
            <c:v>High</c:v>
          </c:tx>
          <c:spPr>
            <a:solidFill>
              <a:srgbClr val="FFFF00"/>
            </a:solidFill>
            <a:ln>
              <a:solidFill>
                <a:schemeClr val="tx1">
                  <a:lumMod val="95000"/>
                  <a:lumOff val="5000"/>
                </a:schemeClr>
              </a:solidFill>
            </a:ln>
            <a:effectLst>
              <a:innerShdw blurRad="63500" dist="50800" dir="18900000">
                <a:prstClr val="black">
                  <a:alpha val="50000"/>
                </a:prstClr>
              </a:innerShdw>
            </a:effectLst>
          </c:spPr>
          <c:invertIfNegative val="0"/>
          <c:dLbls>
            <c:dLbl>
              <c:idx val="1"/>
              <c:layout>
                <c:manualLayout>
                  <c:x val="1.4028049471518089E-2"/>
                  <c:y val="-1.2016104190574154E-16"/>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4B49-45ED-9460-DB08057BF976}"/>
                </c:ext>
                <c:ext xmlns:c15="http://schemas.microsoft.com/office/drawing/2012/chart" uri="{CE6537A1-D6FC-4f65-9D91-7224C49458BB}"/>
              </c:extLst>
            </c:dLbl>
            <c:dLbl>
              <c:idx val="2"/>
              <c:layout>
                <c:manualLayout>
                  <c:x val="1.8704065962024032E-2"/>
                  <c:y val="0"/>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7-4B49-45ED-9460-DB08057BF976}"/>
                </c:ext>
                <c:ext xmlns:c15="http://schemas.microsoft.com/office/drawing/2012/chart" uri="{CE6537A1-D6FC-4f65-9D91-7224C49458BB}"/>
              </c:extLst>
            </c:dLbl>
            <c:dLbl>
              <c:idx val="3"/>
              <c:layout>
                <c:manualLayout>
                  <c:x val="2.8056098943036178E-2"/>
                  <c:y val="0"/>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9-4B49-45ED-9460-DB08057BF976}"/>
                </c:ext>
                <c:ext xmlns:c15="http://schemas.microsoft.com/office/drawing/2012/chart" uri="{CE6537A1-D6FC-4f65-9D91-7224C49458BB}"/>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800" b="1" i="1"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'FOOTBALL FIELD ANALYSIS'!$F$11:$F$14</c:f>
              <c:strCache>
                <c:ptCount val="4"/>
                <c:pt idx="0">
                  <c:v>Comps P/E</c:v>
                </c:pt>
                <c:pt idx="1">
                  <c:v>DCF to Equity</c:v>
                </c:pt>
                <c:pt idx="2">
                  <c:v>Analyst Price T.</c:v>
                </c:pt>
                <c:pt idx="3">
                  <c:v>52W H/L</c:v>
                </c:pt>
              </c:strCache>
            </c:strRef>
          </c:cat>
          <c:val>
            <c:numRef>
              <c:f>'FOOTBALL FIELD ANALYSIS'!$I$11:$I$14</c:f>
              <c:numCache>
                <c:formatCode>#,##0;\(#,##0\);"--"</c:formatCode>
                <c:ptCount val="4"/>
                <c:pt idx="0" formatCode="#,##0_);\(#,##0\)&quot;--&quot;">
                  <c:v>17910.887962962963</c:v>
                </c:pt>
                <c:pt idx="1">
                  <c:v>3079</c:v>
                </c:pt>
                <c:pt idx="2">
                  <c:v>15410</c:v>
                </c:pt>
                <c:pt idx="3">
                  <c:v>13097</c:v>
                </c:pt>
              </c:numCache>
            </c:numRef>
          </c:val>
          <c:extLst xmlns:c16r2="http://schemas.microsoft.com/office/drawing/2015/06/chart">
            <c:ext xmlns:c16="http://schemas.microsoft.com/office/drawing/2014/chart" uri="{C3380CC4-5D6E-409C-BE32-E72D297353CC}">
              <c16:uniqueId val="{00000002-4B49-45ED-9460-DB08057BF976}"/>
            </c:ext>
          </c:extLst>
        </c:ser>
        <c:dLbls>
          <c:showLegendKey val="0"/>
          <c:showVal val="0"/>
          <c:showCatName val="0"/>
          <c:showSerName val="0"/>
          <c:showPercent val="0"/>
          <c:showBubbleSize val="0"/>
        </c:dLbls>
        <c:gapWidth val="100"/>
        <c:overlap val="-27"/>
        <c:axId val="-1306057648"/>
        <c:axId val="-1306056560"/>
        <c:extLst xmlns:c16r2="http://schemas.microsoft.com/office/drawing/2015/06/chart">
          <c:ext xmlns:c15="http://schemas.microsoft.com/office/drawing/2012/chart" uri="{02D57815-91ED-43cb-92C2-25804820EDAC}">
            <c15:filteredBarSeries>
              <c15:ser>
                <c:idx val="3"/>
                <c:order val="3"/>
                <c:tx>
                  <c:v>Low</c:v>
                </c:tx>
                <c:spPr>
                  <a:solidFill>
                    <a:schemeClr val="accent4"/>
                  </a:solidFill>
                  <a:ln>
                    <a:noFill/>
                  </a:ln>
                  <a:effectLst/>
                </c:spPr>
                <c:invertIfNegative val="0"/>
                <c:val>
                  <c:numRef>
                    <c:extLst xmlns:c16r2="http://schemas.microsoft.com/office/drawing/2015/06/chart">
                      <c:ext uri="{02D57815-91ED-43cb-92C2-25804820EDAC}">
                        <c15:formulaRef>
                          <c15:sqref>'FOOTBALL FIELD ANALYSIS'!$G$10</c15:sqref>
                        </c15:formulaRef>
                      </c:ext>
                    </c:extLst>
                    <c:numCache>
                      <c:formatCode>#,##0;\(#,##0\);"--"</c:formatCode>
                      <c:ptCount val="1"/>
                      <c:pt idx="0">
                        <c:v>0</c:v>
                      </c:pt>
                    </c:numCache>
                  </c:numRef>
                </c:val>
                <c:extLst xmlns:c16r2="http://schemas.microsoft.com/office/drawing/2015/06/chart">
                  <c:ext xmlns:c16="http://schemas.microsoft.com/office/drawing/2014/chart" uri="{C3380CC4-5D6E-409C-BE32-E72D297353CC}">
                    <c16:uniqueId val="{0000000E-4B49-45ED-9460-DB08057BF976}"/>
                  </c:ext>
                </c:extLst>
              </c15:ser>
            </c15:filteredBarSeries>
            <c15:filteredBarSeries>
              <c15:ser>
                <c:idx val="4"/>
                <c:order val="4"/>
                <c:tx>
                  <c:v>Median</c:v>
                </c:tx>
                <c:spPr>
                  <a:solidFill>
                    <a:schemeClr val="accent5"/>
                  </a:solidFill>
                  <a:ln>
                    <a:noFill/>
                  </a:ln>
                  <a:effectLst/>
                </c:spPr>
                <c:invertIfNegative val="0"/>
                <c:val>
                  <c:numRef>
                    <c:extLst xmlns:c16r2="http://schemas.microsoft.com/office/drawing/2015/06/chart" xmlns:c15="http://schemas.microsoft.com/office/drawing/2012/chart">
                      <c:ext xmlns:c15="http://schemas.microsoft.com/office/drawing/2012/chart" uri="{02D57815-91ED-43cb-92C2-25804820EDAC}">
                        <c15:formulaRef>
                          <c15:sqref>'FOOTBALL FIELD ANALYSIS'!$H$10</c15:sqref>
                        </c15:formulaRef>
                      </c:ext>
                    </c:extLst>
                    <c:numCache>
                      <c:formatCode>#,##0;\(#,##0\);"--"</c:formatCode>
                      <c:ptCount val="1"/>
                      <c:pt idx="0">
                        <c:v>0</c:v>
                      </c:pt>
                    </c:numCache>
                  </c:numRef>
                </c:val>
                <c:extLst xmlns:c16r2="http://schemas.microsoft.com/office/drawing/2015/06/chart" xmlns:c15="http://schemas.microsoft.com/office/drawing/2012/chart">
                  <c:ext xmlns:c16="http://schemas.microsoft.com/office/drawing/2014/chart" uri="{C3380CC4-5D6E-409C-BE32-E72D297353CC}">
                    <c16:uniqueId val="{0000000F-4B49-45ED-9460-DB08057BF976}"/>
                  </c:ext>
                </c:extLst>
              </c15:ser>
            </c15:filteredBarSeries>
            <c15:filteredBarSeries>
              <c15:ser>
                <c:idx val="5"/>
                <c:order val="5"/>
                <c:tx>
                  <c:v>High</c:v>
                </c:tx>
                <c:spPr>
                  <a:solidFill>
                    <a:schemeClr val="accent6"/>
                  </a:solidFill>
                  <a:ln>
                    <a:noFill/>
                  </a:ln>
                  <a:effectLst/>
                </c:spPr>
                <c:invertIfNegative val="0"/>
                <c:val>
                  <c:numRef>
                    <c:extLst xmlns:c16r2="http://schemas.microsoft.com/office/drawing/2015/06/chart" xmlns:c15="http://schemas.microsoft.com/office/drawing/2012/chart">
                      <c:ext xmlns:c15="http://schemas.microsoft.com/office/drawing/2012/chart" uri="{02D57815-91ED-43cb-92C2-25804820EDAC}">
                        <c15:formulaRef>
                          <c15:sqref>'FOOTBALL FIELD ANALYSIS'!$I$10</c15:sqref>
                        </c15:formulaRef>
                      </c:ext>
                    </c:extLst>
                    <c:numCache>
                      <c:formatCode>#,##0;\(#,##0\);"--"</c:formatCode>
                      <c:ptCount val="1"/>
                      <c:pt idx="0">
                        <c:v>0</c:v>
                      </c:pt>
                    </c:numCache>
                  </c:numRef>
                </c:val>
                <c:extLst xmlns:c16r2="http://schemas.microsoft.com/office/drawing/2015/06/chart" xmlns:c15="http://schemas.microsoft.com/office/drawing/2012/chart">
                  <c:ext xmlns:c16="http://schemas.microsoft.com/office/drawing/2014/chart" uri="{C3380CC4-5D6E-409C-BE32-E72D297353CC}">
                    <c16:uniqueId val="{00000010-4B49-45ED-9460-DB08057BF976}"/>
                  </c:ext>
                </c:extLst>
              </c15:ser>
            </c15:filteredBarSeries>
          </c:ext>
        </c:extLst>
      </c:barChart>
      <c:catAx>
        <c:axId val="-130605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6560"/>
        <c:crosses val="autoZero"/>
        <c:auto val="1"/>
        <c:lblAlgn val="ctr"/>
        <c:lblOffset val="100"/>
        <c:noMultiLvlLbl val="0"/>
      </c:catAx>
      <c:valAx>
        <c:axId val="-1306056560"/>
        <c:scaling>
          <c:orientation val="minMax"/>
        </c:scaling>
        <c:delete val="0"/>
        <c:axPos val="l"/>
        <c:numFmt formatCode="#,##0_);\(#,##0\)&quot;--&quot;"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57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Ultratech Cem.</c:v>
          </c:tx>
          <c:spPr>
            <a:ln w="28575" cap="rnd">
              <a:solidFill>
                <a:srgbClr val="00B050"/>
              </a:solidFill>
              <a:round/>
            </a:ln>
            <a:effectLst/>
          </c:spPr>
          <c:marker>
            <c:symbol val="none"/>
          </c:marker>
          <c:cat>
            <c:numRef>
              <c:f>'PIE E.R.R'!$G$12:$G$64</c:f>
              <c:numCache>
                <c:formatCode>mmm\-yy</c:formatCode>
                <c:ptCount val="53"/>
                <c:pt idx="0">
                  <c:v>45717</c:v>
                </c:pt>
                <c:pt idx="13">
                  <c:v>45627</c:v>
                </c:pt>
                <c:pt idx="26">
                  <c:v>45536</c:v>
                </c:pt>
                <c:pt idx="39">
                  <c:v>45444</c:v>
                </c:pt>
                <c:pt idx="52">
                  <c:v>45352</c:v>
                </c:pt>
              </c:numCache>
            </c:numRef>
          </c:cat>
          <c:val>
            <c:numRef>
              <c:f>'PIE E.R.R'!$H$12:$H$64</c:f>
              <c:numCache>
                <c:formatCode>#,##0.00</c:formatCode>
                <c:ptCount val="53"/>
                <c:pt idx="0">
                  <c:v>117.05128466142757</c:v>
                </c:pt>
                <c:pt idx="1">
                  <c:v>117.16224194796203</c:v>
                </c:pt>
                <c:pt idx="2">
                  <c:v>111.73856834561668</c:v>
                </c:pt>
                <c:pt idx="3">
                  <c:v>106.39785821898286</c:v>
                </c:pt>
                <c:pt idx="4">
                  <c:v>107.72425587361047</c:v>
                </c:pt>
                <c:pt idx="5">
                  <c:v>103.1032411743149</c:v>
                </c:pt>
                <c:pt idx="6">
                  <c:v>113.57598029235719</c:v>
                </c:pt>
                <c:pt idx="7">
                  <c:v>114.66112219552913</c:v>
                </c:pt>
                <c:pt idx="8">
                  <c:v>118.49627427826866</c:v>
                </c:pt>
                <c:pt idx="9">
                  <c:v>116.93727350462153</c:v>
                </c:pt>
                <c:pt idx="10">
                  <c:v>114.88507268211245</c:v>
                </c:pt>
                <c:pt idx="11">
                  <c:v>107.69982491143774</c:v>
                </c:pt>
                <c:pt idx="12">
                  <c:v>110.60303758296348</c:v>
                </c:pt>
                <c:pt idx="13">
                  <c:v>119.97638340323303</c:v>
                </c:pt>
                <c:pt idx="14">
                  <c:v>116.11374648804917</c:v>
                </c:pt>
                <c:pt idx="15">
                  <c:v>116.27916446109367</c:v>
                </c:pt>
                <c:pt idx="16">
                  <c:v>123.00887658292274</c:v>
                </c:pt>
                <c:pt idx="17">
                  <c:v>120.61260637648112</c:v>
                </c:pt>
                <c:pt idx="18">
                  <c:v>114.0330428763386</c:v>
                </c:pt>
                <c:pt idx="19">
                  <c:v>115.79563500142514</c:v>
                </c:pt>
                <c:pt idx="20">
                  <c:v>109.21149069587524</c:v>
                </c:pt>
                <c:pt idx="21">
                  <c:v>112.41652754590984</c:v>
                </c:pt>
                <c:pt idx="22">
                  <c:v>113.45942424365812</c:v>
                </c:pt>
                <c:pt idx="23">
                  <c:v>111.92638136731952</c:v>
                </c:pt>
                <c:pt idx="24">
                  <c:v>112.68068732440244</c:v>
                </c:pt>
                <c:pt idx="25">
                  <c:v>116.26389510973574</c:v>
                </c:pt>
                <c:pt idx="26">
                  <c:v>116.55859359094424</c:v>
                </c:pt>
                <c:pt idx="27">
                  <c:v>121.66924549045154</c:v>
                </c:pt>
                <c:pt idx="28">
                  <c:v>120.10159208436824</c:v>
                </c:pt>
                <c:pt idx="29">
                  <c:v>119.28366382996049</c:v>
                </c:pt>
                <c:pt idx="30">
                  <c:v>116.38146911519198</c:v>
                </c:pt>
                <c:pt idx="31">
                  <c:v>115.04845474164256</c:v>
                </c:pt>
                <c:pt idx="32">
                  <c:v>115.45461948776415</c:v>
                </c:pt>
                <c:pt idx="33">
                  <c:v>114.98534142269637</c:v>
                </c:pt>
                <c:pt idx="34">
                  <c:v>115.03267641190602</c:v>
                </c:pt>
                <c:pt idx="35">
                  <c:v>119.75752270043567</c:v>
                </c:pt>
                <c:pt idx="36">
                  <c:v>118.82660124597906</c:v>
                </c:pt>
                <c:pt idx="37">
                  <c:v>114.60462559550469</c:v>
                </c:pt>
                <c:pt idx="38">
                  <c:v>118.10639684026221</c:v>
                </c:pt>
                <c:pt idx="39">
                  <c:v>119.00067185145974</c:v>
                </c:pt>
                <c:pt idx="40">
                  <c:v>118.77417647298343</c:v>
                </c:pt>
                <c:pt idx="41">
                  <c:v>108.53862127936804</c:v>
                </c:pt>
                <c:pt idx="42">
                  <c:v>114.44684229813917</c:v>
                </c:pt>
                <c:pt idx="43">
                  <c:v>106.51034244065312</c:v>
                </c:pt>
                <c:pt idx="44">
                  <c:v>100.93550225986401</c:v>
                </c:pt>
                <c:pt idx="45">
                  <c:v>104.1481737855776</c:v>
                </c:pt>
                <c:pt idx="46">
                  <c:v>100.67948613542896</c:v>
                </c:pt>
                <c:pt idx="47">
                  <c:v>96.621401522863309</c:v>
                </c:pt>
                <c:pt idx="48">
                  <c:v>99.925689156724602</c:v>
                </c:pt>
                <c:pt idx="49">
                  <c:v>98.750967058919329</c:v>
                </c:pt>
                <c:pt idx="50">
                  <c:v>95.320961765544197</c:v>
                </c:pt>
                <c:pt idx="51">
                  <c:v>98.258784966814588</c:v>
                </c:pt>
                <c:pt idx="52">
                  <c:v>100</c:v>
                </c:pt>
              </c:numCache>
            </c:numRef>
          </c:val>
          <c:smooth val="0"/>
          <c:extLst xmlns:c16r2="http://schemas.microsoft.com/office/drawing/2015/06/chart">
            <c:ext xmlns:c16="http://schemas.microsoft.com/office/drawing/2014/chart" uri="{C3380CC4-5D6E-409C-BE32-E72D297353CC}">
              <c16:uniqueId val="{00000000-DABD-40C3-AC9E-A6D15095F859}"/>
            </c:ext>
          </c:extLst>
        </c:ser>
        <c:ser>
          <c:idx val="1"/>
          <c:order val="1"/>
          <c:tx>
            <c:v>Nifty 50</c:v>
          </c:tx>
          <c:spPr>
            <a:ln w="28575" cap="rnd">
              <a:solidFill>
                <a:srgbClr val="FF0000"/>
              </a:solidFill>
              <a:round/>
            </a:ln>
            <a:effectLst/>
          </c:spPr>
          <c:marker>
            <c:symbol val="none"/>
          </c:marker>
          <c:cat>
            <c:numRef>
              <c:f>'PIE E.R.R'!$G$12:$G$64</c:f>
              <c:numCache>
                <c:formatCode>mmm\-yy</c:formatCode>
                <c:ptCount val="53"/>
                <c:pt idx="0">
                  <c:v>45717</c:v>
                </c:pt>
                <c:pt idx="13">
                  <c:v>45627</c:v>
                </c:pt>
                <c:pt idx="26">
                  <c:v>45536</c:v>
                </c:pt>
                <c:pt idx="39">
                  <c:v>45444</c:v>
                </c:pt>
                <c:pt idx="52">
                  <c:v>45352</c:v>
                </c:pt>
              </c:numCache>
            </c:numRef>
          </c:cat>
          <c:val>
            <c:numRef>
              <c:f>'PIE E.R.R'!$N$12:$N$64</c:f>
              <c:numCache>
                <c:formatCode>0.00</c:formatCode>
                <c:ptCount val="53"/>
                <c:pt idx="0">
                  <c:v>101.73560987309949</c:v>
                </c:pt>
                <c:pt idx="1">
                  <c:v>104.46683574889954</c:v>
                </c:pt>
                <c:pt idx="2">
                  <c:v>103.71640378969249</c:v>
                </c:pt>
                <c:pt idx="3">
                  <c:v>99.482537299510966</c:v>
                </c:pt>
                <c:pt idx="4">
                  <c:v>100.17233950883239</c:v>
                </c:pt>
                <c:pt idx="5">
                  <c:v>98.27216317175764</c:v>
                </c:pt>
                <c:pt idx="6">
                  <c:v>101.25345900496143</c:v>
                </c:pt>
                <c:pt idx="7">
                  <c:v>101.84576502307483</c:v>
                </c:pt>
                <c:pt idx="8">
                  <c:v>104.647170389585</c:v>
                </c:pt>
                <c:pt idx="9">
                  <c:v>104.41819869679352</c:v>
                </c:pt>
                <c:pt idx="10">
                  <c:v>102.56954654277173</c:v>
                </c:pt>
                <c:pt idx="11">
                  <c:v>103.06257967370978</c:v>
                </c:pt>
                <c:pt idx="12">
                  <c:v>104.07662889707157</c:v>
                </c:pt>
                <c:pt idx="13">
                  <c:v>106.62285630527191</c:v>
                </c:pt>
                <c:pt idx="14">
                  <c:v>105.77292937189355</c:v>
                </c:pt>
                <c:pt idx="15">
                  <c:v>104.76954032433585</c:v>
                </c:pt>
                <c:pt idx="16">
                  <c:v>110.01434681993629</c:v>
                </c:pt>
                <c:pt idx="17">
                  <c:v>109.61236935732464</c:v>
                </c:pt>
                <c:pt idx="18">
                  <c:v>107.18407014395679</c:v>
                </c:pt>
                <c:pt idx="19">
                  <c:v>106.18978666323171</c:v>
                </c:pt>
                <c:pt idx="20">
                  <c:v>104.52613297680968</c:v>
                </c:pt>
                <c:pt idx="21">
                  <c:v>107.26002389656075</c:v>
                </c:pt>
                <c:pt idx="22">
                  <c:v>107.9536015848128</c:v>
                </c:pt>
                <c:pt idx="23">
                  <c:v>107.40482461789931</c:v>
                </c:pt>
                <c:pt idx="24">
                  <c:v>110.39522601793574</c:v>
                </c:pt>
                <c:pt idx="25">
                  <c:v>110.8847057569391</c:v>
                </c:pt>
                <c:pt idx="26">
                  <c:v>111.10834736182858</c:v>
                </c:pt>
                <c:pt idx="27">
                  <c:v>116.28008723577199</c:v>
                </c:pt>
                <c:pt idx="28">
                  <c:v>114.55669214744799</c:v>
                </c:pt>
                <c:pt idx="29">
                  <c:v>112.62697823991614</c:v>
                </c:pt>
                <c:pt idx="30">
                  <c:v>110.38678671209085</c:v>
                </c:pt>
                <c:pt idx="31">
                  <c:v>112.09130440576183</c:v>
                </c:pt>
                <c:pt idx="32">
                  <c:v>110.25797625445838</c:v>
                </c:pt>
                <c:pt idx="33">
                  <c:v>109.00540559748065</c:v>
                </c:pt>
                <c:pt idx="34">
                  <c:v>108.23409746065728</c:v>
                </c:pt>
                <c:pt idx="35">
                  <c:v>109.78959478006725</c:v>
                </c:pt>
                <c:pt idx="36">
                  <c:v>110.30994461150321</c:v>
                </c:pt>
                <c:pt idx="37">
                  <c:v>108.95987776331746</c:v>
                </c:pt>
                <c:pt idx="38">
                  <c:v>108.83217774066458</c:v>
                </c:pt>
                <c:pt idx="39">
                  <c:v>108.04021551322083</c:v>
                </c:pt>
                <c:pt idx="40">
                  <c:v>106.6488404837943</c:v>
                </c:pt>
                <c:pt idx="41">
                  <c:v>104.38577399538946</c:v>
                </c:pt>
                <c:pt idx="42">
                  <c:v>104.22809222828766</c:v>
                </c:pt>
                <c:pt idx="43">
                  <c:v>103.44878895961128</c:v>
                </c:pt>
                <c:pt idx="44">
                  <c:v>100.07550957861213</c:v>
                </c:pt>
                <c:pt idx="45">
                  <c:v>101.96946747980118</c:v>
                </c:pt>
                <c:pt idx="46">
                  <c:v>99.788573179886015</c:v>
                </c:pt>
                <c:pt idx="47">
                  <c:v>97.963462247431565</c:v>
                </c:pt>
                <c:pt idx="48">
                  <c:v>99.831880144090036</c:v>
                </c:pt>
                <c:pt idx="49">
                  <c:v>99.583586882653677</c:v>
                </c:pt>
                <c:pt idx="50">
                  <c:v>98.371213971937095</c:v>
                </c:pt>
                <c:pt idx="51">
                  <c:v>100.02531791753466</c:v>
                </c:pt>
                <c:pt idx="52">
                  <c:v>100</c:v>
                </c:pt>
              </c:numCache>
            </c:numRef>
          </c:val>
          <c:smooth val="0"/>
          <c:extLst xmlns:c16r2="http://schemas.microsoft.com/office/drawing/2015/06/chart">
            <c:ext xmlns:c16="http://schemas.microsoft.com/office/drawing/2014/chart" uri="{C3380CC4-5D6E-409C-BE32-E72D297353CC}">
              <c16:uniqueId val="{00000001-DABD-40C3-AC9E-A6D15095F859}"/>
            </c:ext>
          </c:extLst>
        </c:ser>
        <c:dLbls>
          <c:showLegendKey val="0"/>
          <c:showVal val="0"/>
          <c:showCatName val="0"/>
          <c:showSerName val="0"/>
          <c:showPercent val="0"/>
          <c:showBubbleSize val="0"/>
        </c:dLbls>
        <c:smooth val="0"/>
        <c:axId val="-1306441712"/>
        <c:axId val="-1306447696"/>
      </c:lineChart>
      <c:catAx>
        <c:axId val="-1306441712"/>
        <c:scaling>
          <c:orientation val="maxMin"/>
        </c:scaling>
        <c:delete val="0"/>
        <c:axPos val="b"/>
        <c:numFmt formatCode="mmm\-yy"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447696"/>
        <c:crosses val="autoZero"/>
        <c:auto val="0"/>
        <c:lblAlgn val="ctr"/>
        <c:lblOffset val="100"/>
        <c:noMultiLvlLbl val="0"/>
      </c:catAx>
      <c:valAx>
        <c:axId val="-1306447696"/>
        <c:scaling>
          <c:orientation val="minMax"/>
          <c:min val="70"/>
        </c:scaling>
        <c:delete val="1"/>
        <c:axPos val="r"/>
        <c:numFmt formatCode="#,##0.00" sourceLinked="1"/>
        <c:majorTickMark val="none"/>
        <c:minorTickMark val="none"/>
        <c:tickLblPos val="nextTo"/>
        <c:crossAx val="-13064417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effectLst>
              <a:innerShdw blurRad="63500" dist="50800" dir="18900000">
                <a:prstClr val="black">
                  <a:alpha val="50000"/>
                </a:prstClr>
              </a:innerShdw>
            </a:effectLst>
          </c:spPr>
          <c:dPt>
            <c:idx val="0"/>
            <c:bubble3D val="0"/>
            <c:spPr>
              <a:solidFill>
                <a:srgbClr val="FFC000"/>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1-8E6D-4EB8-9D23-6DED1DBD1E0E}"/>
              </c:ext>
            </c:extLst>
          </c:dPt>
          <c:dPt>
            <c:idx val="1"/>
            <c:bubble3D val="0"/>
            <c:spPr>
              <a:solidFill>
                <a:schemeClr val="accent6"/>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3-8E6D-4EB8-9D23-6DED1DBD1E0E}"/>
              </c:ext>
            </c:extLst>
          </c:dPt>
          <c:dPt>
            <c:idx val="2"/>
            <c:bubble3D val="0"/>
            <c:spPr>
              <a:solidFill>
                <a:schemeClr val="accent2"/>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5-8E6D-4EB8-9D23-6DED1DBD1E0E}"/>
              </c:ext>
            </c:extLst>
          </c:dPt>
          <c:dPt>
            <c:idx val="3"/>
            <c:bubble3D val="0"/>
            <c:spPr>
              <a:solidFill>
                <a:schemeClr val="accent1">
                  <a:lumMod val="60000"/>
                  <a:lumOff val="40000"/>
                </a:schemeClr>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7-8E6D-4EB8-9D23-6DED1DBD1E0E}"/>
              </c:ext>
            </c:extLst>
          </c:dPt>
          <c:dPt>
            <c:idx val="4"/>
            <c:bubble3D val="0"/>
            <c:spPr>
              <a:solidFill>
                <a:schemeClr val="accent4">
                  <a:lumMod val="75000"/>
                </a:schemeClr>
              </a:solidFill>
              <a:ln w="19050">
                <a:solidFill>
                  <a:schemeClr val="lt1"/>
                </a:solidFill>
              </a:ln>
              <a:effectLst>
                <a:innerShdw blurRad="63500" dist="50800" dir="18900000">
                  <a:prstClr val="black">
                    <a:alpha val="50000"/>
                  </a:prstClr>
                </a:innerShdw>
              </a:effectLst>
            </c:spPr>
            <c:extLst xmlns:c16r2="http://schemas.microsoft.com/office/drawing/2015/06/chart">
              <c:ext xmlns:c16="http://schemas.microsoft.com/office/drawing/2014/chart" uri="{C3380CC4-5D6E-409C-BE32-E72D297353CC}">
                <c16:uniqueId val="{00000009-8E6D-4EB8-9D23-6DED1DBD1E0E}"/>
              </c:ext>
            </c:extLst>
          </c:dPt>
          <c:dLbls>
            <c:dLbl>
              <c:idx val="0"/>
              <c:layout>
                <c:manualLayout>
                  <c:x val="-0.14109354049747017"/>
                  <c:y val="0.16148604121326868"/>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8E6D-4EB8-9D23-6DED1DBD1E0E}"/>
                </c:ext>
                <c:ext xmlns:c15="http://schemas.microsoft.com/office/drawing/2012/chart" uri="{CE6537A1-D6FC-4f65-9D91-7224C49458BB}"/>
              </c:extLst>
            </c:dLbl>
            <c:dLbl>
              <c:idx val="1"/>
              <c:layout>
                <c:manualLayout>
                  <c:x val="-0.1961412769417403"/>
                  <c:y val="-0.10999144812413415"/>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3-8E6D-4EB8-9D23-6DED1DBD1E0E}"/>
                </c:ext>
                <c:ext xmlns:c15="http://schemas.microsoft.com/office/drawing/2012/chart" uri="{CE6537A1-D6FC-4f65-9D91-7224C49458BB}"/>
              </c:extLst>
            </c:dLbl>
            <c:dLbl>
              <c:idx val="2"/>
              <c:layout>
                <c:manualLayout>
                  <c:x val="0.10190431080875062"/>
                  <c:y val="-0.17803471898115511"/>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5-8E6D-4EB8-9D23-6DED1DBD1E0E}"/>
                </c:ext>
                <c:ext xmlns:c15="http://schemas.microsoft.com/office/drawing/2012/chart" uri="{CE6537A1-D6FC-4f65-9D91-7224C49458BB}"/>
              </c:extLst>
            </c:dLbl>
            <c:dLbl>
              <c:idx val="3"/>
              <c:layout>
                <c:manualLayout>
                  <c:x val="0.21109776230938324"/>
                  <c:y val="-2.4011425337296961E-2"/>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7-8E6D-4EB8-9D23-6DED1DBD1E0E}"/>
                </c:ext>
                <c:ext xmlns:c15="http://schemas.microsoft.com/office/drawing/2012/chart" uri="{CE6537A1-D6FC-4f65-9D91-7224C49458BB}"/>
              </c:extLst>
            </c:dLbl>
            <c:dLbl>
              <c:idx val="4"/>
              <c:layout>
                <c:manualLayout>
                  <c:x val="0.12025583658981837"/>
                  <c:y val="0.15988660298237425"/>
                </c:manualLayout>
              </c:layout>
              <c:dLblPos val="bestFi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9-8E6D-4EB8-9D23-6DED1DBD1E0E}"/>
                </c:ext>
                <c:ext xmlns:c15="http://schemas.microsoft.com/office/drawing/2012/chart" uri="{CE6537A1-D6FC-4f65-9D91-7224C49458BB}"/>
              </c:extLst>
            </c:dLbl>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15:spPr xmlns:c15="http://schemas.microsoft.com/office/drawing/2012/chart">
                  <a:prstGeom prst="ellipse">
                    <a:avLst/>
                  </a:prstGeom>
                  <a:noFill/>
                  <a:ln>
                    <a:noFill/>
                  </a:ln>
                </c15:spPr>
              </c:ext>
            </c:extLst>
          </c:dLbls>
          <c:cat>
            <c:strRef>
              <c:f>'PIE E.R.R'!$A$2:$A$6</c:f>
              <c:strCache>
                <c:ptCount val="5"/>
                <c:pt idx="0">
                  <c:v>North India</c:v>
                </c:pt>
                <c:pt idx="1">
                  <c:v>South India</c:v>
                </c:pt>
                <c:pt idx="2">
                  <c:v>East India</c:v>
                </c:pt>
                <c:pt idx="3">
                  <c:v>Central India</c:v>
                </c:pt>
                <c:pt idx="4">
                  <c:v>West India</c:v>
                </c:pt>
              </c:strCache>
            </c:strRef>
          </c:cat>
          <c:val>
            <c:numRef>
              <c:f>'PIE E.R.R'!$B$2:$B$6</c:f>
              <c:numCache>
                <c:formatCode>0.00%</c:formatCode>
                <c:ptCount val="5"/>
                <c:pt idx="0">
                  <c:v>0.192</c:v>
                </c:pt>
                <c:pt idx="1">
                  <c:v>0.27500000000000002</c:v>
                </c:pt>
                <c:pt idx="2">
                  <c:v>0.18099999999999999</c:v>
                </c:pt>
                <c:pt idx="3">
                  <c:v>0.17</c:v>
                </c:pt>
                <c:pt idx="4">
                  <c:v>0.182</c:v>
                </c:pt>
              </c:numCache>
            </c:numRef>
          </c:val>
          <c:extLst xmlns:c16r2="http://schemas.microsoft.com/office/drawing/2015/06/chart">
            <c:ext xmlns:c16="http://schemas.microsoft.com/office/drawing/2014/chart" uri="{C3380CC4-5D6E-409C-BE32-E72D297353CC}">
              <c16:uniqueId val="{0000000A-8E6D-4EB8-9D23-6DED1DBD1E0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4.1371150691321704E-2"/>
          <c:y val="0.76937455308955494"/>
          <c:w val="0.89035244311303896"/>
          <c:h val="0.18364540349322914"/>
        </c:manualLayout>
      </c:layout>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'INCOME STATEMENT'!$B$11</c:f>
              <c:strCache>
                <c:ptCount val="1"/>
                <c:pt idx="0">
                  <c:v>Sales</c:v>
                </c:pt>
              </c:strCache>
            </c:strRef>
          </c:tx>
          <c:spPr>
            <a:solidFill>
              <a:srgbClr val="FFFF00"/>
            </a:solidFill>
            <a:ln>
              <a:solidFill>
                <a:schemeClr val="tx1"/>
              </a:solidFill>
            </a:ln>
            <a:effectLst>
              <a:innerShdw blurRad="63500" dist="50800" dir="189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lumMod val="95000"/>
                    <a:lumOff val="5000"/>
                  </a:schemeClr>
                </a:solidFill>
                <a:prstDash val="dash"/>
                <a:headEnd type="stealth" w="lg" len="med"/>
                <a:tailEnd type="stealth" w="lg" len="med"/>
              </a:ln>
              <a:effectLst/>
            </c:spPr>
            <c:trendlineType val="exp"/>
            <c:dispRSqr val="0"/>
            <c:dispEq val="0"/>
          </c:trendline>
          <c:cat>
            <c:numRef>
              <c:f>'INCOME STATEMENT'!$C$7:$G$7</c:f>
              <c:numCache>
                <c:formatCode>yyyy\/\A</c:formatCode>
                <c:ptCount val="5"/>
                <c:pt idx="0">
                  <c:v>44390</c:v>
                </c:pt>
                <c:pt idx="1">
                  <c:v>44755</c:v>
                </c:pt>
                <c:pt idx="2">
                  <c:v>45120</c:v>
                </c:pt>
                <c:pt idx="3">
                  <c:v>45486</c:v>
                </c:pt>
                <c:pt idx="4">
                  <c:v>45851</c:v>
                </c:pt>
              </c:numCache>
            </c:numRef>
          </c:cat>
          <c:val>
            <c:numRef>
              <c:f>'INCOME STATEMENT'!$C$11:$G$11</c:f>
              <c:numCache>
                <c:formatCode>#,##0;\(#,##0\);"--"</c:formatCode>
                <c:ptCount val="5"/>
                <c:pt idx="0">
                  <c:v>44725</c:v>
                </c:pt>
                <c:pt idx="1">
                  <c:v>52598.83</c:v>
                </c:pt>
                <c:pt idx="2">
                  <c:v>63239.98</c:v>
                </c:pt>
                <c:pt idx="3">
                  <c:v>70908</c:v>
                </c:pt>
                <c:pt idx="4">
                  <c:v>75955</c:v>
                </c:pt>
              </c:numCache>
            </c:numRef>
          </c:val>
          <c:extLst xmlns:c16r2="http://schemas.microsoft.com/office/drawing/2015/06/chart">
            <c:ext xmlns:c16="http://schemas.microsoft.com/office/drawing/2014/chart" uri="{C3380CC4-5D6E-409C-BE32-E72D297353CC}">
              <c16:uniqueId val="{00000000-5693-4AEC-A734-677911854638}"/>
            </c:ext>
          </c:extLst>
        </c:ser>
        <c:dLbls>
          <c:showLegendKey val="0"/>
          <c:showVal val="0"/>
          <c:showCatName val="0"/>
          <c:showSerName val="0"/>
          <c:showPercent val="0"/>
          <c:showBubbleSize val="0"/>
        </c:dLbls>
        <c:gapWidth val="100"/>
        <c:overlap val="-27"/>
        <c:axId val="-1306442256"/>
        <c:axId val="-1306447152"/>
      </c:barChart>
      <c:dateAx>
        <c:axId val="-1306442256"/>
        <c:scaling>
          <c:orientation val="minMax"/>
        </c:scaling>
        <c:delete val="0"/>
        <c:axPos val="b"/>
        <c:numFmt formatCode="yyyy\/\A" sourceLinked="1"/>
        <c:majorTickMark val="none"/>
        <c:minorTickMark val="none"/>
        <c:tickLblPos val="nextTo"/>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447152"/>
        <c:crosses val="autoZero"/>
        <c:auto val="1"/>
        <c:lblOffset val="100"/>
        <c:baseTimeUnit val="years"/>
      </c:dateAx>
      <c:valAx>
        <c:axId val="-1306447152"/>
        <c:scaling>
          <c:orientation val="minMax"/>
        </c:scaling>
        <c:delete val="0"/>
        <c:axPos val="l"/>
        <c:numFmt formatCode="#,##0;\(#,##0\);&quot;--&quot;"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4422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'INCOME STATEMENT'!$B$30</c:f>
              <c:strCache>
                <c:ptCount val="1"/>
                <c:pt idx="0">
                  <c:v>EBITDA</c:v>
                </c:pt>
              </c:strCache>
            </c:strRef>
          </c:tx>
          <c:spPr>
            <a:solidFill>
              <a:srgbClr val="FFFF00"/>
            </a:solidFill>
            <a:ln>
              <a:solidFill>
                <a:schemeClr val="tx1">
                  <a:lumMod val="95000"/>
                  <a:lumOff val="5000"/>
                </a:schemeClr>
              </a:solidFill>
            </a:ln>
            <a:effectLst>
              <a:innerShdw blurRad="63500" dist="50800" dir="18900000">
                <a:prstClr val="black">
                  <a:alpha val="50000"/>
                </a:prstClr>
              </a:innerShdw>
            </a:effectLst>
          </c:spPr>
          <c:invertIfNegative val="0"/>
          <c:dLbls>
            <c:dLbl>
              <c:idx val="2"/>
              <c:layout>
                <c:manualLayout>
                  <c:x val="0"/>
                  <c:y val="-7.8405017921146986E-2"/>
                </c:manualLayout>
              </c:layout>
              <c:showLegendKey val="0"/>
              <c:showVal val="1"/>
              <c:showCatName val="0"/>
              <c:showSerName val="0"/>
              <c:showPercent val="0"/>
              <c:showBubbleSize val="0"/>
              <c:extLst xmlns:c16r2="http://schemas.microsoft.com/office/drawing/2015/06/chart">
                <c:ext xmlns:c16="http://schemas.microsoft.com/office/drawing/2014/chart" uri="{C3380CC4-5D6E-409C-BE32-E72D297353CC}">
                  <c16:uniqueId val="{00000001-3EC5-4359-9810-77A476B847AD}"/>
                </c:ex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tx1">
                    <a:lumMod val="95000"/>
                    <a:lumOff val="5000"/>
                  </a:schemeClr>
                </a:solidFill>
                <a:prstDash val="dash"/>
                <a:headEnd type="triangle" w="lg" len="med"/>
                <a:tailEnd type="triangle" w="lg" len="med"/>
              </a:ln>
              <a:effectLst/>
            </c:spPr>
            <c:trendlineType val="exp"/>
            <c:dispRSqr val="0"/>
            <c:dispEq val="0"/>
          </c:trendline>
          <c:cat>
            <c:numRef>
              <c:f>'INCOME STATEMENT'!$C$7:$G$7</c:f>
              <c:numCache>
                <c:formatCode>yyyy\/\A</c:formatCode>
                <c:ptCount val="5"/>
                <c:pt idx="0">
                  <c:v>44390</c:v>
                </c:pt>
                <c:pt idx="1">
                  <c:v>44755</c:v>
                </c:pt>
                <c:pt idx="2">
                  <c:v>45120</c:v>
                </c:pt>
                <c:pt idx="3">
                  <c:v>45486</c:v>
                </c:pt>
                <c:pt idx="4">
                  <c:v>45851</c:v>
                </c:pt>
              </c:numCache>
            </c:numRef>
          </c:cat>
          <c:val>
            <c:numRef>
              <c:f>'INCOME STATEMENT'!$C$30:$G$30</c:f>
              <c:numCache>
                <c:formatCode>#,##0;\(#,##0\);"--"</c:formatCode>
                <c:ptCount val="5"/>
                <c:pt idx="0">
                  <c:v>12281</c:v>
                </c:pt>
                <c:pt idx="1">
                  <c:v>12022.159999999998</c:v>
                </c:pt>
                <c:pt idx="2">
                  <c:v>11122.930000000002</c:v>
                </c:pt>
                <c:pt idx="3">
                  <c:v>13588</c:v>
                </c:pt>
                <c:pt idx="4">
                  <c:v>13305</c:v>
                </c:pt>
              </c:numCache>
            </c:numRef>
          </c:val>
          <c:extLst xmlns:c16r2="http://schemas.microsoft.com/office/drawing/2015/06/chart">
            <c:ext xmlns:c16="http://schemas.microsoft.com/office/drawing/2014/chart" uri="{C3380CC4-5D6E-409C-BE32-E72D297353CC}">
              <c16:uniqueId val="{00000000-ED7F-4AC6-BB49-F0C3F671178A}"/>
            </c:ext>
          </c:extLst>
        </c:ser>
        <c:dLbls>
          <c:showLegendKey val="0"/>
          <c:showVal val="0"/>
          <c:showCatName val="0"/>
          <c:showSerName val="0"/>
          <c:showPercent val="0"/>
          <c:showBubbleSize val="0"/>
        </c:dLbls>
        <c:gapWidth val="100"/>
        <c:overlap val="-27"/>
        <c:axId val="-1306444976"/>
        <c:axId val="-1306451504"/>
      </c:barChart>
      <c:dateAx>
        <c:axId val="-1306444976"/>
        <c:scaling>
          <c:orientation val="minMax"/>
        </c:scaling>
        <c:delete val="0"/>
        <c:axPos val="b"/>
        <c:numFmt formatCode="yyyy\/\A" sourceLinked="1"/>
        <c:majorTickMark val="none"/>
        <c:minorTickMark val="none"/>
        <c:tickLblPos val="nextTo"/>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451504"/>
        <c:crosses val="autoZero"/>
        <c:auto val="1"/>
        <c:lblOffset val="100"/>
        <c:baseTimeUnit val="years"/>
      </c:dateAx>
      <c:valAx>
        <c:axId val="-1306451504"/>
        <c:scaling>
          <c:orientation val="minMax"/>
        </c:scaling>
        <c:delete val="0"/>
        <c:axPos val="l"/>
        <c:numFmt formatCode="#,##0;\(#,##0\);&quot;--&quot;"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44497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'INCOME STATEMENT'!$B$42</c:f>
              <c:strCache>
                <c:ptCount val="1"/>
                <c:pt idx="0">
                  <c:v>Net Profit</c:v>
                </c:pt>
              </c:strCache>
            </c:strRef>
          </c:tx>
          <c:spPr>
            <a:solidFill>
              <a:srgbClr val="FFFF00"/>
            </a:solidFill>
            <a:ln>
              <a:solidFill>
                <a:schemeClr val="tx1">
                  <a:lumMod val="95000"/>
                  <a:lumOff val="5000"/>
                </a:schemeClr>
              </a:solidFill>
            </a:ln>
            <a:effectLst>
              <a:innerShdw blurRad="63500" dist="50800" dir="189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'INCOME STATEMENT'!$C$7:$G$7</c:f>
              <c:numCache>
                <c:formatCode>yyyy\/\A</c:formatCode>
                <c:ptCount val="5"/>
                <c:pt idx="0">
                  <c:v>44390</c:v>
                </c:pt>
                <c:pt idx="1">
                  <c:v>44755</c:v>
                </c:pt>
                <c:pt idx="2">
                  <c:v>45120</c:v>
                </c:pt>
                <c:pt idx="3">
                  <c:v>45486</c:v>
                </c:pt>
                <c:pt idx="4">
                  <c:v>45851</c:v>
                </c:pt>
              </c:numCache>
            </c:numRef>
          </c:cat>
          <c:val>
            <c:numRef>
              <c:f>'INCOME STATEMENT'!$C$42:$G$42</c:f>
              <c:numCache>
                <c:formatCode>#,##0;\(#,##0\);"--"</c:formatCode>
                <c:ptCount val="5"/>
                <c:pt idx="0">
                  <c:v>5558</c:v>
                </c:pt>
                <c:pt idx="1">
                  <c:v>7172.6399999999976</c:v>
                </c:pt>
                <c:pt idx="2">
                  <c:v>5069.3700000000026</c:v>
                </c:pt>
                <c:pt idx="3">
                  <c:v>7057</c:v>
                </c:pt>
                <c:pt idx="4">
                  <c:v>6153</c:v>
                </c:pt>
              </c:numCache>
            </c:numRef>
          </c:val>
          <c:extLst xmlns:c16r2="http://schemas.microsoft.com/office/drawing/2015/06/chart">
            <c:ext xmlns:c16="http://schemas.microsoft.com/office/drawing/2014/chart" uri="{C3380CC4-5D6E-409C-BE32-E72D297353CC}">
              <c16:uniqueId val="{00000000-58B6-483F-9851-94923DE5F295}"/>
            </c:ext>
          </c:extLst>
        </c:ser>
        <c:dLbls>
          <c:showLegendKey val="0"/>
          <c:showVal val="0"/>
          <c:showCatName val="0"/>
          <c:showSerName val="0"/>
          <c:showPercent val="0"/>
          <c:showBubbleSize val="0"/>
        </c:dLbls>
        <c:gapWidth val="30"/>
        <c:axId val="-1306449328"/>
        <c:axId val="-1306453136"/>
      </c:barChart>
      <c:dateAx>
        <c:axId val="-1306449328"/>
        <c:scaling>
          <c:orientation val="minMax"/>
        </c:scaling>
        <c:delete val="0"/>
        <c:axPos val="l"/>
        <c:numFmt formatCode="yyyy\/\A" sourceLinked="1"/>
        <c:majorTickMark val="none"/>
        <c:minorTickMark val="none"/>
        <c:tickLblPos val="nextTo"/>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453136"/>
        <c:crosses val="autoZero"/>
        <c:auto val="1"/>
        <c:lblOffset val="100"/>
        <c:baseTimeUnit val="years"/>
      </c:dateAx>
      <c:valAx>
        <c:axId val="-1306453136"/>
        <c:scaling>
          <c:orientation val="minMax"/>
        </c:scaling>
        <c:delete val="0"/>
        <c:axPos val="b"/>
        <c:numFmt formatCode="#,##0;\(#,##0\);&quot;--&quot;"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4493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'INCOME STATEMENT'!$B$22</c:f>
              <c:strCache>
                <c:ptCount val="1"/>
                <c:pt idx="0">
                  <c:v>Gross Profit</c:v>
                </c:pt>
              </c:strCache>
            </c:strRef>
          </c:tx>
          <c:spPr>
            <a:ln w="50800" cap="rnd">
              <a:solidFill>
                <a:srgbClr val="FFFF00"/>
              </a:solidFill>
              <a:round/>
            </a:ln>
            <a:effectLst/>
          </c:spPr>
          <c:marker>
            <c:symbol val="square"/>
            <c:size val="5"/>
            <c:spPr>
              <a:solidFill>
                <a:schemeClr val="tx1">
                  <a:lumMod val="95000"/>
                  <a:lumOff val="5000"/>
                </a:schemeClr>
              </a:solidFill>
              <a:ln w="38100">
                <a:solidFill>
                  <a:schemeClr val="tx1">
                    <a:lumMod val="95000"/>
                    <a:lumOff val="5000"/>
                  </a:schemeClr>
                </a:solidFill>
              </a:ln>
              <a:effectLst/>
            </c:spPr>
          </c:marker>
          <c:dLbls>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050" b="1" i="1"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numRef>
              <c:f>'INCOME STATEMENT'!$C$7:$G$7</c:f>
              <c:numCache>
                <c:formatCode>yyyy\/\A</c:formatCode>
                <c:ptCount val="5"/>
                <c:pt idx="0">
                  <c:v>44390</c:v>
                </c:pt>
                <c:pt idx="1">
                  <c:v>44755</c:v>
                </c:pt>
                <c:pt idx="2">
                  <c:v>45120</c:v>
                </c:pt>
                <c:pt idx="3">
                  <c:v>45486</c:v>
                </c:pt>
                <c:pt idx="4">
                  <c:v>45851</c:v>
                </c:pt>
              </c:numCache>
            </c:numRef>
          </c:cat>
          <c:val>
            <c:numRef>
              <c:f>'INCOME STATEMENT'!$C$22:$G$22</c:f>
              <c:numCache>
                <c:formatCode>#,##0;\(#,##0\);"--"</c:formatCode>
                <c:ptCount val="5"/>
                <c:pt idx="0">
                  <c:v>20001</c:v>
                </c:pt>
                <c:pt idx="1">
                  <c:v>21292.059999999998</c:v>
                </c:pt>
                <c:pt idx="2">
                  <c:v>21527.620000000003</c:v>
                </c:pt>
                <c:pt idx="3">
                  <c:v>25460</c:v>
                </c:pt>
                <c:pt idx="4">
                  <c:v>27119</c:v>
                </c:pt>
              </c:numCache>
            </c:numRef>
          </c:val>
          <c:smooth val="0"/>
          <c:extLst xmlns:c16r2="http://schemas.microsoft.com/office/drawing/2015/06/chart">
            <c:ext xmlns:c16="http://schemas.microsoft.com/office/drawing/2014/chart" uri="{C3380CC4-5D6E-409C-BE32-E72D297353CC}">
              <c16:uniqueId val="{00000000-8A73-4B9E-ABD8-D6259A2B690C}"/>
            </c:ext>
          </c:extLst>
        </c:ser>
        <c:dLbls>
          <c:showLegendKey val="0"/>
          <c:showVal val="0"/>
          <c:showCatName val="0"/>
          <c:showSerName val="0"/>
          <c:showPercent val="0"/>
          <c:showBubbleSize val="0"/>
        </c:dLbls>
        <c:marker val="1"/>
        <c:smooth val="0"/>
        <c:axId val="-1306448240"/>
        <c:axId val="-1306454224"/>
      </c:lineChart>
      <c:dateAx>
        <c:axId val="-1306448240"/>
        <c:scaling>
          <c:orientation val="minMax"/>
        </c:scaling>
        <c:delete val="0"/>
        <c:axPos val="b"/>
        <c:numFmt formatCode="yyyy\/\A" sourceLinked="1"/>
        <c:majorTickMark val="none"/>
        <c:minorTickMark val="none"/>
        <c:tickLblPos val="nextTo"/>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454224"/>
        <c:crosses val="autoZero"/>
        <c:auto val="1"/>
        <c:lblOffset val="100"/>
        <c:baseTimeUnit val="years"/>
      </c:dateAx>
      <c:valAx>
        <c:axId val="-1306454224"/>
        <c:scaling>
          <c:orientation val="minMax"/>
        </c:scaling>
        <c:delete val="0"/>
        <c:axPos val="l"/>
        <c:numFmt formatCode="#,##0;\(#,##0\);&quot;--&quot;"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4482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r>
              <a:rPr lang="en-IN" sz="1050" b="1" i="1"/>
              <a:t>Working</a:t>
            </a:r>
            <a:r>
              <a:rPr lang="en-IN" sz="1050" b="1" i="1" baseline="0"/>
              <a:t> Capital Days</a:t>
            </a:r>
          </a:p>
        </c:rich>
      </c:tx>
      <c:overlay val="0"/>
      <c:spPr>
        <a:noFill/>
        <a:ln>
          <a:noFill/>
        </a:ln>
        <a:effectLst/>
      </c:spPr>
      <c:txPr>
        <a:bodyPr rot="0" spcFirstLastPara="1" vertOverflow="ellipsis" vert="horz" wrap="square" anchor="ctr" anchorCtr="1"/>
        <a:lstStyle/>
        <a:p>
          <a:pPr>
            <a:defRPr sz="1050" b="1" i="1"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'RATIO ANALYSIS'!$B$39</c:f>
              <c:strCache>
                <c:ptCount val="1"/>
                <c:pt idx="0">
                  <c:v>Debtor Days</c:v>
                </c:pt>
              </c:strCache>
            </c:strRef>
          </c:tx>
          <c:spPr>
            <a:solidFill>
              <a:schemeClr val="bg2">
                <a:lumMod val="75000"/>
              </a:schemeClr>
            </a:solidFill>
            <a:ln>
              <a:noFill/>
            </a:ln>
            <a:effectLst>
              <a:innerShdw blurRad="63500" dist="50800" dir="189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'RATIO ANALYSIS'!$C$7:$G$7</c15:sqref>
                  </c15:fullRef>
                </c:ext>
              </c:extLst>
              <c:f>'RATIO ANALYSIS'!$D$7:$G$7</c:f>
              <c:numCache>
                <c:formatCode>yyyy\/\A</c:formatCode>
                <c:ptCount val="4"/>
                <c:pt idx="0">
                  <c:v>44805</c:v>
                </c:pt>
                <c:pt idx="1">
                  <c:v>45170</c:v>
                </c:pt>
                <c:pt idx="2">
                  <c:v>45536</c:v>
                </c:pt>
                <c:pt idx="3">
                  <c:v>45901</c:v>
                </c:pt>
              </c:numCache>
            </c:numRef>
          </c:cat>
          <c:val>
            <c:numRef>
              <c:extLst>
                <c:ext xmlns:c15="http://schemas.microsoft.com/office/drawing/2012/chart" uri="{02D57815-91ED-43cb-92C2-25804820EDAC}">
                  <c15:fullRef>
                    <c15:sqref>'RATIO ANALYSIS'!$C$39:$G$39</c15:sqref>
                  </c15:fullRef>
                </c:ext>
              </c:extLst>
              <c:f>'RATIO ANALYSIS'!$D$39:$G$39</c:f>
              <c:numCache>
                <c:formatCode>#,##0;\(#,##0\);"--"</c:formatCode>
                <c:ptCount val="4"/>
                <c:pt idx="0">
                  <c:v>19.39072637621209</c:v>
                </c:pt>
                <c:pt idx="1">
                  <c:v>19.865691653334494</c:v>
                </c:pt>
                <c:pt idx="2">
                  <c:v>20.782469765816149</c:v>
                </c:pt>
                <c:pt idx="3">
                  <c:v>24.194057288882515</c:v>
                </c:pt>
              </c:numCache>
            </c:numRef>
          </c:val>
          <c:extLst xmlns:c16r2="http://schemas.microsoft.com/office/drawing/2015/06/chart">
            <c:ext xmlns:c16="http://schemas.microsoft.com/office/drawing/2014/chart" uri="{C3380CC4-5D6E-409C-BE32-E72D297353CC}">
              <c16:uniqueId val="{00000000-4206-4C75-AB64-4C18D8EEEA7D}"/>
            </c:ext>
          </c:extLst>
        </c:ser>
        <c:ser>
          <c:idx val="1"/>
          <c:order val="1"/>
          <c:tx>
            <c:strRef>
              <c:f>'RATIO ANALYSIS'!$B$40</c:f>
              <c:strCache>
                <c:ptCount val="1"/>
                <c:pt idx="0">
                  <c:v>Payable Days</c:v>
                </c:pt>
              </c:strCache>
            </c:strRef>
          </c:tx>
          <c:spPr>
            <a:solidFill>
              <a:schemeClr val="bg2">
                <a:lumMod val="50000"/>
              </a:schemeClr>
            </a:solidFill>
            <a:ln>
              <a:noFill/>
            </a:ln>
            <a:effectLst>
              <a:innerShdw blurRad="63500" dist="50800" dir="189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'RATIO ANALYSIS'!$C$7:$G$7</c15:sqref>
                  </c15:fullRef>
                </c:ext>
              </c:extLst>
              <c:f>'RATIO ANALYSIS'!$D$7:$G$7</c:f>
              <c:numCache>
                <c:formatCode>yyyy\/\A</c:formatCode>
                <c:ptCount val="4"/>
                <c:pt idx="0">
                  <c:v>44805</c:v>
                </c:pt>
                <c:pt idx="1">
                  <c:v>45170</c:v>
                </c:pt>
                <c:pt idx="2">
                  <c:v>45536</c:v>
                </c:pt>
                <c:pt idx="3">
                  <c:v>45901</c:v>
                </c:pt>
              </c:numCache>
            </c:numRef>
          </c:cat>
          <c:val>
            <c:numRef>
              <c:extLst>
                <c:ext xmlns:c15="http://schemas.microsoft.com/office/drawing/2012/chart" uri="{02D57815-91ED-43cb-92C2-25804820EDAC}">
                  <c15:fullRef>
                    <c15:sqref>'RATIO ANALYSIS'!$C$40:$G$40</c15:sqref>
                  </c15:fullRef>
                </c:ext>
              </c:extLst>
              <c:f>'RATIO ANALYSIS'!$D$40:$G$40</c:f>
              <c:numCache>
                <c:formatCode>#,##0;\(#,##0\);"--"</c:formatCode>
                <c:ptCount val="4"/>
                <c:pt idx="0">
                  <c:v>60.180190969046265</c:v>
                </c:pt>
                <c:pt idx="1">
                  <c:v>56.502431337918068</c:v>
                </c:pt>
                <c:pt idx="2">
                  <c:v>62.144686855530232</c:v>
                </c:pt>
                <c:pt idx="3">
                  <c:v>65.535094796288817</c:v>
                </c:pt>
              </c:numCache>
            </c:numRef>
          </c:val>
          <c:extLst xmlns:c16r2="http://schemas.microsoft.com/office/drawing/2015/06/chart">
            <c:ext xmlns:c16="http://schemas.microsoft.com/office/drawing/2014/chart" uri="{C3380CC4-5D6E-409C-BE32-E72D297353CC}">
              <c16:uniqueId val="{00000001-4206-4C75-AB64-4C18D8EEEA7D}"/>
            </c:ext>
          </c:extLst>
        </c:ser>
        <c:ser>
          <c:idx val="2"/>
          <c:order val="2"/>
          <c:tx>
            <c:strRef>
              <c:f>'RATIO ANALYSIS'!$B$41</c:f>
              <c:strCache>
                <c:ptCount val="1"/>
                <c:pt idx="0">
                  <c:v>Inventory Days</c:v>
                </c:pt>
              </c:strCache>
            </c:strRef>
          </c:tx>
          <c:spPr>
            <a:solidFill>
              <a:schemeClr val="bg2">
                <a:lumMod val="25000"/>
              </a:schemeClr>
            </a:solidFill>
            <a:ln>
              <a:noFill/>
            </a:ln>
            <a:effectLst>
              <a:innerShdw blurRad="63500" dist="50800" dir="189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'RATIO ANALYSIS'!$C$7:$G$7</c15:sqref>
                  </c15:fullRef>
                </c:ext>
              </c:extLst>
              <c:f>'RATIO ANALYSIS'!$D$7:$G$7</c:f>
              <c:numCache>
                <c:formatCode>yyyy\/\A</c:formatCode>
                <c:ptCount val="4"/>
                <c:pt idx="0">
                  <c:v>44805</c:v>
                </c:pt>
                <c:pt idx="1">
                  <c:v>45170</c:v>
                </c:pt>
                <c:pt idx="2">
                  <c:v>45536</c:v>
                </c:pt>
                <c:pt idx="3">
                  <c:v>45901</c:v>
                </c:pt>
              </c:numCache>
            </c:numRef>
          </c:cat>
          <c:val>
            <c:numRef>
              <c:extLst>
                <c:ext xmlns:c15="http://schemas.microsoft.com/office/drawing/2012/chart" uri="{02D57815-91ED-43cb-92C2-25804820EDAC}">
                  <c15:fullRef>
                    <c15:sqref>'RATIO ANALYSIS'!$C$41:$G$41</c15:sqref>
                  </c15:fullRef>
                </c:ext>
              </c:extLst>
              <c:f>'RATIO ANALYSIS'!$D$41:$G$41</c:f>
              <c:numCache>
                <c:formatCode>#,##0;\(#,##0\);"--"</c:formatCode>
                <c:ptCount val="4"/>
                <c:pt idx="0">
                  <c:v>55.141254418571606</c:v>
                </c:pt>
                <c:pt idx="1">
                  <c:v>52.773400561500715</c:v>
                </c:pt>
                <c:pt idx="2">
                  <c:v>59.192477477477475</c:v>
                </c:pt>
                <c:pt idx="3">
                  <c:v>65.85533481242436</c:v>
                </c:pt>
              </c:numCache>
            </c:numRef>
          </c:val>
          <c:extLst xmlns:c16r2="http://schemas.microsoft.com/office/drawing/2015/06/chart">
            <c:ext xmlns:c16="http://schemas.microsoft.com/office/drawing/2014/chart" uri="{C3380CC4-5D6E-409C-BE32-E72D297353CC}">
              <c16:uniqueId val="{00000002-4206-4C75-AB64-4C18D8EEEA7D}"/>
            </c:ext>
          </c:extLst>
        </c:ser>
        <c:dLbls>
          <c:showLegendKey val="0"/>
          <c:showVal val="0"/>
          <c:showCatName val="0"/>
          <c:showSerName val="0"/>
          <c:showPercent val="0"/>
          <c:showBubbleSize val="0"/>
        </c:dLbls>
        <c:gapWidth val="100"/>
        <c:overlap val="-27"/>
        <c:axId val="-1306448784"/>
        <c:axId val="-1306442800"/>
      </c:barChart>
      <c:dateAx>
        <c:axId val="-1306448784"/>
        <c:scaling>
          <c:orientation val="minMax"/>
        </c:scaling>
        <c:delete val="0"/>
        <c:axPos val="b"/>
        <c:numFmt formatCode="yyyy\/\A" sourceLinked="1"/>
        <c:majorTickMark val="none"/>
        <c:minorTickMark val="none"/>
        <c:tickLblPos val="nextTo"/>
        <c:spPr>
          <a:no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442800"/>
        <c:crosses val="autoZero"/>
        <c:auto val="1"/>
        <c:lblOffset val="100"/>
        <c:baseTimeUnit val="years"/>
      </c:dateAx>
      <c:valAx>
        <c:axId val="-1306442800"/>
        <c:scaling>
          <c:orientation val="minMax"/>
        </c:scaling>
        <c:delete val="0"/>
        <c:axPos val="l"/>
        <c:numFmt formatCode="#,##0;\(#,##0\);&quot;--&quot;" sourceLinked="1"/>
        <c:majorTickMark val="none"/>
        <c:minorTickMark val="none"/>
        <c:tickLblPos val="nextTo"/>
        <c:spPr>
          <a:noFill/>
          <a:ln>
            <a:noFill/>
          </a:ln>
          <a:effectLst>
            <a:outerShdw blurRad="50800" dist="38100" dir="5400000" algn="t" rotWithShape="0">
              <a:prstClr val="black">
                <a:alpha val="40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448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Ultratech Cem.</c:v>
          </c:tx>
          <c:spPr>
            <a:ln w="28575" cap="rnd">
              <a:solidFill>
                <a:srgbClr val="FFFF00"/>
              </a:solidFill>
              <a:round/>
            </a:ln>
            <a:effectLst/>
          </c:spPr>
          <c:marker>
            <c:symbol val="none"/>
          </c:marker>
          <c:cat>
            <c:numRef>
              <c:f>'PIE E.R.R'!$G$12:$G$64</c:f>
              <c:numCache>
                <c:formatCode>mmm\-yy</c:formatCode>
                <c:ptCount val="53"/>
                <c:pt idx="0">
                  <c:v>45717</c:v>
                </c:pt>
                <c:pt idx="13">
                  <c:v>45627</c:v>
                </c:pt>
                <c:pt idx="26">
                  <c:v>45536</c:v>
                </c:pt>
                <c:pt idx="39">
                  <c:v>45444</c:v>
                </c:pt>
                <c:pt idx="52">
                  <c:v>45352</c:v>
                </c:pt>
              </c:numCache>
            </c:numRef>
          </c:cat>
          <c:val>
            <c:numRef>
              <c:f>'PIE E.R.R'!$H$12:$H$64</c:f>
              <c:numCache>
                <c:formatCode>#,##0.00</c:formatCode>
                <c:ptCount val="53"/>
                <c:pt idx="0">
                  <c:v>117.05128466142757</c:v>
                </c:pt>
                <c:pt idx="1">
                  <c:v>117.16224194796203</c:v>
                </c:pt>
                <c:pt idx="2">
                  <c:v>111.73856834561668</c:v>
                </c:pt>
                <c:pt idx="3">
                  <c:v>106.39785821898286</c:v>
                </c:pt>
                <c:pt idx="4">
                  <c:v>107.72425587361047</c:v>
                </c:pt>
                <c:pt idx="5">
                  <c:v>103.1032411743149</c:v>
                </c:pt>
                <c:pt idx="6">
                  <c:v>113.57598029235719</c:v>
                </c:pt>
                <c:pt idx="7">
                  <c:v>114.66112219552913</c:v>
                </c:pt>
                <c:pt idx="8">
                  <c:v>118.49627427826866</c:v>
                </c:pt>
                <c:pt idx="9">
                  <c:v>116.93727350462153</c:v>
                </c:pt>
                <c:pt idx="10">
                  <c:v>114.88507268211245</c:v>
                </c:pt>
                <c:pt idx="11">
                  <c:v>107.69982491143774</c:v>
                </c:pt>
                <c:pt idx="12">
                  <c:v>110.60303758296348</c:v>
                </c:pt>
                <c:pt idx="13">
                  <c:v>119.97638340323303</c:v>
                </c:pt>
                <c:pt idx="14">
                  <c:v>116.11374648804917</c:v>
                </c:pt>
                <c:pt idx="15">
                  <c:v>116.27916446109367</c:v>
                </c:pt>
                <c:pt idx="16">
                  <c:v>123.00887658292274</c:v>
                </c:pt>
                <c:pt idx="17">
                  <c:v>120.61260637648112</c:v>
                </c:pt>
                <c:pt idx="18">
                  <c:v>114.0330428763386</c:v>
                </c:pt>
                <c:pt idx="19">
                  <c:v>115.79563500142514</c:v>
                </c:pt>
                <c:pt idx="20">
                  <c:v>109.21149069587524</c:v>
                </c:pt>
                <c:pt idx="21">
                  <c:v>112.41652754590984</c:v>
                </c:pt>
                <c:pt idx="22">
                  <c:v>113.45942424365812</c:v>
                </c:pt>
                <c:pt idx="23">
                  <c:v>111.92638136731952</c:v>
                </c:pt>
                <c:pt idx="24">
                  <c:v>112.68068732440244</c:v>
                </c:pt>
                <c:pt idx="25">
                  <c:v>116.26389510973574</c:v>
                </c:pt>
                <c:pt idx="26">
                  <c:v>116.55859359094424</c:v>
                </c:pt>
                <c:pt idx="27">
                  <c:v>121.66924549045154</c:v>
                </c:pt>
                <c:pt idx="28">
                  <c:v>120.10159208436824</c:v>
                </c:pt>
                <c:pt idx="29">
                  <c:v>119.28366382996049</c:v>
                </c:pt>
                <c:pt idx="30">
                  <c:v>116.38146911519198</c:v>
                </c:pt>
                <c:pt idx="31">
                  <c:v>115.04845474164256</c:v>
                </c:pt>
                <c:pt idx="32">
                  <c:v>115.45461948776415</c:v>
                </c:pt>
                <c:pt idx="33">
                  <c:v>114.98534142269637</c:v>
                </c:pt>
                <c:pt idx="34">
                  <c:v>115.03267641190602</c:v>
                </c:pt>
                <c:pt idx="35">
                  <c:v>119.75752270043567</c:v>
                </c:pt>
                <c:pt idx="36">
                  <c:v>118.82660124597906</c:v>
                </c:pt>
                <c:pt idx="37">
                  <c:v>114.60462559550469</c:v>
                </c:pt>
                <c:pt idx="38">
                  <c:v>118.10639684026221</c:v>
                </c:pt>
                <c:pt idx="39">
                  <c:v>119.00067185145974</c:v>
                </c:pt>
                <c:pt idx="40">
                  <c:v>118.77417647298343</c:v>
                </c:pt>
                <c:pt idx="41">
                  <c:v>108.53862127936804</c:v>
                </c:pt>
                <c:pt idx="42">
                  <c:v>114.44684229813917</c:v>
                </c:pt>
                <c:pt idx="43">
                  <c:v>106.51034244065312</c:v>
                </c:pt>
                <c:pt idx="44">
                  <c:v>100.93550225986401</c:v>
                </c:pt>
                <c:pt idx="45">
                  <c:v>104.1481737855776</c:v>
                </c:pt>
                <c:pt idx="46">
                  <c:v>100.67948613542896</c:v>
                </c:pt>
                <c:pt idx="47">
                  <c:v>96.621401522863309</c:v>
                </c:pt>
                <c:pt idx="48">
                  <c:v>99.925689156724602</c:v>
                </c:pt>
                <c:pt idx="49">
                  <c:v>98.750967058919329</c:v>
                </c:pt>
                <c:pt idx="50">
                  <c:v>95.320961765544197</c:v>
                </c:pt>
                <c:pt idx="51">
                  <c:v>98.258784966814588</c:v>
                </c:pt>
                <c:pt idx="52">
                  <c:v>100</c:v>
                </c:pt>
              </c:numCache>
            </c:numRef>
          </c:val>
          <c:smooth val="0"/>
          <c:extLst xmlns:c16r2="http://schemas.microsoft.com/office/drawing/2015/06/chart">
            <c:ext xmlns:c16="http://schemas.microsoft.com/office/drawing/2014/chart" uri="{C3380CC4-5D6E-409C-BE32-E72D297353CC}">
              <c16:uniqueId val="{00000000-3BD1-43E3-A95B-D1D6BF8266A3}"/>
            </c:ext>
          </c:extLst>
        </c:ser>
        <c:ser>
          <c:idx val="1"/>
          <c:order val="1"/>
          <c:tx>
            <c:v>Ramco Cem.</c:v>
          </c:tx>
          <c:spPr>
            <a:ln w="28575" cap="rnd">
              <a:solidFill>
                <a:schemeClr val="accent2"/>
              </a:solidFill>
              <a:round/>
            </a:ln>
            <a:effectLst/>
          </c:spPr>
          <c:marker>
            <c:symbol val="none"/>
          </c:marker>
          <c:cat>
            <c:numRef>
              <c:f>'PIE E.R.R'!$G$12:$G$64</c:f>
              <c:numCache>
                <c:formatCode>mmm\-yy</c:formatCode>
                <c:ptCount val="53"/>
                <c:pt idx="0">
                  <c:v>45717</c:v>
                </c:pt>
                <c:pt idx="13">
                  <c:v>45627</c:v>
                </c:pt>
                <c:pt idx="26">
                  <c:v>45536</c:v>
                </c:pt>
                <c:pt idx="39">
                  <c:v>45444</c:v>
                </c:pt>
                <c:pt idx="52">
                  <c:v>45352</c:v>
                </c:pt>
              </c:numCache>
            </c:numRef>
          </c:cat>
          <c:val>
            <c:numRef>
              <c:f>'PIE E.R.R'!$I$12:$I$64</c:f>
              <c:numCache>
                <c:formatCode>#,##0.00</c:formatCode>
                <c:ptCount val="53"/>
                <c:pt idx="0">
                  <c:v>112.14936573164196</c:v>
                </c:pt>
                <c:pt idx="1">
                  <c:v>106.81317372401881</c:v>
                </c:pt>
                <c:pt idx="2">
                  <c:v>101.94151628848789</c:v>
                </c:pt>
                <c:pt idx="3">
                  <c:v>95.473765707819666</c:v>
                </c:pt>
                <c:pt idx="4">
                  <c:v>103.82347686260498</c:v>
                </c:pt>
                <c:pt idx="5">
                  <c:v>98.743374426776256</c:v>
                </c:pt>
                <c:pt idx="6">
                  <c:v>101.52462628789235</c:v>
                </c:pt>
                <c:pt idx="7">
                  <c:v>100.60746828658209</c:v>
                </c:pt>
                <c:pt idx="8">
                  <c:v>106.58090643797273</c:v>
                </c:pt>
                <c:pt idx="9">
                  <c:v>109.28473587040676</c:v>
                </c:pt>
                <c:pt idx="10">
                  <c:v>105.86028229408613</c:v>
                </c:pt>
                <c:pt idx="11">
                  <c:v>105.28854743612651</c:v>
                </c:pt>
                <c:pt idx="12">
                  <c:v>109.13584658447979</c:v>
                </c:pt>
                <c:pt idx="13">
                  <c:v>117.40813531058308</c:v>
                </c:pt>
                <c:pt idx="14">
                  <c:v>115.03186230718838</c:v>
                </c:pt>
                <c:pt idx="15">
                  <c:v>117.4557798820797</c:v>
                </c:pt>
                <c:pt idx="16">
                  <c:v>123.9592638913704</c:v>
                </c:pt>
                <c:pt idx="17">
                  <c:v>120.66583288666548</c:v>
                </c:pt>
                <c:pt idx="18">
                  <c:v>120.87427788696326</c:v>
                </c:pt>
                <c:pt idx="19">
                  <c:v>112.55434458936335</c:v>
                </c:pt>
                <c:pt idx="20">
                  <c:v>107.48019772497173</c:v>
                </c:pt>
                <c:pt idx="21">
                  <c:v>103.12667500446668</c:v>
                </c:pt>
                <c:pt idx="22">
                  <c:v>106.29503900899292</c:v>
                </c:pt>
                <c:pt idx="23">
                  <c:v>101.60800428801144</c:v>
                </c:pt>
                <c:pt idx="24">
                  <c:v>101.39955928771364</c:v>
                </c:pt>
                <c:pt idx="25">
                  <c:v>102.62045143231492</c:v>
                </c:pt>
                <c:pt idx="26">
                  <c:v>103.4423202906319</c:v>
                </c:pt>
                <c:pt idx="27">
                  <c:v>102.83485200404981</c:v>
                </c:pt>
                <c:pt idx="28">
                  <c:v>99.499731999285331</c:v>
                </c:pt>
                <c:pt idx="29">
                  <c:v>101.26853671609793</c:v>
                </c:pt>
                <c:pt idx="30">
                  <c:v>98.850574712643677</c:v>
                </c:pt>
                <c:pt idx="31">
                  <c:v>99.01137514144483</c:v>
                </c:pt>
                <c:pt idx="32">
                  <c:v>97.647549282353637</c:v>
                </c:pt>
                <c:pt idx="33">
                  <c:v>95.878744565541069</c:v>
                </c:pt>
                <c:pt idx="34">
                  <c:v>95.259365136084824</c:v>
                </c:pt>
                <c:pt idx="35">
                  <c:v>98.594485140849272</c:v>
                </c:pt>
                <c:pt idx="36">
                  <c:v>98.642129712345906</c:v>
                </c:pt>
                <c:pt idx="37">
                  <c:v>92.644869275206958</c:v>
                </c:pt>
                <c:pt idx="38">
                  <c:v>94.562563277946523</c:v>
                </c:pt>
                <c:pt idx="39">
                  <c:v>96.259901137514149</c:v>
                </c:pt>
                <c:pt idx="40">
                  <c:v>99.63075457090109</c:v>
                </c:pt>
                <c:pt idx="41">
                  <c:v>100.70871300101246</c:v>
                </c:pt>
                <c:pt idx="42">
                  <c:v>103.54952057649933</c:v>
                </c:pt>
                <c:pt idx="43">
                  <c:v>99.076886427252703</c:v>
                </c:pt>
                <c:pt idx="44">
                  <c:v>88.362813411946888</c:v>
                </c:pt>
                <c:pt idx="45">
                  <c:v>92.680602703829436</c:v>
                </c:pt>
                <c:pt idx="46">
                  <c:v>92.561491275087846</c:v>
                </c:pt>
                <c:pt idx="47">
                  <c:v>90.548508129355014</c:v>
                </c:pt>
                <c:pt idx="48">
                  <c:v>91.98975641712822</c:v>
                </c:pt>
                <c:pt idx="49">
                  <c:v>95.003275564290405</c:v>
                </c:pt>
                <c:pt idx="50">
                  <c:v>95.307009707581443</c:v>
                </c:pt>
                <c:pt idx="51">
                  <c:v>99.726043713894356</c:v>
                </c:pt>
                <c:pt idx="52">
                  <c:v>100</c:v>
                </c:pt>
              </c:numCache>
            </c:numRef>
          </c:val>
          <c:smooth val="0"/>
          <c:extLst xmlns:c16r2="http://schemas.microsoft.com/office/drawing/2015/06/chart">
            <c:ext xmlns:c16="http://schemas.microsoft.com/office/drawing/2014/chart" uri="{C3380CC4-5D6E-409C-BE32-E72D297353CC}">
              <c16:uniqueId val="{00000001-3BD1-43E3-A95B-D1D6BF8266A3}"/>
            </c:ext>
          </c:extLst>
        </c:ser>
        <c:ser>
          <c:idx val="2"/>
          <c:order val="2"/>
          <c:tx>
            <c:v>Ambuja Cem.</c:v>
          </c:tx>
          <c:spPr>
            <a:ln w="28575" cap="rnd">
              <a:solidFill>
                <a:schemeClr val="accent3"/>
              </a:solidFill>
              <a:round/>
            </a:ln>
            <a:effectLst/>
          </c:spPr>
          <c:marker>
            <c:symbol val="none"/>
          </c:marker>
          <c:cat>
            <c:numRef>
              <c:f>'PIE E.R.R'!$G$12:$G$64</c:f>
              <c:numCache>
                <c:formatCode>mmm\-yy</c:formatCode>
                <c:ptCount val="53"/>
                <c:pt idx="0">
                  <c:v>45717</c:v>
                </c:pt>
                <c:pt idx="13">
                  <c:v>45627</c:v>
                </c:pt>
                <c:pt idx="26">
                  <c:v>45536</c:v>
                </c:pt>
                <c:pt idx="39">
                  <c:v>45444</c:v>
                </c:pt>
                <c:pt idx="52">
                  <c:v>45352</c:v>
                </c:pt>
              </c:numCache>
            </c:numRef>
          </c:cat>
          <c:val>
            <c:numRef>
              <c:f>'PIE E.R.R'!$J$12:$J$64</c:f>
              <c:numCache>
                <c:formatCode>#,##0.00</c:formatCode>
                <c:ptCount val="53"/>
                <c:pt idx="0">
                  <c:v>84.215561224489804</c:v>
                </c:pt>
                <c:pt idx="1">
                  <c:v>85.833864795918373</c:v>
                </c:pt>
                <c:pt idx="2">
                  <c:v>82.031249999999986</c:v>
                </c:pt>
                <c:pt idx="3">
                  <c:v>77.455357142857139</c:v>
                </c:pt>
                <c:pt idx="4">
                  <c:v>79.6875</c:v>
                </c:pt>
                <c:pt idx="5">
                  <c:v>74.131058673469383</c:v>
                </c:pt>
                <c:pt idx="6">
                  <c:v>76.841517857142847</c:v>
                </c:pt>
                <c:pt idx="7">
                  <c:v>78.045280612244895</c:v>
                </c:pt>
                <c:pt idx="8">
                  <c:v>81.752232142857139</c:v>
                </c:pt>
                <c:pt idx="9">
                  <c:v>81.760204081632637</c:v>
                </c:pt>
                <c:pt idx="10">
                  <c:v>87.978316326530603</c:v>
                </c:pt>
                <c:pt idx="11">
                  <c:v>85.499043367346928</c:v>
                </c:pt>
                <c:pt idx="12">
                  <c:v>81.513073979591837</c:v>
                </c:pt>
                <c:pt idx="13">
                  <c:v>87.484056122448976</c:v>
                </c:pt>
                <c:pt idx="14">
                  <c:v>87.364477040816325</c:v>
                </c:pt>
                <c:pt idx="15">
                  <c:v>87.499999999999986</c:v>
                </c:pt>
                <c:pt idx="16">
                  <c:v>91.318558673469383</c:v>
                </c:pt>
                <c:pt idx="17">
                  <c:v>90.130739795918359</c:v>
                </c:pt>
                <c:pt idx="18">
                  <c:v>84.741709183673464</c:v>
                </c:pt>
                <c:pt idx="19">
                  <c:v>79.695471938775512</c:v>
                </c:pt>
                <c:pt idx="20">
                  <c:v>86.814413265306115</c:v>
                </c:pt>
                <c:pt idx="21">
                  <c:v>90.066964285714278</c:v>
                </c:pt>
                <c:pt idx="22">
                  <c:v>92.865114795918373</c:v>
                </c:pt>
                <c:pt idx="23">
                  <c:v>88.121811224489804</c:v>
                </c:pt>
                <c:pt idx="24">
                  <c:v>91.509885204081627</c:v>
                </c:pt>
                <c:pt idx="25">
                  <c:v>93.303571428571431</c:v>
                </c:pt>
                <c:pt idx="26">
                  <c:v>97.369260204081627</c:v>
                </c:pt>
                <c:pt idx="27">
                  <c:v>101.08418367346938</c:v>
                </c:pt>
                <c:pt idx="28">
                  <c:v>98.301977040816311</c:v>
                </c:pt>
                <c:pt idx="29">
                  <c:v>100.38265306122449</c:v>
                </c:pt>
                <c:pt idx="30">
                  <c:v>99.370216836734684</c:v>
                </c:pt>
                <c:pt idx="31">
                  <c:v>98.381696428571416</c:v>
                </c:pt>
                <c:pt idx="32">
                  <c:v>101.0204081632653</c:v>
                </c:pt>
                <c:pt idx="33">
                  <c:v>102.12053571428569</c:v>
                </c:pt>
                <c:pt idx="34">
                  <c:v>100.76530612244898</c:v>
                </c:pt>
                <c:pt idx="35">
                  <c:v>104.08163265306121</c:v>
                </c:pt>
                <c:pt idx="36">
                  <c:v>109.43877551020407</c:v>
                </c:pt>
                <c:pt idx="37">
                  <c:v>108.08354591836734</c:v>
                </c:pt>
                <c:pt idx="38">
                  <c:v>107.86033163265304</c:v>
                </c:pt>
                <c:pt idx="39">
                  <c:v>109.375</c:v>
                </c:pt>
                <c:pt idx="40">
                  <c:v>106.86383928571428</c:v>
                </c:pt>
                <c:pt idx="41">
                  <c:v>104.82302295918366</c:v>
                </c:pt>
                <c:pt idx="42">
                  <c:v>107.97193877551021</c:v>
                </c:pt>
                <c:pt idx="43">
                  <c:v>99.059311224489775</c:v>
                </c:pt>
                <c:pt idx="44">
                  <c:v>101.09215561224489</c:v>
                </c:pt>
                <c:pt idx="45">
                  <c:v>101.29145408163265</c:v>
                </c:pt>
                <c:pt idx="46">
                  <c:v>98.963647959183675</c:v>
                </c:pt>
                <c:pt idx="47">
                  <c:v>92.761479591836718</c:v>
                </c:pt>
                <c:pt idx="48">
                  <c:v>99.242665816326522</c:v>
                </c:pt>
                <c:pt idx="49">
                  <c:v>100.82110969387755</c:v>
                </c:pt>
                <c:pt idx="50">
                  <c:v>97.201849489795904</c:v>
                </c:pt>
                <c:pt idx="51">
                  <c:v>97.074298469387756</c:v>
                </c:pt>
                <c:pt idx="52">
                  <c:v>100</c:v>
                </c:pt>
              </c:numCache>
            </c:numRef>
          </c:val>
          <c:smooth val="0"/>
          <c:extLst xmlns:c16r2="http://schemas.microsoft.com/office/drawing/2015/06/chart">
            <c:ext xmlns:c16="http://schemas.microsoft.com/office/drawing/2014/chart" uri="{C3380CC4-5D6E-409C-BE32-E72D297353CC}">
              <c16:uniqueId val="{00000002-3BD1-43E3-A95B-D1D6BF8266A3}"/>
            </c:ext>
          </c:extLst>
        </c:ser>
        <c:ser>
          <c:idx val="3"/>
          <c:order val="3"/>
          <c:tx>
            <c:v>Shree Cem.</c:v>
          </c:tx>
          <c:spPr>
            <a:ln w="28575" cap="rnd">
              <a:solidFill>
                <a:schemeClr val="accent4"/>
              </a:solidFill>
              <a:round/>
            </a:ln>
            <a:effectLst/>
          </c:spPr>
          <c:marker>
            <c:symbol val="none"/>
          </c:marker>
          <c:cat>
            <c:numRef>
              <c:f>'PIE E.R.R'!$G$12:$G$64</c:f>
              <c:numCache>
                <c:formatCode>mmm\-yy</c:formatCode>
                <c:ptCount val="53"/>
                <c:pt idx="0">
                  <c:v>45717</c:v>
                </c:pt>
                <c:pt idx="13">
                  <c:v>45627</c:v>
                </c:pt>
                <c:pt idx="26">
                  <c:v>45536</c:v>
                </c:pt>
                <c:pt idx="39">
                  <c:v>45444</c:v>
                </c:pt>
                <c:pt idx="52">
                  <c:v>45352</c:v>
                </c:pt>
              </c:numCache>
            </c:numRef>
          </c:cat>
          <c:val>
            <c:numRef>
              <c:f>'PIE E.R.R'!$K$12:$K$64</c:f>
              <c:numCache>
                <c:formatCode>#,##0.00</c:formatCode>
                <c:ptCount val="53"/>
                <c:pt idx="0">
                  <c:v>118.91999744295563</c:v>
                </c:pt>
                <c:pt idx="1">
                  <c:v>118.17787343017815</c:v>
                </c:pt>
                <c:pt idx="2">
                  <c:v>112.30616344550106</c:v>
                </c:pt>
                <c:pt idx="3">
                  <c:v>106.52472487558624</c:v>
                </c:pt>
                <c:pt idx="4">
                  <c:v>108.423330317829</c:v>
                </c:pt>
                <c:pt idx="5">
                  <c:v>105.70666439373835</c:v>
                </c:pt>
                <c:pt idx="6">
                  <c:v>110.05247752416116</c:v>
                </c:pt>
                <c:pt idx="7">
                  <c:v>110.63497997950491</c:v>
                </c:pt>
                <c:pt idx="8">
                  <c:v>109.44576063352712</c:v>
                </c:pt>
                <c:pt idx="9">
                  <c:v>107.68992350175604</c:v>
                </c:pt>
                <c:pt idx="10">
                  <c:v>99.89190676086406</c:v>
                </c:pt>
                <c:pt idx="11">
                  <c:v>98.079892139219453</c:v>
                </c:pt>
                <c:pt idx="12">
                  <c:v>99.718143973220776</c:v>
                </c:pt>
                <c:pt idx="13">
                  <c:v>101.10495311116752</c:v>
                </c:pt>
                <c:pt idx="14">
                  <c:v>100.92189198037276</c:v>
                </c:pt>
                <c:pt idx="15">
                  <c:v>104.85237911669614</c:v>
                </c:pt>
                <c:pt idx="16">
                  <c:v>106.89782089453936</c:v>
                </c:pt>
                <c:pt idx="17">
                  <c:v>104.90332628854698</c:v>
                </c:pt>
                <c:pt idx="18">
                  <c:v>101.0282417801678</c:v>
                </c:pt>
                <c:pt idx="19">
                  <c:v>96.062539106312997</c:v>
                </c:pt>
                <c:pt idx="20">
                  <c:v>93.338705709376413</c:v>
                </c:pt>
                <c:pt idx="21">
                  <c:v>95.048438556354739</c:v>
                </c:pt>
                <c:pt idx="22">
                  <c:v>97.791643501523566</c:v>
                </c:pt>
                <c:pt idx="23">
                  <c:v>96.690370984520186</c:v>
                </c:pt>
                <c:pt idx="24">
                  <c:v>94.243550727304779</c:v>
                </c:pt>
                <c:pt idx="25">
                  <c:v>94.28926758113289</c:v>
                </c:pt>
                <c:pt idx="26">
                  <c:v>100.86455219760528</c:v>
                </c:pt>
                <c:pt idx="27">
                  <c:v>101.69249216905163</c:v>
                </c:pt>
                <c:pt idx="28">
                  <c:v>97.406730838148775</c:v>
                </c:pt>
                <c:pt idx="29">
                  <c:v>100.27914401002671</c:v>
                </c:pt>
                <c:pt idx="30">
                  <c:v>99.222813484922156</c:v>
                </c:pt>
                <c:pt idx="31">
                  <c:v>98.725158410835661</c:v>
                </c:pt>
                <c:pt idx="32">
                  <c:v>95.718887840672892</c:v>
                </c:pt>
                <c:pt idx="33">
                  <c:v>95.474031471017256</c:v>
                </c:pt>
                <c:pt idx="34">
                  <c:v>94.132551755933989</c:v>
                </c:pt>
                <c:pt idx="35">
                  <c:v>105.75063780822553</c:v>
                </c:pt>
                <c:pt idx="36">
                  <c:v>106.80212544627206</c:v>
                </c:pt>
                <c:pt idx="37">
                  <c:v>105.70724554018531</c:v>
                </c:pt>
                <c:pt idx="38">
                  <c:v>107.18471352385896</c:v>
                </c:pt>
                <c:pt idx="39">
                  <c:v>106.65470796422463</c:v>
                </c:pt>
                <c:pt idx="40">
                  <c:v>107.97855957041655</c:v>
                </c:pt>
                <c:pt idx="41">
                  <c:v>106.17080668938303</c:v>
                </c:pt>
                <c:pt idx="42">
                  <c:v>106.69073904393662</c:v>
                </c:pt>
                <c:pt idx="43">
                  <c:v>101.03230980529656</c:v>
                </c:pt>
                <c:pt idx="44">
                  <c:v>95.620286660170734</c:v>
                </c:pt>
                <c:pt idx="45">
                  <c:v>98.626169799368881</c:v>
                </c:pt>
                <c:pt idx="46">
                  <c:v>101.91681469758107</c:v>
                </c:pt>
                <c:pt idx="47">
                  <c:v>99.419628414961807</c:v>
                </c:pt>
                <c:pt idx="48">
                  <c:v>99.750107027803978</c:v>
                </c:pt>
                <c:pt idx="49">
                  <c:v>93.527772020123166</c:v>
                </c:pt>
                <c:pt idx="50">
                  <c:v>94.412083196925352</c:v>
                </c:pt>
                <c:pt idx="51">
                  <c:v>98.760608344100703</c:v>
                </c:pt>
                <c:pt idx="52">
                  <c:v>100</c:v>
                </c:pt>
              </c:numCache>
            </c:numRef>
          </c:val>
          <c:smooth val="0"/>
          <c:extLst xmlns:c16r2="http://schemas.microsoft.com/office/drawing/2015/06/chart">
            <c:ext xmlns:c16="http://schemas.microsoft.com/office/drawing/2014/chart" uri="{C3380CC4-5D6E-409C-BE32-E72D297353CC}">
              <c16:uniqueId val="{00000003-3BD1-43E3-A95B-D1D6BF8266A3}"/>
            </c:ext>
          </c:extLst>
        </c:ser>
        <c:ser>
          <c:idx val="4"/>
          <c:order val="4"/>
          <c:tx>
            <c:v>J K Cem.</c:v>
          </c:tx>
          <c:spPr>
            <a:ln w="28575" cap="rnd">
              <a:solidFill>
                <a:schemeClr val="accent5"/>
              </a:solidFill>
              <a:round/>
            </a:ln>
            <a:effectLst/>
          </c:spPr>
          <c:marker>
            <c:symbol val="none"/>
          </c:marker>
          <c:cat>
            <c:numRef>
              <c:f>'PIE E.R.R'!$G$12:$G$64</c:f>
              <c:numCache>
                <c:formatCode>mmm\-yy</c:formatCode>
                <c:ptCount val="53"/>
                <c:pt idx="0">
                  <c:v>45717</c:v>
                </c:pt>
                <c:pt idx="13">
                  <c:v>45627</c:v>
                </c:pt>
                <c:pt idx="26">
                  <c:v>45536</c:v>
                </c:pt>
                <c:pt idx="39">
                  <c:v>45444</c:v>
                </c:pt>
                <c:pt idx="52">
                  <c:v>45352</c:v>
                </c:pt>
              </c:numCache>
            </c:numRef>
          </c:cat>
          <c:val>
            <c:numRef>
              <c:f>'PIE E.R.R'!$L$12:$L$64</c:f>
              <c:numCache>
                <c:formatCode>#,##0.00</c:formatCode>
                <c:ptCount val="53"/>
                <c:pt idx="0">
                  <c:v>113.80618013014427</c:v>
                </c:pt>
                <c:pt idx="1">
                  <c:v>113.29970622216403</c:v>
                </c:pt>
                <c:pt idx="2">
                  <c:v>110.7696336160859</c:v>
                </c:pt>
                <c:pt idx="3">
                  <c:v>98.108934383491473</c:v>
                </c:pt>
                <c:pt idx="4">
                  <c:v>101.56007745260851</c:v>
                </c:pt>
                <c:pt idx="5">
                  <c:v>100.82046476158976</c:v>
                </c:pt>
                <c:pt idx="6">
                  <c:v>105.20301449594936</c:v>
                </c:pt>
                <c:pt idx="7">
                  <c:v>106.9739504735129</c:v>
                </c:pt>
                <c:pt idx="8">
                  <c:v>112.08347976286454</c:v>
                </c:pt>
                <c:pt idx="9">
                  <c:v>111.0533049432313</c:v>
                </c:pt>
                <c:pt idx="10">
                  <c:v>109.23987568994148</c:v>
                </c:pt>
                <c:pt idx="11">
                  <c:v>104.3083587718754</c:v>
                </c:pt>
                <c:pt idx="12">
                  <c:v>104.36233671671687</c:v>
                </c:pt>
                <c:pt idx="13">
                  <c:v>108.56572561287936</c:v>
                </c:pt>
                <c:pt idx="14">
                  <c:v>105.0261505915753</c:v>
                </c:pt>
                <c:pt idx="15">
                  <c:v>103.77087625728416</c:v>
                </c:pt>
                <c:pt idx="16">
                  <c:v>109.0836841899748</c:v>
                </c:pt>
                <c:pt idx="17">
                  <c:v>105.58200857675088</c:v>
                </c:pt>
                <c:pt idx="18">
                  <c:v>98.268571284192731</c:v>
                </c:pt>
                <c:pt idx="19">
                  <c:v>94.997737520184316</c:v>
                </c:pt>
                <c:pt idx="20">
                  <c:v>91.861274384823702</c:v>
                </c:pt>
                <c:pt idx="21">
                  <c:v>93.744760119716204</c:v>
                </c:pt>
                <c:pt idx="22">
                  <c:v>99.807516945629288</c:v>
                </c:pt>
                <c:pt idx="23">
                  <c:v>94.289133435776591</c:v>
                </c:pt>
                <c:pt idx="24">
                  <c:v>98.830171603925905</c:v>
                </c:pt>
                <c:pt idx="25">
                  <c:v>97.361282424092082</c:v>
                </c:pt>
                <c:pt idx="26">
                  <c:v>104.86766215778557</c:v>
                </c:pt>
                <c:pt idx="27">
                  <c:v>106.49159437067459</c:v>
                </c:pt>
                <c:pt idx="28">
                  <c:v>106.41005321995667</c:v>
                </c:pt>
                <c:pt idx="29">
                  <c:v>109.48105374136065</c:v>
                </c:pt>
                <c:pt idx="30">
                  <c:v>107.90880253949003</c:v>
                </c:pt>
                <c:pt idx="31">
                  <c:v>102.30313554436181</c:v>
                </c:pt>
                <c:pt idx="32">
                  <c:v>100.91234211451135</c:v>
                </c:pt>
                <c:pt idx="33">
                  <c:v>97.388845629968543</c:v>
                </c:pt>
                <c:pt idx="34">
                  <c:v>97.394587964526153</c:v>
                </c:pt>
                <c:pt idx="35">
                  <c:v>98.414426581955752</c:v>
                </c:pt>
                <c:pt idx="36">
                  <c:v>100.78141688659808</c:v>
                </c:pt>
                <c:pt idx="37">
                  <c:v>98.413278115044236</c:v>
                </c:pt>
                <c:pt idx="38">
                  <c:v>99.673146316981459</c:v>
                </c:pt>
                <c:pt idx="39">
                  <c:v>96.766376563924823</c:v>
                </c:pt>
                <c:pt idx="40">
                  <c:v>100.69275524102875</c:v>
                </c:pt>
                <c:pt idx="41">
                  <c:v>97.731088769601456</c:v>
                </c:pt>
                <c:pt idx="42">
                  <c:v>99.263603016333491</c:v>
                </c:pt>
                <c:pt idx="43">
                  <c:v>96.060758493487043</c:v>
                </c:pt>
                <c:pt idx="44">
                  <c:v>88.837590700174331</c:v>
                </c:pt>
                <c:pt idx="45">
                  <c:v>91.549350771654915</c:v>
                </c:pt>
                <c:pt idx="46">
                  <c:v>89.398501939760607</c:v>
                </c:pt>
                <c:pt idx="47">
                  <c:v>88.118191026798328</c:v>
                </c:pt>
                <c:pt idx="48">
                  <c:v>91.24983060113054</c:v>
                </c:pt>
                <c:pt idx="49">
                  <c:v>93.433984973458934</c:v>
                </c:pt>
                <c:pt idx="50">
                  <c:v>95.244198519396448</c:v>
                </c:pt>
                <c:pt idx="51">
                  <c:v>98.209310391558319</c:v>
                </c:pt>
                <c:pt idx="52">
                  <c:v>100</c:v>
                </c:pt>
              </c:numCache>
            </c:numRef>
          </c:val>
          <c:smooth val="0"/>
          <c:extLst xmlns:c16r2="http://schemas.microsoft.com/office/drawing/2015/06/chart">
            <c:ext xmlns:c16="http://schemas.microsoft.com/office/drawing/2014/chart" uri="{C3380CC4-5D6E-409C-BE32-E72D297353CC}">
              <c16:uniqueId val="{00000004-3BD1-43E3-A95B-D1D6BF8266A3}"/>
            </c:ext>
          </c:extLst>
        </c:ser>
        <c:ser>
          <c:idx val="5"/>
          <c:order val="5"/>
          <c:tx>
            <c:v>ACC Cem.</c:v>
          </c:tx>
          <c:spPr>
            <a:ln w="28575" cap="rnd">
              <a:solidFill>
                <a:schemeClr val="accent6"/>
              </a:solidFill>
              <a:round/>
            </a:ln>
            <a:effectLst/>
          </c:spPr>
          <c:marker>
            <c:symbol val="none"/>
          </c:marker>
          <c:cat>
            <c:numRef>
              <c:f>'PIE E.R.R'!$G$12:$G$64</c:f>
              <c:numCache>
                <c:formatCode>mmm\-yy</c:formatCode>
                <c:ptCount val="53"/>
                <c:pt idx="0">
                  <c:v>45717</c:v>
                </c:pt>
                <c:pt idx="13">
                  <c:v>45627</c:v>
                </c:pt>
                <c:pt idx="26">
                  <c:v>45536</c:v>
                </c:pt>
                <c:pt idx="39">
                  <c:v>45444</c:v>
                </c:pt>
                <c:pt idx="52">
                  <c:v>45352</c:v>
                </c:pt>
              </c:numCache>
            </c:numRef>
          </c:cat>
          <c:val>
            <c:numRef>
              <c:f>'PIE E.R.R'!$M$12:$M$64</c:f>
              <c:numCache>
                <c:formatCode>#,##0.00</c:formatCode>
                <c:ptCount val="53"/>
                <c:pt idx="0">
                  <c:v>76.358199681565765</c:v>
                </c:pt>
                <c:pt idx="1">
                  <c:v>75.439788746068118</c:v>
                </c:pt>
                <c:pt idx="2">
                  <c:v>74.391285775309697</c:v>
                </c:pt>
                <c:pt idx="3">
                  <c:v>71.997203992077985</c:v>
                </c:pt>
                <c:pt idx="4">
                  <c:v>73.230165818803158</c:v>
                </c:pt>
                <c:pt idx="5">
                  <c:v>70.620558424915529</c:v>
                </c:pt>
                <c:pt idx="6">
                  <c:v>73.162207292920669</c:v>
                </c:pt>
                <c:pt idx="7">
                  <c:v>72.771931187138378</c:v>
                </c:pt>
                <c:pt idx="8">
                  <c:v>77.631936623820437</c:v>
                </c:pt>
                <c:pt idx="9">
                  <c:v>77.963962564560603</c:v>
                </c:pt>
                <c:pt idx="10">
                  <c:v>79.956118209001588</c:v>
                </c:pt>
                <c:pt idx="11">
                  <c:v>78.245505028930921</c:v>
                </c:pt>
                <c:pt idx="12">
                  <c:v>74.989320803075614</c:v>
                </c:pt>
                <c:pt idx="13">
                  <c:v>79.800784435555897</c:v>
                </c:pt>
                <c:pt idx="14">
                  <c:v>80.214360607355047</c:v>
                </c:pt>
                <c:pt idx="15">
                  <c:v>80.138635392800282</c:v>
                </c:pt>
                <c:pt idx="16">
                  <c:v>87.299522348646661</c:v>
                </c:pt>
                <c:pt idx="17">
                  <c:v>87.699506815269316</c:v>
                </c:pt>
                <c:pt idx="18">
                  <c:v>86.30926954293038</c:v>
                </c:pt>
                <c:pt idx="19">
                  <c:v>81.146363248029203</c:v>
                </c:pt>
                <c:pt idx="20">
                  <c:v>84.973399091297424</c:v>
                </c:pt>
                <c:pt idx="21">
                  <c:v>88.982952118364338</c:v>
                </c:pt>
                <c:pt idx="22">
                  <c:v>90.398431128888205</c:v>
                </c:pt>
                <c:pt idx="23">
                  <c:v>86.901479554192079</c:v>
                </c:pt>
                <c:pt idx="24">
                  <c:v>88.759659819036159</c:v>
                </c:pt>
                <c:pt idx="25">
                  <c:v>89.800396101122288</c:v>
                </c:pt>
                <c:pt idx="26">
                  <c:v>94.510892780862889</c:v>
                </c:pt>
                <c:pt idx="27">
                  <c:v>96.435089899421385</c:v>
                </c:pt>
                <c:pt idx="28">
                  <c:v>94.877868820628322</c:v>
                </c:pt>
                <c:pt idx="29">
                  <c:v>97.761251990213964</c:v>
                </c:pt>
                <c:pt idx="30">
                  <c:v>94.34196730224069</c:v>
                </c:pt>
                <c:pt idx="31">
                  <c:v>90.448914605258054</c:v>
                </c:pt>
                <c:pt idx="32">
                  <c:v>90.23921401110637</c:v>
                </c:pt>
                <c:pt idx="33">
                  <c:v>90.788707234670511</c:v>
                </c:pt>
                <c:pt idx="34">
                  <c:v>91.318783736553939</c:v>
                </c:pt>
                <c:pt idx="35">
                  <c:v>94.571084618073101</c:v>
                </c:pt>
                <c:pt idx="36">
                  <c:v>101.51644596326356</c:v>
                </c:pt>
                <c:pt idx="37">
                  <c:v>101.73585491825561</c:v>
                </c:pt>
                <c:pt idx="38">
                  <c:v>104.312453885286</c:v>
                </c:pt>
                <c:pt idx="39">
                  <c:v>103.66587705331831</c:v>
                </c:pt>
                <c:pt idx="40">
                  <c:v>101.70672983573455</c:v>
                </c:pt>
                <c:pt idx="41">
                  <c:v>100.58638499475747</c:v>
                </c:pt>
                <c:pt idx="42">
                  <c:v>103.36297619509922</c:v>
                </c:pt>
                <c:pt idx="43">
                  <c:v>97.04865830453187</c:v>
                </c:pt>
                <c:pt idx="44">
                  <c:v>98.885480175527178</c:v>
                </c:pt>
                <c:pt idx="45">
                  <c:v>101.32616209079259</c:v>
                </c:pt>
                <c:pt idx="46">
                  <c:v>97.936002485340367</c:v>
                </c:pt>
                <c:pt idx="47">
                  <c:v>91.652751349462164</c:v>
                </c:pt>
                <c:pt idx="48">
                  <c:v>98.302978525105829</c:v>
                </c:pt>
                <c:pt idx="49">
                  <c:v>98.367053706652172</c:v>
                </c:pt>
                <c:pt idx="50">
                  <c:v>93.400256300726198</c:v>
                </c:pt>
                <c:pt idx="51">
                  <c:v>95.85258824900005</c:v>
                </c:pt>
                <c:pt idx="52">
                  <c:v>100</c:v>
                </c:pt>
              </c:numCache>
            </c:numRef>
          </c:val>
          <c:smooth val="0"/>
          <c:extLst xmlns:c16r2="http://schemas.microsoft.com/office/drawing/2015/06/chart">
            <c:ext xmlns:c16="http://schemas.microsoft.com/office/drawing/2014/chart" uri="{C3380CC4-5D6E-409C-BE32-E72D297353CC}">
              <c16:uniqueId val="{00000005-3BD1-43E3-A95B-D1D6BF8266A3}"/>
            </c:ext>
          </c:extLst>
        </c:ser>
        <c:dLbls>
          <c:showLegendKey val="0"/>
          <c:showVal val="0"/>
          <c:showCatName val="0"/>
          <c:showSerName val="0"/>
          <c:showPercent val="0"/>
          <c:showBubbleSize val="0"/>
        </c:dLbls>
        <c:smooth val="0"/>
        <c:axId val="-1306443888"/>
        <c:axId val="-1306453680"/>
      </c:lineChart>
      <c:catAx>
        <c:axId val="-1306443888"/>
        <c:scaling>
          <c:orientation val="maxMin"/>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453680"/>
        <c:crosses val="autoZero"/>
        <c:auto val="0"/>
        <c:lblAlgn val="ctr"/>
        <c:lblOffset val="100"/>
        <c:noMultiLvlLbl val="0"/>
      </c:catAx>
      <c:valAx>
        <c:axId val="-1306453680"/>
        <c:scaling>
          <c:orientation val="minMax"/>
          <c:min val="50"/>
        </c:scaling>
        <c:delete val="1"/>
        <c:axPos val="r"/>
        <c:numFmt formatCode="#,##0.00" sourceLinked="1"/>
        <c:majorTickMark val="none"/>
        <c:minorTickMark val="none"/>
        <c:tickLblPos val="nextTo"/>
        <c:crossAx val="-1306443888"/>
        <c:crosses val="autoZero"/>
        <c:crossBetween val="between"/>
      </c:valAx>
      <c:spPr>
        <a:noFill/>
        <a:ln>
          <a:noFill/>
        </a:ln>
        <a:effectLst/>
      </c:spPr>
    </c:plotArea>
    <c:legend>
      <c:legendPos val="b"/>
      <c:layout>
        <c:manualLayout>
          <c:xMode val="edge"/>
          <c:yMode val="edge"/>
          <c:x val="1.204068241469816E-2"/>
          <c:y val="0.82291557305336838"/>
          <c:w val="0.91202974628171474"/>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_xlchart.v1.1</cx:f>
      </cx:strDim>
      <cx:numDim type="val">
        <cx:f dir="row">_xlchart.v1.2</cx:f>
      </cx:numDim>
    </cx:data>
  </cx:chartData>
  <cx:chart>
    <cx:title pos="t" align="ctr" overlay="0">
      <cx:tx>
        <cx:txData>
          <cx:v>Net Cash Flow</cx:v>
        </cx:txData>
      </cx:tx>
      <cx:txPr>
        <a:bodyPr rot="0" spcFirstLastPara="1" vertOverflow="ellipsis" vert="horz" wrap="square" lIns="38100" tIns="19050" rIns="38100" bIns="19050" anchor="ctr" anchorCtr="1" compatLnSpc="0"/>
        <a:lstStyle/>
        <a:p>
          <a:pPr algn="ctr" rtl="0">
            <a:defRPr sz="1050" b="1" i="1" u="none" strike="noStrike" kern="1200" spc="0" baseline="0">
              <a:solidFill>
                <a:sysClr val="windowText" lastClr="000000">
                  <a:lumMod val="65000"/>
                  <a:lumOff val="35000"/>
                </a:sysClr>
              </a:solidFill>
              <a:latin typeface="+mn-lt"/>
              <a:ea typeface="+mn-ea"/>
              <a:cs typeface="+mn-cs"/>
            </a:defRPr>
          </a:pPr>
          <a:r>
            <a:rPr kumimoji="0" lang="en-IN" sz="1050" b="1" i="1" u="none" strike="noStrike" kern="1200" cap="none" spc="0" normalizeH="0" baseline="0" noProof="0">
              <a:ln>
                <a:noFill/>
              </a:ln>
              <a:solidFill>
                <a:sysClr val="windowText" lastClr="000000">
                  <a:lumMod val="65000"/>
                  <a:lumOff val="35000"/>
                </a:sysClr>
              </a:solidFill>
              <a:effectLst/>
              <a:uLnTx/>
              <a:uFillTx/>
              <a:latin typeface="Calibri" panose="020F0502020204030204"/>
            </a:rPr>
            <a:t>Net Cash Flow</a:t>
          </a:r>
        </a:p>
      </cx:txPr>
    </cx:title>
    <cx:plotArea>
      <cx:plotAreaRegion>
        <cx:series layoutId="waterfall" uniqueId="{3AB1CBF3-F592-4B4B-B638-E70C7625AAA7}">
          <cx:tx>
            <cx:txData>
              <cx:f>_xlchart.v1.0</cx:f>
              <cx:v>Net Cash Flow</cx:v>
            </cx:txData>
          </cx:tx>
          <cx:spPr>
            <a:solidFill>
              <a:srgbClr val="FFFF00"/>
            </a:solidFill>
            <a:ln>
              <a:solidFill>
                <a:schemeClr val="tx1">
                  <a:lumMod val="95000"/>
                  <a:lumOff val="5000"/>
                </a:schemeClr>
              </a:solidFill>
            </a:ln>
            <a:effectLst>
              <a:innerShdw blurRad="63500" dist="50800" dir="18900000">
                <a:prstClr val="black">
                  <a:alpha val="50000"/>
                </a:prstClr>
              </a:innerShdw>
            </a:effectLst>
          </cx:spPr>
          <cx:dataLabels pos="outEnd">
            <cx:txPr>
              <a:bodyPr spcFirstLastPara="1" vertOverflow="ellipsis" horzOverflow="overflow" wrap="square" lIns="0" tIns="0" rIns="0" bIns="0" anchor="ctr" anchorCtr="1"/>
              <a:lstStyle/>
              <a:p>
                <a:pPr algn="ctr" rtl="0">
                  <a:defRPr sz="1050" b="1" i="1"/>
                </a:pPr>
                <a:endParaRPr lang="en-US" sz="1050" b="1" i="1" u="none" strike="noStrike" kern="1200" baseline="0">
                  <a:solidFill>
                    <a:sysClr val="windowText" lastClr="000000">
                      <a:lumMod val="75000"/>
                      <a:lumOff val="25000"/>
                    </a:sysClr>
                  </a:solidFill>
                  <a:latin typeface="Calibri" panose="020F0502020204030204"/>
                </a:endParaRPr>
              </a:p>
            </cx:txPr>
            <cx:visibility seriesName="0" categoryName="0" value="1"/>
            <cx:separator>, </cx:separator>
          </cx:dataLabels>
          <cx:dataId val="0"/>
          <cx:layoutPr>
            <cx:subtotals/>
          </cx:layoutPr>
        </cx:series>
      </cx:plotAreaRegion>
      <cx:axis id="0">
        <cx:catScaling gapWidth="1"/>
        <cx:tickLabels/>
        <cx:spPr>
          <a:effectLst>
            <a:outerShdw blurRad="50800" dist="38100" dir="5400000" algn="t" rotWithShape="0">
              <a:prstClr val="black">
                <a:alpha val="40000"/>
              </a:prstClr>
            </a:outerShdw>
          </a:effectLst>
        </cx:spPr>
      </cx:axis>
      <cx:axis id="1">
        <cx:valScaling/>
        <cx:tickLabels/>
        <cx:spPr>
          <a:effectLst>
            <a:outerShdw blurRad="50800" dist="38100" dir="5400000" algn="t" rotWithShape="0">
              <a:prstClr val="black">
                <a:alpha val="40000"/>
              </a:prstClr>
            </a:outerShdw>
          </a:effectLst>
        </cx:sp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_xlchart.v1.3</cx:f>
      </cx:strDim>
      <cx:numDim type="val">
        <cx:f dir="row">_xlchart.v1.4</cx:f>
      </cx:numDim>
    </cx:data>
  </cx:chartData>
  <cx:chart>
    <cx:title pos="t" align="ctr" overlay="0">
      <cx:tx>
        <cx:txData>
          <cx:v>Net Cash Flow</cx:v>
        </cx:txData>
      </cx:tx>
      <cx:txPr>
        <a:bodyPr rot="0" spcFirstLastPara="1" vertOverflow="ellipsis" vert="horz" wrap="square" lIns="38100" tIns="19050" rIns="38100" bIns="19050" anchor="ctr" anchorCtr="1" compatLnSpc="0"/>
        <a:lstStyle/>
        <a:p>
          <a:pPr algn="ctr" rtl="0">
            <a:defRPr sz="1050" b="1" i="1" u="none" strike="noStrike" kern="1200" spc="0" baseline="0">
              <a:solidFill>
                <a:sysClr val="windowText" lastClr="000000">
                  <a:lumMod val="65000"/>
                  <a:lumOff val="35000"/>
                </a:sysClr>
              </a:solidFill>
              <a:latin typeface="+mn-lt"/>
              <a:ea typeface="+mn-ea"/>
              <a:cs typeface="+mn-cs"/>
            </a:defRPr>
          </a:pPr>
          <a:r>
            <a:rPr kumimoji="0" lang="en-US" sz="1050" b="1" i="1" u="none" strike="noStrike" kern="1200" cap="none" spc="0" normalizeH="0" baseline="0" noProof="0">
              <a:ln>
                <a:noFill/>
              </a:ln>
              <a:solidFill>
                <a:sysClr val="windowText" lastClr="000000">
                  <a:lumMod val="65000"/>
                  <a:lumOff val="35000"/>
                </a:sysClr>
              </a:solidFill>
              <a:effectLst/>
              <a:uLnTx/>
              <a:uFillTx/>
              <a:latin typeface="Calibri" panose="020F0502020204030204"/>
            </a:rPr>
            <a:t>Net Cash Flow</a:t>
          </a:r>
        </a:p>
      </cx:txPr>
    </cx:title>
    <cx:plotArea>
      <cx:plotAreaRegion>
        <cx:series layoutId="waterfall" uniqueId="{5D4095A8-6A25-4E17-B2D4-7E09A27E1F1B}">
          <cx:tx>
            <cx:txData>
              <cx:f>_xlchart.v1.5</cx:f>
              <cx:v>Net Cash Flow</cx:v>
            </cx:txData>
          </cx:tx>
          <cx:spPr>
            <a:solidFill>
              <a:srgbClr val="FFFF00"/>
            </a:solidFill>
            <a:ln>
              <a:solidFill>
                <a:schemeClr val="tx1">
                  <a:lumMod val="95000"/>
                  <a:lumOff val="5000"/>
                </a:schemeClr>
              </a:solidFill>
            </a:ln>
            <a:effectLst>
              <a:innerShdw blurRad="63500" dist="50800" dir="18900000">
                <a:prstClr val="black">
                  <a:alpha val="50000"/>
                </a:prstClr>
              </a:innerShdw>
            </a:effectLst>
          </cx:spPr>
          <cx:dataLabels>
            <cx:txPr>
              <a:bodyPr spcFirstLastPara="1" vertOverflow="ellipsis" horzOverflow="overflow" wrap="square" lIns="0" tIns="0" rIns="0" bIns="0" anchor="ctr" anchorCtr="1"/>
              <a:lstStyle/>
              <a:p>
                <a:pPr algn="ctr" rtl="0">
                  <a:defRPr sz="1050" b="1" i="1"/>
                </a:pPr>
                <a:endParaRPr lang="en-US" sz="1050" b="1" i="1" u="none" strike="noStrike" kern="1200" baseline="0">
                  <a:solidFill>
                    <a:sysClr val="windowText" lastClr="000000">
                      <a:lumMod val="75000"/>
                      <a:lumOff val="25000"/>
                    </a:sysClr>
                  </a:solidFill>
                  <a:latin typeface="Calibri" panose="020F0502020204030204"/>
                </a:endParaRPr>
              </a:p>
            </cx:txPr>
            <cx:dataLabel idx="5" pos="outEnd">
              <cx:txPr>
                <a:bodyPr spcFirstLastPara="1" vertOverflow="ellipsis" horzOverflow="overflow" wrap="square" lIns="0" tIns="0" rIns="0" bIns="0" anchor="ctr" anchorCtr="1"/>
                <a:lstStyle/>
                <a:p>
                  <a:pPr algn="ctr" rtl="0">
                    <a:defRPr/>
                  </a:pPr>
                  <a:r>
                    <a:rPr lang="en-US" sz="1050" b="1" i="1" u="none" strike="noStrike" kern="1200" baseline="0">
                      <a:solidFill>
                        <a:sysClr val="windowText" lastClr="000000">
                          <a:lumMod val="75000"/>
                          <a:lumOff val="25000"/>
                        </a:sysClr>
                      </a:solidFill>
                      <a:latin typeface="Calibri" panose="020F0502020204030204"/>
                    </a:rPr>
                    <a:t>2,161 </a:t>
                  </a:r>
                </a:p>
              </cx:txPr>
              <cx:visibility seriesName="0" categoryName="0" value="1"/>
              <cx:separator>, </cx:separator>
            </cx:dataLabel>
          </cx:dataLabels>
          <cx:dataId val="0"/>
          <cx:layoutPr>
            <cx:subtotals/>
          </cx:layoutPr>
        </cx:series>
      </cx:plotAreaRegion>
      <cx:axis id="0">
        <cx:catScaling gapWidth="1"/>
        <cx:tickLabels/>
        <cx:spPr>
          <a:effectLst>
            <a:outerShdw blurRad="50800" dist="38100" dir="5400000" algn="t" rotWithShape="0">
              <a:prstClr val="black">
                <a:alpha val="40000"/>
              </a:prstClr>
            </a:outerShdw>
          </a:effectLst>
        </cx:spPr>
      </cx:axis>
      <cx:axis id="1">
        <cx:valScaling/>
        <cx:tickLabels/>
        <cx:spPr>
          <a:effectLst>
            <a:outerShdw blurRad="50800" dist="38100" dir="5400000" algn="t" rotWithShape="0">
              <a:prstClr val="black">
                <a:alpha val="40000"/>
              </a:prstClr>
            </a:outerShdw>
          </a:effectLst>
        </cx:sp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_xlchart.v2.7</cx:f>
      </cx:strDim>
      <cx:numDim type="val">
        <cx:f dir="row">_xlchart.v2.6</cx:f>
      </cx:numDim>
    </cx:data>
  </cx:chartData>
  <cx:chart>
    <cx:title pos="t" align="ctr" overlay="0">
      <cx:tx>
        <cx:txData>
          <cx:v>Dividend Yeild</cx:v>
        </cx:txData>
      </cx:tx>
      <cx:txPr>
        <a:bodyPr spcFirstLastPara="1" vertOverflow="ellipsis" horzOverflow="overflow" wrap="square" lIns="0" tIns="0" rIns="0" bIns="0" anchor="ctr" anchorCtr="1"/>
        <a:lstStyle/>
        <a:p>
          <a:pPr algn="ctr" rtl="0">
            <a:defRPr sz="1050" b="1" i="1" u="none"/>
          </a:pPr>
          <a:r>
            <a:rPr lang="en-US" sz="1050" b="1" i="1" u="none" strike="noStrike" baseline="0">
              <a:solidFill>
                <a:sysClr val="windowText" lastClr="000000">
                  <a:lumMod val="65000"/>
                  <a:lumOff val="35000"/>
                </a:sysClr>
              </a:solidFill>
              <a:latin typeface="Calibri" panose="020F0502020204030204"/>
            </a:rPr>
            <a:t>Dividend Yeild</a:t>
          </a:r>
        </a:p>
      </cx:txPr>
    </cx:title>
    <cx:plotArea>
      <cx:plotAreaRegion>
        <cx:series layoutId="funnel" uniqueId="{9A841390-5B11-4260-8B64-7778DD8E53B1}">
          <cx:spPr>
            <a:solidFill>
              <a:srgbClr val="FFFF00"/>
            </a:solidFill>
            <a:ln>
              <a:solidFill>
                <a:schemeClr val="tx1"/>
              </a:solidFill>
            </a:ln>
            <a:effectLst>
              <a:innerShdw blurRad="101600">
                <a:prstClr val="black"/>
              </a:innerShdw>
            </a:effectLst>
          </cx:spPr>
          <cx:dataLabels>
            <cx:txPr>
              <a:bodyPr spcFirstLastPara="1" vertOverflow="ellipsis" horzOverflow="overflow" wrap="square" lIns="0" tIns="0" rIns="0" bIns="0" anchor="ctr" anchorCtr="1"/>
              <a:lstStyle/>
              <a:p>
                <a:pPr algn="ctr" rtl="0">
                  <a:defRPr sz="1050" b="1" i="1"/>
                </a:pPr>
                <a:endParaRPr lang="en-US" sz="1050" b="1" i="1"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numFmt formatCode="yyyy" sourceLinked="0"/>
        <cx:spPr>
          <a:ln>
            <a:solidFill>
              <a:schemeClr val="bg1">
                <a:lumMod val="95000"/>
              </a:schemeClr>
            </a:solidFill>
          </a:ln>
          <a:effectLst>
            <a:outerShdw blurRad="50800" dist="38100" dir="5400000" algn="t" rotWithShape="0">
              <a:prstClr val="black">
                <a:alpha val="40000"/>
              </a:prstClr>
            </a:outerShdw>
          </a:effectLst>
        </cx:sp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sz="1050" b="1" i="1"/>
          </a:pPr>
          <a:r>
            <a:rPr lang="en-US" sz="1050" b="1" i="1" u="none" strike="noStrike" baseline="0">
              <a:solidFill>
                <a:sysClr val="windowText" lastClr="000000">
                  <a:lumMod val="65000"/>
                  <a:lumOff val="35000"/>
                </a:sysClr>
              </a:solidFill>
              <a:latin typeface="Calibri" panose="020F0502020204030204"/>
            </a:rPr>
            <a:t>Daily Returns Distribution</a:t>
          </a:r>
        </a:p>
      </cx:txPr>
    </cx:title>
    <cx:plotArea>
      <cx:plotAreaRegion>
        <cx:series layoutId="clusteredColumn" uniqueId="{C8835C53-0DAB-466C-8287-9BA0ADE8C39B}">
          <cx:spPr>
            <a:solidFill>
              <a:srgbClr val="FFFF00"/>
            </a:solidFill>
            <a:ln>
              <a:solidFill>
                <a:schemeClr val="tx1"/>
              </a:solidFill>
            </a:ln>
            <a:effectLst>
              <a:innerShdw blurRad="63500" dist="50800" dir="18900000">
                <a:prstClr val="black">
                  <a:alpha val="50000"/>
                </a:prstClr>
              </a:innerShdw>
            </a:effectLst>
          </cx:spPr>
          <cx:dataId val="0"/>
          <cx:layoutPr>
            <cx:binning intervalClosed="r"/>
          </cx:layoutPr>
        </cx:series>
      </cx:plotAreaRegion>
      <cx:axis id="0">
        <cx:catScaling gapWidth="0.200000003"/>
        <cx:tickLabels/>
        <cx:spPr>
          <a:ln>
            <a:solidFill>
              <a:schemeClr val="bg1">
                <a:lumMod val="95000"/>
              </a:schemeClr>
            </a:solidFill>
          </a:ln>
          <a:effectLst>
            <a:outerShdw blurRad="50800" dist="38100" dir="5400000" algn="t" rotWithShape="0">
              <a:prstClr val="black">
                <a:alpha val="40000"/>
              </a:prstClr>
            </a:outerShdw>
          </a:effectLst>
        </cx:spPr>
      </cx:axis>
      <cx:axis id="1">
        <cx:valScaling/>
        <cx:majorGridlines>
          <cx:spPr>
            <a:ln>
              <a:noFill/>
            </a:ln>
          </cx:spPr>
        </cx:majorGridlines>
        <cx:tickLabels/>
        <cx:spPr>
          <a:ln>
            <a:solidFill>
              <a:schemeClr val="bg1">
                <a:lumMod val="95000"/>
              </a:schemeClr>
            </a:solidFill>
          </a:ln>
          <a:effectLst>
            <a:outerShdw blurRad="50800" dist="38100" dir="5400000" algn="t" rotWithShape="0">
              <a:prstClr val="black">
                <a:alpha val="40000"/>
              </a:prstClr>
            </a:outerShdw>
          </a:effectLst>
        </cx:sp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jpg"/></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9.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image" Target="../media/image8.png"/><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chart" Target="../charts/chart8.xml"/><Relationship Id="rId9" Type="http://schemas.microsoft.com/office/2014/relationships/chartEx" Target="../charts/chartEx1.xml"/></Relationships>
</file>

<file path=xl/drawings/_rels/drawing2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8.png"/></Relationships>
</file>

<file path=xl/drawings/_rels/drawing25.xml.rels><?xml version="1.0" encoding="UTF-8" standalone="yes"?>
<Relationships xmlns="http://schemas.openxmlformats.org/package/2006/relationships"><Relationship Id="rId1" Type="http://schemas.openxmlformats.org/officeDocument/2006/relationships/image" Target="../media/image8.png"/></Relationships>
</file>

<file path=xl/drawings/_rels/drawing26.xml.rels><?xml version="1.0" encoding="UTF-8" standalone="yes"?>
<Relationships xmlns="http://schemas.openxmlformats.org/package/2006/relationships"><Relationship Id="rId1" Type="http://schemas.openxmlformats.org/officeDocument/2006/relationships/image" Target="../media/image8.png"/></Relationships>
</file>

<file path=xl/drawings/_rels/drawing27.xml.rels><?xml version="1.0" encoding="UTF-8" standalone="yes"?>
<Relationships xmlns="http://schemas.openxmlformats.org/package/2006/relationships"><Relationship Id="rId1" Type="http://schemas.openxmlformats.org/officeDocument/2006/relationships/image" Target="../media/image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8.png"/></Relationships>
</file>

<file path=xl/drawings/_rels/drawing29.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8.png"/><Relationship Id="rId4" Type="http://schemas.openxmlformats.org/officeDocument/2006/relationships/chart" Target="../charts/chart15.xml"/></Relationships>
</file>

<file path=xl/drawings/_rels/drawing3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31.xml.rels><?xml version="1.0" encoding="UTF-8" standalone="yes"?>
<Relationships xmlns="http://schemas.openxmlformats.org/package/2006/relationships"><Relationship Id="rId1" Type="http://schemas.openxmlformats.org/officeDocument/2006/relationships/image" Target="../media/image8.png"/></Relationships>
</file>

<file path=xl/drawings/_rels/drawing3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chart" Target="../charts/chart18.xml"/><Relationship Id="rId7" Type="http://schemas.openxmlformats.org/officeDocument/2006/relationships/chart" Target="../charts/chart21.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0.xml"/><Relationship Id="rId5" Type="http://schemas.microsoft.com/office/2014/relationships/chartEx" Target="../charts/chartEx3.xml"/><Relationship Id="rId4" Type="http://schemas.openxmlformats.org/officeDocument/2006/relationships/chart" Target="../charts/chart19.xml"/></Relationships>
</file>

<file path=xl/drawings/_rels/drawing33.xml.rels><?xml version="1.0" encoding="UTF-8" standalone="yes"?>
<Relationships xmlns="http://schemas.openxmlformats.org/package/2006/relationships"><Relationship Id="rId2" Type="http://schemas.microsoft.com/office/2014/relationships/chartEx" Target="../charts/chartEx4.xml"/><Relationship Id="rId1" Type="http://schemas.openxmlformats.org/officeDocument/2006/relationships/image" Target="../media/image8.png"/></Relationships>
</file>

<file path=xl/drawings/_rels/drawing34.xml.rels><?xml version="1.0" encoding="UTF-8" standalone="yes"?>
<Relationships xmlns="http://schemas.openxmlformats.org/package/2006/relationships"><Relationship Id="rId1" Type="http://schemas.openxmlformats.org/officeDocument/2006/relationships/image" Target="../media/image8.png"/></Relationships>
</file>

<file path=xl/drawings/_rels/drawing35.xml.rels><?xml version="1.0" encoding="UTF-8" standalone="yes"?>
<Relationships xmlns="http://schemas.openxmlformats.org/package/2006/relationships"><Relationship Id="rId1" Type="http://schemas.openxmlformats.org/officeDocument/2006/relationships/image" Target="../media/image8.png"/></Relationships>
</file>

<file path=xl/drawings/_rels/drawing36.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image" Target="../media/image8.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3.jpg"/></Relationships>
</file>

<file path=xl/drawings/_rels/drawing38.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5.jpeg"/><Relationship Id="rId1" Type="http://schemas.openxmlformats.org/officeDocument/2006/relationships/image" Target="../media/image14.jpg"/></Relationships>
</file>

<file path=xl/drawings/_rels/drawing39.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g"/><Relationship Id="rId1" Type="http://schemas.openxmlformats.org/officeDocument/2006/relationships/image" Target="../media/image8.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41.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image" Target="../media/image19.png"/></Relationships>
</file>

<file path=xl/drawings/_rels/drawing42.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jpeg"/><Relationship Id="rId5" Type="http://schemas.openxmlformats.org/officeDocument/2006/relationships/image" Target="../media/image24.jpeg"/><Relationship Id="rId4" Type="http://schemas.openxmlformats.org/officeDocument/2006/relationships/image" Target="../media/image23.jpeg"/></Relationships>
</file>

<file path=xl/drawings/_rels/drawing43.xml.rels><?xml version="1.0" encoding="UTF-8" standalone="yes"?>
<Relationships xmlns="http://schemas.openxmlformats.org/package/2006/relationships"><Relationship Id="rId3" Type="http://schemas.openxmlformats.org/officeDocument/2006/relationships/image" Target="../media/image27.jpeg"/><Relationship Id="rId2" Type="http://schemas.openxmlformats.org/officeDocument/2006/relationships/image" Target="../media/image26.jpeg"/><Relationship Id="rId1" Type="http://schemas.openxmlformats.org/officeDocument/2006/relationships/image" Target="../media/image20.png"/><Relationship Id="rId5" Type="http://schemas.openxmlformats.org/officeDocument/2006/relationships/image" Target="../media/image29.jpeg"/><Relationship Id="rId4" Type="http://schemas.openxmlformats.org/officeDocument/2006/relationships/image" Target="../media/image28.jpeg"/></Relationships>
</file>

<file path=xl/drawings/_rels/drawing4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jpeg"/><Relationship Id="rId1" Type="http://schemas.openxmlformats.org/officeDocument/2006/relationships/image" Target="../media/image30.png"/><Relationship Id="rId4" Type="http://schemas.openxmlformats.org/officeDocument/2006/relationships/chart" Target="../charts/chart25.xml"/></Relationships>
</file>

<file path=xl/drawings/_rels/drawing4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6.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7.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image" Target="../media/image20.png"/><Relationship Id="rId6" Type="http://schemas.openxmlformats.org/officeDocument/2006/relationships/chart" Target="../charts/chart30.xml"/><Relationship Id="rId5" Type="http://schemas.openxmlformats.org/officeDocument/2006/relationships/chart" Target="../charts/chart29.xml"/><Relationship Id="rId4" Type="http://schemas.openxmlformats.org/officeDocument/2006/relationships/chart" Target="../charts/chart28.xml"/></Relationships>
</file>

<file path=xl/drawings/_rels/drawing48.xml.rels><?xml version="1.0" encoding="UTF-8" standalone="yes"?>
<Relationships xmlns="http://schemas.openxmlformats.org/package/2006/relationships"><Relationship Id="rId1" Type="http://schemas.openxmlformats.org/officeDocument/2006/relationships/image" Target="../media/image30.png"/></Relationships>
</file>

<file path=xl/drawings/_rels/drawing4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50.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image" Target="../media/image20.png"/></Relationships>
</file>

<file path=xl/drawings/_rels/drawing51.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100584</xdr:rowOff>
    </xdr:from>
    <xdr:to>
      <xdr:col>8</xdr:col>
      <xdr:colOff>0</xdr:colOff>
      <xdr:row>17</xdr:row>
      <xdr:rowOff>167640</xdr:rowOff>
    </xdr:to>
    <xdr:pic>
      <xdr:nvPicPr>
        <xdr:cNvPr id="3" name="Picture 2">
          <a:extLst>
            <a:ext uri="{FF2B5EF4-FFF2-40B4-BE49-F238E27FC236}">
              <a16:creationId xmlns:a16="http://schemas.microsoft.com/office/drawing/2014/main" xmlns="" id="{FDDED9F7-D898-DCEF-B767-71E2C531F58A}"/>
            </a:ext>
          </a:extLst>
        </xdr:cNvPr>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0" y="283464"/>
          <a:ext cx="4876800" cy="3008376"/>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xdr:col>
      <xdr:colOff>304800</xdr:colOff>
      <xdr:row>6</xdr:row>
      <xdr:rowOff>304800</xdr:rowOff>
    </xdr:to>
    <xdr:sp macro="" textlink="">
      <xdr:nvSpPr>
        <xdr:cNvPr id="1025" name="AutoShape 1" descr="Siemens PNG Images - CleanPNG">
          <a:extLst>
            <a:ext uri="{FF2B5EF4-FFF2-40B4-BE49-F238E27FC236}">
              <a16:creationId xmlns:a16="http://schemas.microsoft.com/office/drawing/2014/main" xmlns="" id="{C5B6434E-FC6A-0A61-4762-349009D1B8B4}"/>
            </a:ext>
          </a:extLst>
        </xdr:cNvPr>
        <xdr:cNvSpPr>
          <a:spLocks noChangeAspect="1" noChangeArrowheads="1"/>
        </xdr:cNvSpPr>
      </xdr:nvSpPr>
      <xdr:spPr bwMode="auto">
        <a:xfrm>
          <a:off x="137160" y="10591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94559</xdr:colOff>
      <xdr:row>5</xdr:row>
      <xdr:rowOff>38101</xdr:rowOff>
    </xdr:from>
    <xdr:to>
      <xdr:col>1</xdr:col>
      <xdr:colOff>2962274</xdr:colOff>
      <xdr:row>6</xdr:row>
      <xdr:rowOff>914400</xdr:rowOff>
    </xdr:to>
    <xdr:pic>
      <xdr:nvPicPr>
        <xdr:cNvPr id="8" name="Picture 7">
          <a:extLst>
            <a:ext uri="{FF2B5EF4-FFF2-40B4-BE49-F238E27FC236}">
              <a16:creationId xmlns:a16="http://schemas.microsoft.com/office/drawing/2014/main" xmlns="" id="{0FB53DF1-7969-86D9-33A1-76E8CD93434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559" y="1076326"/>
          <a:ext cx="3001065" cy="962024"/>
        </a:xfrm>
        <a:prstGeom prst="rect">
          <a:avLst/>
        </a:prstGeom>
        <a:ln>
          <a:noFill/>
        </a:ln>
        <a:effectLst>
          <a:softEdge rad="112500"/>
        </a:effectLst>
      </xdr:spPr>
    </xdr:pic>
    <xdr:clientData/>
  </xdr:twoCellAnchor>
  <xdr:twoCellAnchor editAs="oneCell">
    <xdr:from>
      <xdr:col>8</xdr:col>
      <xdr:colOff>104775</xdr:colOff>
      <xdr:row>0</xdr:row>
      <xdr:rowOff>0</xdr:rowOff>
    </xdr:from>
    <xdr:to>
      <xdr:col>11</xdr:col>
      <xdr:colOff>9524</xdr:colOff>
      <xdr:row>3</xdr:row>
      <xdr:rowOff>3174</xdr:rowOff>
    </xdr:to>
    <xdr:pic>
      <xdr:nvPicPr>
        <xdr:cNvPr id="3" name="Picture 2">
          <a:extLst>
            <a:ext uri="{FF2B5EF4-FFF2-40B4-BE49-F238E27FC236}">
              <a16:creationId xmlns:a16="http://schemas.microsoft.com/office/drawing/2014/main" xmlns="" id="{E8EB12D9-8F26-4D47-B4CD-B237BBAA74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067800" y="0"/>
          <a:ext cx="2343149" cy="676274"/>
        </a:xfrm>
        <a:prstGeom prst="rect">
          <a:avLst/>
        </a:prstGeom>
        <a:ln>
          <a:noFill/>
        </a:ln>
        <a:effectLst>
          <a:softEdge rad="112500"/>
        </a:effectLst>
      </xdr:spPr>
    </xdr:pic>
    <xdr:clientData/>
  </xdr:twoCellAnchor>
  <xdr:twoCellAnchor>
    <xdr:from>
      <xdr:col>5</xdr:col>
      <xdr:colOff>57149</xdr:colOff>
      <xdr:row>34</xdr:row>
      <xdr:rowOff>38100</xdr:rowOff>
    </xdr:from>
    <xdr:to>
      <xdr:col>6</xdr:col>
      <xdr:colOff>1142999</xdr:colOff>
      <xdr:row>43</xdr:row>
      <xdr:rowOff>142874</xdr:rowOff>
    </xdr:to>
    <xdr:graphicFrame macro="">
      <xdr:nvGraphicFramePr>
        <xdr:cNvPr id="6" name="Chart 5">
          <a:extLst>
            <a:ext uri="{FF2B5EF4-FFF2-40B4-BE49-F238E27FC236}">
              <a16:creationId xmlns:a16="http://schemas.microsoft.com/office/drawing/2014/main" xmlns="" id="{65C69EA7-A412-576E-502D-8BFE234A12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87084</xdr:colOff>
      <xdr:row>9</xdr:row>
      <xdr:rowOff>54428</xdr:rowOff>
    </xdr:from>
    <xdr:to>
      <xdr:col>11</xdr:col>
      <xdr:colOff>0</xdr:colOff>
      <xdr:row>20</xdr:row>
      <xdr:rowOff>0</xdr:rowOff>
    </xdr:to>
    <xdr:graphicFrame macro="">
      <xdr:nvGraphicFramePr>
        <xdr:cNvPr id="7" name="Chart 6">
          <a:extLst>
            <a:ext uri="{FF2B5EF4-FFF2-40B4-BE49-F238E27FC236}">
              <a16:creationId xmlns:a16="http://schemas.microsoft.com/office/drawing/2014/main" xmlns="" id="{15DAF6E4-2E47-4F80-A96B-4A51356B8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87085</xdr:colOff>
      <xdr:row>23</xdr:row>
      <xdr:rowOff>65315</xdr:rowOff>
    </xdr:from>
    <xdr:to>
      <xdr:col>10</xdr:col>
      <xdr:colOff>1143001</xdr:colOff>
      <xdr:row>30</xdr:row>
      <xdr:rowOff>10885</xdr:rowOff>
    </xdr:to>
    <xdr:graphicFrame macro="">
      <xdr:nvGraphicFramePr>
        <xdr:cNvPr id="9" name="Chart 8">
          <a:extLst>
            <a:ext uri="{FF2B5EF4-FFF2-40B4-BE49-F238E27FC236}">
              <a16:creationId xmlns:a16="http://schemas.microsoft.com/office/drawing/2014/main" xmlns="" id="{2BF7F024-16D2-4306-A98B-0654A8E78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89647</xdr:colOff>
      <xdr:row>33</xdr:row>
      <xdr:rowOff>11207</xdr:rowOff>
    </xdr:from>
    <xdr:to>
      <xdr:col>11</xdr:col>
      <xdr:colOff>11206</xdr:colOff>
      <xdr:row>44</xdr:row>
      <xdr:rowOff>11206</xdr:rowOff>
    </xdr:to>
    <xdr:graphicFrame macro="">
      <xdr:nvGraphicFramePr>
        <xdr:cNvPr id="2" name="Chart 1">
          <a:extLst>
            <a:ext uri="{FF2B5EF4-FFF2-40B4-BE49-F238E27FC236}">
              <a16:creationId xmlns:a16="http://schemas.microsoft.com/office/drawing/2014/main" xmlns="" id="{EE72EE80-E526-4F34-A3A3-5FA4EC4A5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91441</xdr:rowOff>
    </xdr:from>
    <xdr:to>
      <xdr:col>9</xdr:col>
      <xdr:colOff>0</xdr:colOff>
      <xdr:row>18</xdr:row>
      <xdr:rowOff>83820</xdr:rowOff>
    </xdr:to>
    <xdr:pic>
      <xdr:nvPicPr>
        <xdr:cNvPr id="3" name="Picture 2">
          <a:extLst>
            <a:ext uri="{FF2B5EF4-FFF2-40B4-BE49-F238E27FC236}">
              <a16:creationId xmlns:a16="http://schemas.microsoft.com/office/drawing/2014/main" xmlns="" id="{3627B713-91B2-6D38-EE4E-3989FF0793F4}"/>
            </a:ext>
          </a:extLst>
        </xdr:cNvPr>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0" y="274321"/>
          <a:ext cx="5486400" cy="3101339"/>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25</xdr:col>
      <xdr:colOff>1110342</xdr:colOff>
      <xdr:row>0</xdr:row>
      <xdr:rowOff>0</xdr:rowOff>
    </xdr:from>
    <xdr:to>
      <xdr:col>27</xdr:col>
      <xdr:colOff>1145720</xdr:colOff>
      <xdr:row>3</xdr:row>
      <xdr:rowOff>1360</xdr:rowOff>
    </xdr:to>
    <xdr:pic>
      <xdr:nvPicPr>
        <xdr:cNvPr id="2" name="Picture 1">
          <a:extLst>
            <a:ext uri="{FF2B5EF4-FFF2-40B4-BE49-F238E27FC236}">
              <a16:creationId xmlns:a16="http://schemas.microsoft.com/office/drawing/2014/main" xmlns="" id="{F83F0F27-1446-4069-B09A-E465B5E53EB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86771" y="0"/>
          <a:ext cx="2343149" cy="676274"/>
        </a:xfrm>
        <a:prstGeom prst="rect">
          <a:avLst/>
        </a:prstGeom>
        <a:ln>
          <a:noFill/>
        </a:ln>
        <a:effectLst>
          <a:softEdge rad="112500"/>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25</xdr:col>
      <xdr:colOff>1121228</xdr:colOff>
      <xdr:row>0</xdr:row>
      <xdr:rowOff>0</xdr:rowOff>
    </xdr:from>
    <xdr:to>
      <xdr:col>28</xdr:col>
      <xdr:colOff>2720</xdr:colOff>
      <xdr:row>3</xdr:row>
      <xdr:rowOff>1360</xdr:rowOff>
    </xdr:to>
    <xdr:pic>
      <xdr:nvPicPr>
        <xdr:cNvPr id="2" name="Picture 1">
          <a:extLst>
            <a:ext uri="{FF2B5EF4-FFF2-40B4-BE49-F238E27FC236}">
              <a16:creationId xmlns:a16="http://schemas.microsoft.com/office/drawing/2014/main" xmlns="" id="{50052C59-4003-48D1-B3EE-D4C9B00AE6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97657" y="0"/>
          <a:ext cx="2343149" cy="676274"/>
        </a:xfrm>
        <a:prstGeom prst="rect">
          <a:avLst/>
        </a:prstGeom>
        <a:ln>
          <a:noFill/>
        </a:ln>
        <a:effectLst>
          <a:softEdge rad="112500"/>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25</xdr:col>
      <xdr:colOff>1110342</xdr:colOff>
      <xdr:row>0</xdr:row>
      <xdr:rowOff>0</xdr:rowOff>
    </xdr:from>
    <xdr:to>
      <xdr:col>27</xdr:col>
      <xdr:colOff>1145720</xdr:colOff>
      <xdr:row>3</xdr:row>
      <xdr:rowOff>1360</xdr:rowOff>
    </xdr:to>
    <xdr:pic>
      <xdr:nvPicPr>
        <xdr:cNvPr id="2" name="Picture 1">
          <a:extLst>
            <a:ext uri="{FF2B5EF4-FFF2-40B4-BE49-F238E27FC236}">
              <a16:creationId xmlns:a16="http://schemas.microsoft.com/office/drawing/2014/main" xmlns="" id="{20B72888-4970-4A5C-A940-C838B1A4C7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86771" y="0"/>
          <a:ext cx="2343149" cy="676274"/>
        </a:xfrm>
        <a:prstGeom prst="rect">
          <a:avLst/>
        </a:prstGeom>
        <a:ln>
          <a:noFill/>
        </a:ln>
        <a:effectLst>
          <a:softEdge rad="112500"/>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1110343</xdr:colOff>
      <xdr:row>0</xdr:row>
      <xdr:rowOff>0</xdr:rowOff>
    </xdr:from>
    <xdr:to>
      <xdr:col>12</xdr:col>
      <xdr:colOff>1145721</xdr:colOff>
      <xdr:row>3</xdr:row>
      <xdr:rowOff>1360</xdr:rowOff>
    </xdr:to>
    <xdr:pic>
      <xdr:nvPicPr>
        <xdr:cNvPr id="3" name="Picture 2">
          <a:extLst>
            <a:ext uri="{FF2B5EF4-FFF2-40B4-BE49-F238E27FC236}">
              <a16:creationId xmlns:a16="http://schemas.microsoft.com/office/drawing/2014/main" xmlns="" id="{F1A5F9E8-AF2A-4CF9-9AE2-F6F31DF3E8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27972" y="0"/>
          <a:ext cx="2343149" cy="676274"/>
        </a:xfrm>
        <a:prstGeom prst="rect">
          <a:avLst/>
        </a:prstGeom>
        <a:ln>
          <a:noFill/>
        </a:ln>
        <a:effectLst>
          <a:softEdge rad="112500"/>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25</xdr:col>
      <xdr:colOff>1121228</xdr:colOff>
      <xdr:row>0</xdr:row>
      <xdr:rowOff>0</xdr:rowOff>
    </xdr:from>
    <xdr:to>
      <xdr:col>28</xdr:col>
      <xdr:colOff>5441</xdr:colOff>
      <xdr:row>3</xdr:row>
      <xdr:rowOff>7256</xdr:rowOff>
    </xdr:to>
    <xdr:pic>
      <xdr:nvPicPr>
        <xdr:cNvPr id="2" name="Picture 1">
          <a:extLst>
            <a:ext uri="{FF2B5EF4-FFF2-40B4-BE49-F238E27FC236}">
              <a16:creationId xmlns:a16="http://schemas.microsoft.com/office/drawing/2014/main" xmlns="" id="{2A66AE0F-A0F6-494D-8676-8BCB341BCB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97657" y="0"/>
          <a:ext cx="2345870" cy="674913"/>
        </a:xfrm>
        <a:prstGeom prst="rect">
          <a:avLst/>
        </a:prstGeom>
        <a:ln>
          <a:noFill/>
        </a:ln>
        <a:effectLst>
          <a:softEdge rad="112500"/>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25</xdr:col>
      <xdr:colOff>990600</xdr:colOff>
      <xdr:row>0</xdr:row>
      <xdr:rowOff>0</xdr:rowOff>
    </xdr:from>
    <xdr:to>
      <xdr:col>27</xdr:col>
      <xdr:colOff>1143000</xdr:colOff>
      <xdr:row>3</xdr:row>
      <xdr:rowOff>1360</xdr:rowOff>
    </xdr:to>
    <xdr:pic>
      <xdr:nvPicPr>
        <xdr:cNvPr id="2" name="Picture 1">
          <a:extLst>
            <a:ext uri="{FF2B5EF4-FFF2-40B4-BE49-F238E27FC236}">
              <a16:creationId xmlns:a16="http://schemas.microsoft.com/office/drawing/2014/main" xmlns="" id="{9A7633BD-2047-4841-A4F0-80AFDEDB3A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667029" y="0"/>
          <a:ext cx="2460171" cy="676274"/>
        </a:xfrm>
        <a:prstGeom prst="rect">
          <a:avLst/>
        </a:prstGeom>
        <a:ln>
          <a:noFill/>
        </a:ln>
        <a:effectLst>
          <a:softEdge rad="112500"/>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1121227</xdr:colOff>
      <xdr:row>0</xdr:row>
      <xdr:rowOff>0</xdr:rowOff>
    </xdr:from>
    <xdr:to>
      <xdr:col>15</xdr:col>
      <xdr:colOff>5440</xdr:colOff>
      <xdr:row>3</xdr:row>
      <xdr:rowOff>7256</xdr:rowOff>
    </xdr:to>
    <xdr:pic>
      <xdr:nvPicPr>
        <xdr:cNvPr id="2" name="Picture 1">
          <a:extLst>
            <a:ext uri="{FF2B5EF4-FFF2-40B4-BE49-F238E27FC236}">
              <a16:creationId xmlns:a16="http://schemas.microsoft.com/office/drawing/2014/main" xmlns="" id="{3EEB26F5-5D7D-46E8-B37E-99DD6611BA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62513" y="0"/>
          <a:ext cx="2345870" cy="674913"/>
        </a:xfrm>
        <a:prstGeom prst="rect">
          <a:avLst/>
        </a:prstGeom>
        <a:ln>
          <a:noFill/>
        </a:ln>
        <a:effectLst>
          <a:softEdge rad="112500"/>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25</xdr:col>
      <xdr:colOff>1110342</xdr:colOff>
      <xdr:row>0</xdr:row>
      <xdr:rowOff>0</xdr:rowOff>
    </xdr:from>
    <xdr:to>
      <xdr:col>27</xdr:col>
      <xdr:colOff>1148441</xdr:colOff>
      <xdr:row>3</xdr:row>
      <xdr:rowOff>7256</xdr:rowOff>
    </xdr:to>
    <xdr:pic>
      <xdr:nvPicPr>
        <xdr:cNvPr id="2" name="Picture 1">
          <a:extLst>
            <a:ext uri="{FF2B5EF4-FFF2-40B4-BE49-F238E27FC236}">
              <a16:creationId xmlns:a16="http://schemas.microsoft.com/office/drawing/2014/main" xmlns="" id="{9FA91951-414C-4460-9FAF-C17F3843CC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86771" y="0"/>
          <a:ext cx="2345870" cy="674913"/>
        </a:xfrm>
        <a:prstGeom prst="rect">
          <a:avLst/>
        </a:prstGeom>
        <a:ln>
          <a:noFill/>
        </a:ln>
        <a:effectLst>
          <a:softEdge rad="112500"/>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25</xdr:col>
      <xdr:colOff>1110342</xdr:colOff>
      <xdr:row>0</xdr:row>
      <xdr:rowOff>0</xdr:rowOff>
    </xdr:from>
    <xdr:to>
      <xdr:col>27</xdr:col>
      <xdr:colOff>1148441</xdr:colOff>
      <xdr:row>3</xdr:row>
      <xdr:rowOff>7256</xdr:rowOff>
    </xdr:to>
    <xdr:pic>
      <xdr:nvPicPr>
        <xdr:cNvPr id="2" name="Picture 1">
          <a:extLst>
            <a:ext uri="{FF2B5EF4-FFF2-40B4-BE49-F238E27FC236}">
              <a16:creationId xmlns:a16="http://schemas.microsoft.com/office/drawing/2014/main" xmlns="" id="{60099DA2-EC05-453C-A4AD-BD1E30D03F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86771" y="0"/>
          <a:ext cx="2345870" cy="682170"/>
        </a:xfrm>
        <a:prstGeom prst="rect">
          <a:avLst/>
        </a:prstGeom>
        <a:ln>
          <a:noFill/>
        </a:ln>
        <a:effectLst>
          <a:softEdge rad="112500"/>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25</xdr:col>
      <xdr:colOff>1110342</xdr:colOff>
      <xdr:row>0</xdr:row>
      <xdr:rowOff>0</xdr:rowOff>
    </xdr:from>
    <xdr:to>
      <xdr:col>27</xdr:col>
      <xdr:colOff>1148441</xdr:colOff>
      <xdr:row>3</xdr:row>
      <xdr:rowOff>7256</xdr:rowOff>
    </xdr:to>
    <xdr:pic>
      <xdr:nvPicPr>
        <xdr:cNvPr id="2" name="Picture 1">
          <a:extLst>
            <a:ext uri="{FF2B5EF4-FFF2-40B4-BE49-F238E27FC236}">
              <a16:creationId xmlns:a16="http://schemas.microsoft.com/office/drawing/2014/main" xmlns="" id="{707FCB95-3BF4-473A-BB5E-FFB6226195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786771" y="0"/>
          <a:ext cx="2345870" cy="682170"/>
        </a:xfrm>
        <a:prstGeom prst="rect">
          <a:avLst/>
        </a:prstGeom>
        <a:ln>
          <a:noFill/>
        </a:ln>
        <a:effectLst>
          <a:softEdge rad="112500"/>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91440</xdr:rowOff>
    </xdr:from>
    <xdr:to>
      <xdr:col>9</xdr:col>
      <xdr:colOff>0</xdr:colOff>
      <xdr:row>18</xdr:row>
      <xdr:rowOff>0</xdr:rowOff>
    </xdr:to>
    <xdr:pic>
      <xdr:nvPicPr>
        <xdr:cNvPr id="3" name="Picture 2">
          <a:extLst>
            <a:ext uri="{FF2B5EF4-FFF2-40B4-BE49-F238E27FC236}">
              <a16:creationId xmlns:a16="http://schemas.microsoft.com/office/drawing/2014/main" xmlns="" id="{32A823C4-826A-BFA4-BD96-82D23437C23B}"/>
            </a:ext>
          </a:extLst>
        </xdr:cNvPr>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0" y="274320"/>
          <a:ext cx="5486400" cy="3017520"/>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11</xdr:col>
      <xdr:colOff>1114425</xdr:colOff>
      <xdr:row>0</xdr:row>
      <xdr:rowOff>9526</xdr:rowOff>
    </xdr:from>
    <xdr:to>
      <xdr:col>13</xdr:col>
      <xdr:colOff>1152524</xdr:colOff>
      <xdr:row>3</xdr:row>
      <xdr:rowOff>9525</xdr:rowOff>
    </xdr:to>
    <xdr:pic>
      <xdr:nvPicPr>
        <xdr:cNvPr id="12" name="Picture 11">
          <a:extLst>
            <a:ext uri="{FF2B5EF4-FFF2-40B4-BE49-F238E27FC236}">
              <a16:creationId xmlns:a16="http://schemas.microsoft.com/office/drawing/2014/main" xmlns="" id="{3A4DF96A-40AD-45B5-A793-B40E039BF8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15875" y="9526"/>
          <a:ext cx="2343149" cy="676274"/>
        </a:xfrm>
        <a:prstGeom prst="rect">
          <a:avLst/>
        </a:prstGeom>
        <a:ln>
          <a:noFill/>
        </a:ln>
        <a:effectLst>
          <a:softEdge rad="112500"/>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11</xdr:col>
      <xdr:colOff>990600</xdr:colOff>
      <xdr:row>0</xdr:row>
      <xdr:rowOff>9525</xdr:rowOff>
    </xdr:from>
    <xdr:to>
      <xdr:col>13</xdr:col>
      <xdr:colOff>1143000</xdr:colOff>
      <xdr:row>3</xdr:row>
      <xdr:rowOff>10885</xdr:rowOff>
    </xdr:to>
    <xdr:pic>
      <xdr:nvPicPr>
        <xdr:cNvPr id="2" name="Picture 1">
          <a:extLst>
            <a:ext uri="{FF2B5EF4-FFF2-40B4-BE49-F238E27FC236}">
              <a16:creationId xmlns:a16="http://schemas.microsoft.com/office/drawing/2014/main" xmlns="" id="{9B8D1E53-76AD-4950-A5DE-BC85B7DA72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58750" y="9525"/>
          <a:ext cx="2457450" cy="677635"/>
        </a:xfrm>
        <a:prstGeom prst="rect">
          <a:avLst/>
        </a:prstGeom>
        <a:ln>
          <a:noFill/>
        </a:ln>
        <a:effectLst>
          <a:softEdge rad="112500"/>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11</xdr:col>
      <xdr:colOff>1123950</xdr:colOff>
      <xdr:row>0</xdr:row>
      <xdr:rowOff>0</xdr:rowOff>
    </xdr:from>
    <xdr:to>
      <xdr:col>14</xdr:col>
      <xdr:colOff>1</xdr:colOff>
      <xdr:row>2</xdr:row>
      <xdr:rowOff>142875</xdr:rowOff>
    </xdr:to>
    <xdr:pic>
      <xdr:nvPicPr>
        <xdr:cNvPr id="4" name="Picture 3">
          <a:extLst>
            <a:ext uri="{FF2B5EF4-FFF2-40B4-BE49-F238E27FC236}">
              <a16:creationId xmlns:a16="http://schemas.microsoft.com/office/drawing/2014/main" xmlns="" id="{D279E2E9-D381-45D0-9313-4C54C9B97F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658725" y="0"/>
          <a:ext cx="2333626" cy="619125"/>
        </a:xfrm>
        <a:prstGeom prst="rect">
          <a:avLst/>
        </a:prstGeom>
        <a:ln>
          <a:noFill/>
        </a:ln>
        <a:effectLst>
          <a:softEdge rad="112500"/>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1127760</xdr:colOff>
      <xdr:row>0</xdr:row>
      <xdr:rowOff>7620</xdr:rowOff>
    </xdr:from>
    <xdr:to>
      <xdr:col>6</xdr:col>
      <xdr:colOff>1144906</xdr:colOff>
      <xdr:row>2</xdr:row>
      <xdr:rowOff>161925</xdr:rowOff>
    </xdr:to>
    <xdr:pic>
      <xdr:nvPicPr>
        <xdr:cNvPr id="2" name="Picture 1">
          <a:extLst>
            <a:ext uri="{FF2B5EF4-FFF2-40B4-BE49-F238E27FC236}">
              <a16:creationId xmlns:a16="http://schemas.microsoft.com/office/drawing/2014/main" xmlns="" id="{3C489AC6-DB8E-4ACC-8A5A-16DB86AEB9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37020" y="7620"/>
          <a:ext cx="2318386" cy="649605"/>
        </a:xfrm>
        <a:prstGeom prst="rect">
          <a:avLst/>
        </a:prstGeom>
        <a:ln>
          <a:noFill/>
        </a:ln>
        <a:effectLst>
          <a:softEdge rad="112500"/>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91440</xdr:rowOff>
    </xdr:from>
    <xdr:to>
      <xdr:col>8</xdr:col>
      <xdr:colOff>0</xdr:colOff>
      <xdr:row>18</xdr:row>
      <xdr:rowOff>0</xdr:rowOff>
    </xdr:to>
    <xdr:pic>
      <xdr:nvPicPr>
        <xdr:cNvPr id="3" name="Picture 2">
          <a:extLst>
            <a:ext uri="{FF2B5EF4-FFF2-40B4-BE49-F238E27FC236}">
              <a16:creationId xmlns:a16="http://schemas.microsoft.com/office/drawing/2014/main" xmlns="" id="{3822EC30-3515-45FF-54E0-4E4306185BDA}"/>
            </a:ext>
          </a:extLst>
        </xdr:cNvPr>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0" y="274320"/>
          <a:ext cx="4876800" cy="3017520"/>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1135380</xdr:colOff>
      <xdr:row>0</xdr:row>
      <xdr:rowOff>7620</xdr:rowOff>
    </xdr:from>
    <xdr:to>
      <xdr:col>7</xdr:col>
      <xdr:colOff>1906</xdr:colOff>
      <xdr:row>2</xdr:row>
      <xdr:rowOff>161925</xdr:rowOff>
    </xdr:to>
    <xdr:pic>
      <xdr:nvPicPr>
        <xdr:cNvPr id="2" name="Picture 1">
          <a:extLst>
            <a:ext uri="{FF2B5EF4-FFF2-40B4-BE49-F238E27FC236}">
              <a16:creationId xmlns:a16="http://schemas.microsoft.com/office/drawing/2014/main" xmlns="" id="{81B1523C-8D78-484B-ACD9-3355785710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44640" y="7620"/>
          <a:ext cx="2318386" cy="649605"/>
        </a:xfrm>
        <a:prstGeom prst="rect">
          <a:avLst/>
        </a:prstGeom>
        <a:ln>
          <a:noFill/>
        </a:ln>
        <a:effectLst>
          <a:softEdge rad="112500"/>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53340</xdr:rowOff>
    </xdr:from>
    <xdr:to>
      <xdr:col>8</xdr:col>
      <xdr:colOff>0</xdr:colOff>
      <xdr:row>18</xdr:row>
      <xdr:rowOff>30480</xdr:rowOff>
    </xdr:to>
    <xdr:pic>
      <xdr:nvPicPr>
        <xdr:cNvPr id="3" name="Picture 2">
          <a:extLst>
            <a:ext uri="{FF2B5EF4-FFF2-40B4-BE49-F238E27FC236}">
              <a16:creationId xmlns:a16="http://schemas.microsoft.com/office/drawing/2014/main" xmlns="" id="{0D14DE3C-C68F-B1B4-2EFF-B9A65FF467C2}"/>
            </a:ext>
          </a:extLst>
        </xdr:cNvPr>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0" y="236220"/>
          <a:ext cx="4876800" cy="3086100"/>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wsDr>
</file>

<file path=xl/drawings/drawing22.xml><?xml version="1.0" encoding="utf-8"?>
<xdr:wsDr xmlns:xdr="http://schemas.openxmlformats.org/drawingml/2006/spreadsheetDrawing" xmlns:a="http://schemas.openxmlformats.org/drawingml/2006/main">
  <xdr:twoCellAnchor>
    <xdr:from>
      <xdr:col>2</xdr:col>
      <xdr:colOff>21772</xdr:colOff>
      <xdr:row>10</xdr:row>
      <xdr:rowOff>10887</xdr:rowOff>
    </xdr:from>
    <xdr:to>
      <xdr:col>6</xdr:col>
      <xdr:colOff>1139517</xdr:colOff>
      <xdr:row>29</xdr:row>
      <xdr:rowOff>163287</xdr:rowOff>
    </xdr:to>
    <xdr:graphicFrame macro="">
      <xdr:nvGraphicFramePr>
        <xdr:cNvPr id="2" name="Chart 1">
          <a:extLst>
            <a:ext uri="{FF2B5EF4-FFF2-40B4-BE49-F238E27FC236}">
              <a16:creationId xmlns:a16="http://schemas.microsoft.com/office/drawing/2014/main" xmlns="" id="{666FF85B-C011-2342-9D01-5F8ACF989E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54429</xdr:colOff>
      <xdr:row>33</xdr:row>
      <xdr:rowOff>54428</xdr:rowOff>
    </xdr:from>
    <xdr:to>
      <xdr:col>7</xdr:col>
      <xdr:colOff>18289</xdr:colOff>
      <xdr:row>48</xdr:row>
      <xdr:rowOff>21770</xdr:rowOff>
    </xdr:to>
    <xdr:graphicFrame macro="">
      <xdr:nvGraphicFramePr>
        <xdr:cNvPr id="4" name="Chart 3">
          <a:extLst>
            <a:ext uri="{FF2B5EF4-FFF2-40B4-BE49-F238E27FC236}">
              <a16:creationId xmlns:a16="http://schemas.microsoft.com/office/drawing/2014/main" xmlns="" id="{66F03151-ADB5-1786-8174-EE12E7E240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119742</xdr:colOff>
      <xdr:row>33</xdr:row>
      <xdr:rowOff>43544</xdr:rowOff>
    </xdr:from>
    <xdr:to>
      <xdr:col>13</xdr:col>
      <xdr:colOff>1095973</xdr:colOff>
      <xdr:row>48</xdr:row>
      <xdr:rowOff>10886</xdr:rowOff>
    </xdr:to>
    <xdr:graphicFrame macro="">
      <xdr:nvGraphicFramePr>
        <xdr:cNvPr id="6" name="Chart 5">
          <a:extLst>
            <a:ext uri="{FF2B5EF4-FFF2-40B4-BE49-F238E27FC236}">
              <a16:creationId xmlns:a16="http://schemas.microsoft.com/office/drawing/2014/main" xmlns="" id="{37AFD806-6E4D-ECDA-9586-36919DB853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130628</xdr:colOff>
      <xdr:row>9</xdr:row>
      <xdr:rowOff>185056</xdr:rowOff>
    </xdr:from>
    <xdr:to>
      <xdr:col>13</xdr:col>
      <xdr:colOff>1106859</xdr:colOff>
      <xdr:row>29</xdr:row>
      <xdr:rowOff>152399</xdr:rowOff>
    </xdr:to>
    <xdr:graphicFrame macro="">
      <xdr:nvGraphicFramePr>
        <xdr:cNvPr id="7" name="Chart 6">
          <a:extLst>
            <a:ext uri="{FF2B5EF4-FFF2-40B4-BE49-F238E27FC236}">
              <a16:creationId xmlns:a16="http://schemas.microsoft.com/office/drawing/2014/main" xmlns="" id="{E468732D-4FBD-2A7A-D988-607D2106A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21771</xdr:colOff>
      <xdr:row>51</xdr:row>
      <xdr:rowOff>21772</xdr:rowOff>
    </xdr:from>
    <xdr:to>
      <xdr:col>6</xdr:col>
      <xdr:colOff>1139516</xdr:colOff>
      <xdr:row>65</xdr:row>
      <xdr:rowOff>174172</xdr:rowOff>
    </xdr:to>
    <xdr:graphicFrame macro="">
      <xdr:nvGraphicFramePr>
        <xdr:cNvPr id="8" name="Chart 7">
          <a:extLst>
            <a:ext uri="{FF2B5EF4-FFF2-40B4-BE49-F238E27FC236}">
              <a16:creationId xmlns:a16="http://schemas.microsoft.com/office/drawing/2014/main" xmlns="" id="{5810222A-4B3F-FF7C-7016-F438AC3BA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130628</xdr:colOff>
      <xdr:row>51</xdr:row>
      <xdr:rowOff>10886</xdr:rowOff>
    </xdr:from>
    <xdr:to>
      <xdr:col>13</xdr:col>
      <xdr:colOff>1106859</xdr:colOff>
      <xdr:row>65</xdr:row>
      <xdr:rowOff>163286</xdr:rowOff>
    </xdr:to>
    <xdr:graphicFrame macro="">
      <xdr:nvGraphicFramePr>
        <xdr:cNvPr id="9" name="Chart 8">
          <a:extLst>
            <a:ext uri="{FF2B5EF4-FFF2-40B4-BE49-F238E27FC236}">
              <a16:creationId xmlns:a16="http://schemas.microsoft.com/office/drawing/2014/main" xmlns="" id="{EBFAF56E-CE95-8E63-6803-58419A5B7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32657</xdr:colOff>
      <xdr:row>69</xdr:row>
      <xdr:rowOff>-1</xdr:rowOff>
    </xdr:from>
    <xdr:to>
      <xdr:col>6</xdr:col>
      <xdr:colOff>1150402</xdr:colOff>
      <xdr:row>83</xdr:row>
      <xdr:rowOff>152399</xdr:rowOff>
    </xdr:to>
    <xdr:graphicFrame macro="">
      <xdr:nvGraphicFramePr>
        <xdr:cNvPr id="11" name="Chart 10">
          <a:extLst>
            <a:ext uri="{FF2B5EF4-FFF2-40B4-BE49-F238E27FC236}">
              <a16:creationId xmlns:a16="http://schemas.microsoft.com/office/drawing/2014/main" xmlns="" id="{DAE96886-EC24-E7F0-3C0B-09E39BC101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130628</xdr:colOff>
      <xdr:row>69</xdr:row>
      <xdr:rowOff>-1</xdr:rowOff>
    </xdr:from>
    <xdr:to>
      <xdr:col>13</xdr:col>
      <xdr:colOff>1106859</xdr:colOff>
      <xdr:row>83</xdr:row>
      <xdr:rowOff>152399</xdr:rowOff>
    </xdr:to>
    <xdr:graphicFrame macro="">
      <xdr:nvGraphicFramePr>
        <xdr:cNvPr id="12" name="Chart 11">
          <a:extLst>
            <a:ext uri="{FF2B5EF4-FFF2-40B4-BE49-F238E27FC236}">
              <a16:creationId xmlns:a16="http://schemas.microsoft.com/office/drawing/2014/main" xmlns="" id="{0DF2DCFF-12D1-19B1-AC86-59EFB4D7A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xdr:colOff>
      <xdr:row>87</xdr:row>
      <xdr:rowOff>32657</xdr:rowOff>
    </xdr:from>
    <xdr:to>
      <xdr:col>6</xdr:col>
      <xdr:colOff>1117744</xdr:colOff>
      <xdr:row>102</xdr:row>
      <xdr:rowOff>0</xdr:rowOff>
    </xdr:to>
    <mc:AlternateContent xmlns:mc="http://schemas.openxmlformats.org/markup-compatibility/2006">
      <mc:Choice xmlns:cx1="http://schemas.microsoft.com/office/drawing/2015/9/8/chartex" xmlns="" Requires="cx1">
        <xdr:graphicFrame macro="">
          <xdr:nvGraphicFramePr>
            <xdr:cNvPr id="13" name="Chart 12">
              <a:extLst>
                <a:ext uri="{FF2B5EF4-FFF2-40B4-BE49-F238E27FC236}">
                  <a16:creationId xmlns:a16="http://schemas.microsoft.com/office/drawing/2014/main" id="{2C1929A4-7835-6175-F96E-6EE6A39F73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3" name="Rectangle 2"/>
            <xdr:cNvSpPr>
              <a:spLocks noTextEdit="1"/>
            </xdr:cNvSpPr>
          </xdr:nvSpPr>
          <xdr:spPr>
            <a:xfrm>
              <a:off x="3208019" y="14083937"/>
              <a:ext cx="5720225" cy="22152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130627</xdr:colOff>
      <xdr:row>87</xdr:row>
      <xdr:rowOff>43544</xdr:rowOff>
    </xdr:from>
    <xdr:to>
      <xdr:col>13</xdr:col>
      <xdr:colOff>1106858</xdr:colOff>
      <xdr:row>102</xdr:row>
      <xdr:rowOff>10887</xdr:rowOff>
    </xdr:to>
    <mc:AlternateContent xmlns:mc="http://schemas.openxmlformats.org/markup-compatibility/2006">
      <mc:Choice xmlns:cx1="http://schemas.microsoft.com/office/drawing/2015/9/8/chartex" xmlns="" Requires="cx1">
        <xdr:graphicFrame macro="">
          <xdr:nvGraphicFramePr>
            <xdr:cNvPr id="14" name="Chart 13">
              <a:extLst>
                <a:ext uri="{FF2B5EF4-FFF2-40B4-BE49-F238E27FC236}">
                  <a16:creationId xmlns:a16="http://schemas.microsoft.com/office/drawing/2014/main" id="{5C055B49-6CCC-22DF-03B3-FAF176D983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5" name="Rectangle 4"/>
            <xdr:cNvSpPr>
              <a:spLocks noTextEdit="1"/>
            </xdr:cNvSpPr>
          </xdr:nvSpPr>
          <xdr:spPr>
            <a:xfrm>
              <a:off x="9228907" y="14094824"/>
              <a:ext cx="5715871" cy="22152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1121229</xdr:colOff>
      <xdr:row>0</xdr:row>
      <xdr:rowOff>0</xdr:rowOff>
    </xdr:from>
    <xdr:to>
      <xdr:col>13</xdr:col>
      <xdr:colOff>1138375</xdr:colOff>
      <xdr:row>2</xdr:row>
      <xdr:rowOff>154305</xdr:rowOff>
    </xdr:to>
    <xdr:pic>
      <xdr:nvPicPr>
        <xdr:cNvPr id="15" name="Picture 14">
          <a:extLst>
            <a:ext uri="{FF2B5EF4-FFF2-40B4-BE49-F238E27FC236}">
              <a16:creationId xmlns:a16="http://schemas.microsoft.com/office/drawing/2014/main" xmlns="" id="{89934F5C-61EF-49E6-9DF6-1BC98CF1B3B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692743" y="0"/>
          <a:ext cx="2324918" cy="644162"/>
        </a:xfrm>
        <a:prstGeom prst="rect">
          <a:avLst/>
        </a:prstGeom>
        <a:ln>
          <a:noFill/>
        </a:ln>
        <a:effectLst>
          <a:softEdge rad="112500"/>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99060</xdr:rowOff>
    </xdr:from>
    <xdr:to>
      <xdr:col>8</xdr:col>
      <xdr:colOff>0</xdr:colOff>
      <xdr:row>18</xdr:row>
      <xdr:rowOff>50482</xdr:rowOff>
    </xdr:to>
    <xdr:pic>
      <xdr:nvPicPr>
        <xdr:cNvPr id="3" name="Picture 2">
          <a:extLst>
            <a:ext uri="{FF2B5EF4-FFF2-40B4-BE49-F238E27FC236}">
              <a16:creationId xmlns:a16="http://schemas.microsoft.com/office/drawing/2014/main" xmlns="" id="{2323CAC9-192A-E850-BE72-2050A66897A7}"/>
            </a:ext>
          </a:extLst>
        </xdr:cNvPr>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0" y="281940"/>
          <a:ext cx="4876800" cy="3060382"/>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14</xdr:col>
      <xdr:colOff>1127760</xdr:colOff>
      <xdr:row>0</xdr:row>
      <xdr:rowOff>0</xdr:rowOff>
    </xdr:from>
    <xdr:to>
      <xdr:col>16</xdr:col>
      <xdr:colOff>1144906</xdr:colOff>
      <xdr:row>2</xdr:row>
      <xdr:rowOff>154305</xdr:rowOff>
    </xdr:to>
    <xdr:pic>
      <xdr:nvPicPr>
        <xdr:cNvPr id="2" name="Picture 1">
          <a:extLst>
            <a:ext uri="{FF2B5EF4-FFF2-40B4-BE49-F238E27FC236}">
              <a16:creationId xmlns:a16="http://schemas.microsoft.com/office/drawing/2014/main" xmlns="" id="{E6862A1B-20A4-4495-AFB4-7BE011BD31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16300" y="0"/>
          <a:ext cx="2318386" cy="649605"/>
        </a:xfrm>
        <a:prstGeom prst="rect">
          <a:avLst/>
        </a:prstGeom>
        <a:ln>
          <a:noFill/>
        </a:ln>
        <a:effectLst>
          <a:softEdge rad="112500"/>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37</xdr:col>
      <xdr:colOff>130629</xdr:colOff>
      <xdr:row>0</xdr:row>
      <xdr:rowOff>0</xdr:rowOff>
    </xdr:from>
    <xdr:to>
      <xdr:col>39</xdr:col>
      <xdr:colOff>1139464</xdr:colOff>
      <xdr:row>2</xdr:row>
      <xdr:rowOff>154305</xdr:rowOff>
    </xdr:to>
    <xdr:pic>
      <xdr:nvPicPr>
        <xdr:cNvPr id="3" name="Picture 2">
          <a:extLst>
            <a:ext uri="{FF2B5EF4-FFF2-40B4-BE49-F238E27FC236}">
              <a16:creationId xmlns:a16="http://schemas.microsoft.com/office/drawing/2014/main" xmlns="" id="{30E0D18B-9D26-4195-9B2F-B228323980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591829" y="0"/>
          <a:ext cx="2326006" cy="644162"/>
        </a:xfrm>
        <a:prstGeom prst="rect">
          <a:avLst/>
        </a:prstGeom>
        <a:ln>
          <a:noFill/>
        </a:ln>
        <a:effectLst>
          <a:softEdge rad="112500"/>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8</xdr:col>
      <xdr:colOff>0</xdr:colOff>
      <xdr:row>0</xdr:row>
      <xdr:rowOff>10886</xdr:rowOff>
    </xdr:from>
    <xdr:to>
      <xdr:col>10</xdr:col>
      <xdr:colOff>10615</xdr:colOff>
      <xdr:row>2</xdr:row>
      <xdr:rowOff>181520</xdr:rowOff>
    </xdr:to>
    <xdr:pic>
      <xdr:nvPicPr>
        <xdr:cNvPr id="2" name="Picture 1">
          <a:extLst>
            <a:ext uri="{FF2B5EF4-FFF2-40B4-BE49-F238E27FC236}">
              <a16:creationId xmlns:a16="http://schemas.microsoft.com/office/drawing/2014/main" xmlns="" id="{6D656546-2BC8-4C94-8F3B-F28F3C5132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63200" y="10886"/>
          <a:ext cx="2546986" cy="649605"/>
        </a:xfrm>
        <a:prstGeom prst="rect">
          <a:avLst/>
        </a:prstGeom>
        <a:ln>
          <a:noFill/>
        </a:ln>
        <a:effectLst>
          <a:softEdge rad="112500"/>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1135380</xdr:colOff>
      <xdr:row>0</xdr:row>
      <xdr:rowOff>15240</xdr:rowOff>
    </xdr:from>
    <xdr:to>
      <xdr:col>6</xdr:col>
      <xdr:colOff>1144906</xdr:colOff>
      <xdr:row>2</xdr:row>
      <xdr:rowOff>169545</xdr:rowOff>
    </xdr:to>
    <xdr:pic>
      <xdr:nvPicPr>
        <xdr:cNvPr id="2" name="Picture 1">
          <a:extLst>
            <a:ext uri="{FF2B5EF4-FFF2-40B4-BE49-F238E27FC236}">
              <a16:creationId xmlns:a16="http://schemas.microsoft.com/office/drawing/2014/main" xmlns="" id="{847C6915-D449-47AE-943A-4A9BEC3D9D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44640" y="15240"/>
          <a:ext cx="2310766" cy="649605"/>
        </a:xfrm>
        <a:prstGeom prst="rect">
          <a:avLst/>
        </a:prstGeom>
        <a:ln>
          <a:noFill/>
        </a:ln>
        <a:effectLst>
          <a:softEdge rad="112500"/>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8</xdr:col>
      <xdr:colOff>9526</xdr:colOff>
      <xdr:row>2</xdr:row>
      <xdr:rowOff>154305</xdr:rowOff>
    </xdr:to>
    <xdr:pic>
      <xdr:nvPicPr>
        <xdr:cNvPr id="2" name="Picture 1">
          <a:extLst>
            <a:ext uri="{FF2B5EF4-FFF2-40B4-BE49-F238E27FC236}">
              <a16:creationId xmlns:a16="http://schemas.microsoft.com/office/drawing/2014/main" xmlns="" id="{54DECDBC-7796-4CB2-B6CD-DABE8CBBA9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10500" y="0"/>
          <a:ext cx="2310766" cy="649605"/>
        </a:xfrm>
        <a:prstGeom prst="rect">
          <a:avLst/>
        </a:prstGeom>
        <a:ln>
          <a:noFill/>
        </a:ln>
        <a:effectLst>
          <a:softEdge rad="112500"/>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13</xdr:col>
      <xdr:colOff>1123950</xdr:colOff>
      <xdr:row>0</xdr:row>
      <xdr:rowOff>0</xdr:rowOff>
    </xdr:from>
    <xdr:to>
      <xdr:col>16</xdr:col>
      <xdr:colOff>5716</xdr:colOff>
      <xdr:row>2</xdr:row>
      <xdr:rowOff>154305</xdr:rowOff>
    </xdr:to>
    <xdr:pic>
      <xdr:nvPicPr>
        <xdr:cNvPr id="2" name="Picture 1">
          <a:extLst>
            <a:ext uri="{FF2B5EF4-FFF2-40B4-BE49-F238E27FC236}">
              <a16:creationId xmlns:a16="http://schemas.microsoft.com/office/drawing/2014/main" xmlns="" id="{CE7D83DB-26C5-470F-88F8-9C61134971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78025" y="0"/>
          <a:ext cx="2253616" cy="649605"/>
        </a:xfrm>
        <a:prstGeom prst="rect">
          <a:avLst/>
        </a:prstGeom>
        <a:ln>
          <a:noFill/>
        </a:ln>
        <a:effectLst>
          <a:softEdge rad="112500"/>
        </a:effectLst>
      </xdr:spPr>
    </xdr:pic>
    <xdr:clientData/>
  </xdr:twoCellAnchor>
  <xdr:oneCellAnchor>
    <xdr:from>
      <xdr:col>1</xdr:col>
      <xdr:colOff>1031041</xdr:colOff>
      <xdr:row>38</xdr:row>
      <xdr:rowOff>38100</xdr:rowOff>
    </xdr:from>
    <xdr:ext cx="831125" cy="2914824"/>
    <xdr:sp macro="" textlink="">
      <xdr:nvSpPr>
        <xdr:cNvPr id="5" name="TextBox 4">
          <a:extLst>
            <a:ext uri="{FF2B5EF4-FFF2-40B4-BE49-F238E27FC236}">
              <a16:creationId xmlns:a16="http://schemas.microsoft.com/office/drawing/2014/main" xmlns="" id="{9C160CF9-A448-6AAC-7025-BC121E136BB8}"/>
            </a:ext>
          </a:extLst>
        </xdr:cNvPr>
        <xdr:cNvSpPr txBox="1"/>
      </xdr:nvSpPr>
      <xdr:spPr>
        <a:xfrm rot="16200000">
          <a:off x="122542" y="7747449"/>
          <a:ext cx="2914824" cy="831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400" b="1" i="0">
              <a:latin typeface="Bahnschrift SemiBold" panose="020B0502040204020203" pitchFamily="34" charset="0"/>
            </a:rPr>
            <a:t>CHART</a:t>
          </a:r>
          <a:r>
            <a:rPr lang="en-IN" sz="2400" b="1" i="1">
              <a:latin typeface="Bahnschrift SemiBold" panose="020B0502040204020203" pitchFamily="34" charset="0"/>
            </a:rPr>
            <a:t> </a:t>
          </a:r>
          <a:r>
            <a:rPr lang="en-IN" sz="2400" b="1" i="0">
              <a:latin typeface="Bahnschrift SemiBold" panose="020B0502040204020203" pitchFamily="34" charset="0"/>
            </a:rPr>
            <a:t>REPRESENTATION</a:t>
          </a:r>
        </a:p>
      </xdr:txBody>
    </xdr:sp>
    <xdr:clientData/>
  </xdr:oneCellAnchor>
  <xdr:twoCellAnchor>
    <xdr:from>
      <xdr:col>2</xdr:col>
      <xdr:colOff>295276</xdr:colOff>
      <xdr:row>37</xdr:row>
      <xdr:rowOff>76201</xdr:rowOff>
    </xdr:from>
    <xdr:to>
      <xdr:col>15</xdr:col>
      <xdr:colOff>95250</xdr:colOff>
      <xdr:row>55</xdr:row>
      <xdr:rowOff>38103</xdr:rowOff>
    </xdr:to>
    <xdr:grpSp>
      <xdr:nvGrpSpPr>
        <xdr:cNvPr id="8" name="Group 7">
          <a:extLst>
            <a:ext uri="{FF2B5EF4-FFF2-40B4-BE49-F238E27FC236}">
              <a16:creationId xmlns:a16="http://schemas.microsoft.com/office/drawing/2014/main" xmlns="" id="{CF30694B-9F1C-E97B-B5DF-3C175E6DF469}"/>
            </a:ext>
          </a:extLst>
        </xdr:cNvPr>
        <xdr:cNvGrpSpPr/>
      </xdr:nvGrpSpPr>
      <xdr:grpSpPr>
        <a:xfrm>
          <a:off x="3506562" y="6585858"/>
          <a:ext cx="12481831" cy="3292931"/>
          <a:chOff x="3495676" y="6581774"/>
          <a:chExt cx="12468224" cy="3219452"/>
        </a:xfrm>
      </xdr:grpSpPr>
      <xdr:graphicFrame macro="">
        <xdr:nvGraphicFramePr>
          <xdr:cNvPr id="4" name="Chart 3">
            <a:extLst>
              <a:ext uri="{FF2B5EF4-FFF2-40B4-BE49-F238E27FC236}">
                <a16:creationId xmlns:a16="http://schemas.microsoft.com/office/drawing/2014/main" xmlns="" id="{39174B9B-52E0-75BD-CC8F-A351E0A0A03C}"/>
              </a:ext>
            </a:extLst>
          </xdr:cNvPr>
          <xdr:cNvGraphicFramePr/>
        </xdr:nvGraphicFramePr>
        <xdr:xfrm>
          <a:off x="3495676" y="6600826"/>
          <a:ext cx="3657600" cy="32004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6" name="Chart 5">
            <a:extLst>
              <a:ext uri="{FF2B5EF4-FFF2-40B4-BE49-F238E27FC236}">
                <a16:creationId xmlns:a16="http://schemas.microsoft.com/office/drawing/2014/main" xmlns="" id="{F52549AD-F118-95F1-5822-120F546F16DE}"/>
              </a:ext>
            </a:extLst>
          </xdr:cNvPr>
          <xdr:cNvGraphicFramePr/>
        </xdr:nvGraphicFramePr>
        <xdr:xfrm>
          <a:off x="7839074" y="6581774"/>
          <a:ext cx="3657600" cy="32004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 name="Chart 6">
            <a:extLst>
              <a:ext uri="{FF2B5EF4-FFF2-40B4-BE49-F238E27FC236}">
                <a16:creationId xmlns:a16="http://schemas.microsoft.com/office/drawing/2014/main" xmlns="" id="{EB15317F-15B5-E920-72BF-D181D5195AE0}"/>
              </a:ext>
            </a:extLst>
          </xdr:cNvPr>
          <xdr:cNvGraphicFramePr/>
        </xdr:nvGraphicFramePr>
        <xdr:xfrm>
          <a:off x="12306300" y="6581776"/>
          <a:ext cx="3657600" cy="32004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83820</xdr:rowOff>
    </xdr:from>
    <xdr:to>
      <xdr:col>8</xdr:col>
      <xdr:colOff>0</xdr:colOff>
      <xdr:row>18</xdr:row>
      <xdr:rowOff>0</xdr:rowOff>
    </xdr:to>
    <xdr:pic>
      <xdr:nvPicPr>
        <xdr:cNvPr id="3" name="Picture 2">
          <a:extLst>
            <a:ext uri="{FF2B5EF4-FFF2-40B4-BE49-F238E27FC236}">
              <a16:creationId xmlns:a16="http://schemas.microsoft.com/office/drawing/2014/main" xmlns="" id="{97F52D23-CA9A-A21E-4659-1F4538FA9114}"/>
            </a:ext>
          </a:extLst>
        </xdr:cNvPr>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rcRect/>
        <a:stretch/>
      </xdr:blipFill>
      <xdr:spPr>
        <a:xfrm>
          <a:off x="0" y="266700"/>
          <a:ext cx="4876800" cy="3025140"/>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10</xdr:col>
      <xdr:colOff>45720</xdr:colOff>
      <xdr:row>0</xdr:row>
      <xdr:rowOff>0</xdr:rowOff>
    </xdr:from>
    <xdr:to>
      <xdr:col>11</xdr:col>
      <xdr:colOff>1148716</xdr:colOff>
      <xdr:row>2</xdr:row>
      <xdr:rowOff>154305</xdr:rowOff>
    </xdr:to>
    <xdr:pic>
      <xdr:nvPicPr>
        <xdr:cNvPr id="2" name="Picture 1">
          <a:extLst>
            <a:ext uri="{FF2B5EF4-FFF2-40B4-BE49-F238E27FC236}">
              <a16:creationId xmlns:a16="http://schemas.microsoft.com/office/drawing/2014/main" xmlns="" id="{F248A649-CDFF-4458-96B3-A642F2917A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31780" y="0"/>
          <a:ext cx="2253616" cy="649605"/>
        </a:xfrm>
        <a:prstGeom prst="rect">
          <a:avLst/>
        </a:prstGeom>
        <a:ln>
          <a:noFill/>
        </a:ln>
        <a:effectLst>
          <a:softEdge rad="112500"/>
        </a:effec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8</xdr:col>
      <xdr:colOff>9525</xdr:colOff>
      <xdr:row>8</xdr:row>
      <xdr:rowOff>85725</xdr:rowOff>
    </xdr:from>
    <xdr:to>
      <xdr:col>11</xdr:col>
      <xdr:colOff>1143000</xdr:colOff>
      <xdr:row>23</xdr:row>
      <xdr:rowOff>33338</xdr:rowOff>
    </xdr:to>
    <xdr:graphicFrame macro="">
      <xdr:nvGraphicFramePr>
        <xdr:cNvPr id="2" name="Chart 1">
          <a:extLst>
            <a:ext uri="{FF2B5EF4-FFF2-40B4-BE49-F238E27FC236}">
              <a16:creationId xmlns:a16="http://schemas.microsoft.com/office/drawing/2014/main" xmlns="" id="{BAC5790F-3C5A-151C-E86E-3087D4DB8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47625</xdr:colOff>
      <xdr:row>23</xdr:row>
      <xdr:rowOff>128588</xdr:rowOff>
    </xdr:from>
    <xdr:to>
      <xdr:col>12</xdr:col>
      <xdr:colOff>25908</xdr:colOff>
      <xdr:row>38</xdr:row>
      <xdr:rowOff>19050</xdr:rowOff>
    </xdr:to>
    <xdr:graphicFrame macro="">
      <xdr:nvGraphicFramePr>
        <xdr:cNvPr id="3" name="Chart 2">
          <a:extLst>
            <a:ext uri="{FF2B5EF4-FFF2-40B4-BE49-F238E27FC236}">
              <a16:creationId xmlns:a16="http://schemas.microsoft.com/office/drawing/2014/main" xmlns="" id="{89D3018F-6C48-DAEE-EC6D-F70B48ACAF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28574</xdr:colOff>
      <xdr:row>42</xdr:row>
      <xdr:rowOff>119063</xdr:rowOff>
    </xdr:from>
    <xdr:to>
      <xdr:col>12</xdr:col>
      <xdr:colOff>9525</xdr:colOff>
      <xdr:row>53</xdr:row>
      <xdr:rowOff>158306</xdr:rowOff>
    </xdr:to>
    <xdr:graphicFrame macro="">
      <xdr:nvGraphicFramePr>
        <xdr:cNvPr id="5" name="Chart 4">
          <a:extLst>
            <a:ext uri="{FF2B5EF4-FFF2-40B4-BE49-F238E27FC236}">
              <a16:creationId xmlns:a16="http://schemas.microsoft.com/office/drawing/2014/main" xmlns="" id="{6248C03D-339F-033E-C69A-EE31223D3D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19049</xdr:colOff>
      <xdr:row>54</xdr:row>
      <xdr:rowOff>80963</xdr:rowOff>
    </xdr:from>
    <xdr:to>
      <xdr:col>12</xdr:col>
      <xdr:colOff>19049</xdr:colOff>
      <xdr:row>65</xdr:row>
      <xdr:rowOff>120206</xdr:rowOff>
    </xdr:to>
    <xdr:graphicFrame macro="">
      <xdr:nvGraphicFramePr>
        <xdr:cNvPr id="6" name="Chart 5">
          <a:extLst>
            <a:ext uri="{FF2B5EF4-FFF2-40B4-BE49-F238E27FC236}">
              <a16:creationId xmlns:a16="http://schemas.microsoft.com/office/drawing/2014/main" xmlns="" id="{61BBCF38-417D-840C-1E2A-AD6B0C4C0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57149</xdr:colOff>
      <xdr:row>43</xdr:row>
      <xdr:rowOff>38100</xdr:rowOff>
    </xdr:from>
    <xdr:to>
      <xdr:col>2</xdr:col>
      <xdr:colOff>1062989</xdr:colOff>
      <xdr:row>54</xdr:row>
      <xdr:rowOff>9525</xdr:rowOff>
    </xdr:to>
    <mc:AlternateContent xmlns:mc="http://schemas.openxmlformats.org/markup-compatibility/2006">
      <mc:Choice xmlns:cx2="http://schemas.microsoft.com/office/drawing/2015/10/21/chartex" xmlns="" Requires="cx2">
        <xdr:graphicFrame macro="">
          <xdr:nvGraphicFramePr>
            <xdr:cNvPr id="7" name="Chart 6">
              <a:extLst>
                <a:ext uri="{FF2B5EF4-FFF2-40B4-BE49-F238E27FC236}">
                  <a16:creationId xmlns:a16="http://schemas.microsoft.com/office/drawing/2014/main" id="{88C9546E-170C-E396-3971-C525E5EAEA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4" name="Rectangle 3"/>
            <xdr:cNvSpPr>
              <a:spLocks noTextEdit="1"/>
            </xdr:cNvSpPr>
          </xdr:nvSpPr>
          <xdr:spPr>
            <a:xfrm>
              <a:off x="57149" y="6644640"/>
              <a:ext cx="4213860" cy="19831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361951</xdr:colOff>
      <xdr:row>43</xdr:row>
      <xdr:rowOff>4763</xdr:rowOff>
    </xdr:from>
    <xdr:to>
      <xdr:col>6</xdr:col>
      <xdr:colOff>1114426</xdr:colOff>
      <xdr:row>53</xdr:row>
      <xdr:rowOff>160973</xdr:rowOff>
    </xdr:to>
    <xdr:graphicFrame macro="">
      <xdr:nvGraphicFramePr>
        <xdr:cNvPr id="8" name="Chart 7">
          <a:extLst>
            <a:ext uri="{FF2B5EF4-FFF2-40B4-BE49-F238E27FC236}">
              <a16:creationId xmlns:a16="http://schemas.microsoft.com/office/drawing/2014/main" xmlns="" id="{7947A440-5195-3BD9-E1DD-F9152096C9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76199</xdr:colOff>
      <xdr:row>54</xdr:row>
      <xdr:rowOff>47625</xdr:rowOff>
    </xdr:from>
    <xdr:to>
      <xdr:col>2</xdr:col>
      <xdr:colOff>1085850</xdr:colOff>
      <xdr:row>65</xdr:row>
      <xdr:rowOff>76200</xdr:rowOff>
    </xdr:to>
    <xdr:graphicFrame macro="">
      <xdr:nvGraphicFramePr>
        <xdr:cNvPr id="9" name="Chart 8">
          <a:extLst>
            <a:ext uri="{FF2B5EF4-FFF2-40B4-BE49-F238E27FC236}">
              <a16:creationId xmlns:a16="http://schemas.microsoft.com/office/drawing/2014/main" xmlns="" id="{7FAB49C0-FEE9-C49F-AD06-9D2F381772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47625</xdr:colOff>
      <xdr:row>0</xdr:row>
      <xdr:rowOff>0</xdr:rowOff>
    </xdr:from>
    <xdr:to>
      <xdr:col>6</xdr:col>
      <xdr:colOff>1148716</xdr:colOff>
      <xdr:row>2</xdr:row>
      <xdr:rowOff>154305</xdr:rowOff>
    </xdr:to>
    <xdr:pic>
      <xdr:nvPicPr>
        <xdr:cNvPr id="10" name="Picture 9">
          <a:extLst>
            <a:ext uri="{FF2B5EF4-FFF2-40B4-BE49-F238E27FC236}">
              <a16:creationId xmlns:a16="http://schemas.microsoft.com/office/drawing/2014/main" xmlns="" id="{22DCB83E-F7D9-45DB-9AA0-FCCBB4DE7A2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05600" y="0"/>
          <a:ext cx="2253616" cy="649605"/>
        </a:xfrm>
        <a:prstGeom prst="rect">
          <a:avLst/>
        </a:prstGeom>
        <a:ln>
          <a:noFill/>
        </a:ln>
        <a:effectLst>
          <a:softEdge rad="112500"/>
        </a:effectLst>
      </xdr:spPr>
    </xdr:pic>
    <xdr:clientData/>
  </xdr:twoCellAnchor>
  <xdr:oneCellAnchor>
    <xdr:from>
      <xdr:col>8</xdr:col>
      <xdr:colOff>609601</xdr:colOff>
      <xdr:row>1</xdr:row>
      <xdr:rowOff>247192</xdr:rowOff>
    </xdr:from>
    <xdr:ext cx="3744685" cy="461729"/>
    <xdr:sp macro="" textlink="">
      <xdr:nvSpPr>
        <xdr:cNvPr id="11" name="TextBox 10">
          <a:extLst>
            <a:ext uri="{FF2B5EF4-FFF2-40B4-BE49-F238E27FC236}">
              <a16:creationId xmlns:a16="http://schemas.microsoft.com/office/drawing/2014/main" xmlns="" id="{4C250239-BD73-46B7-BEDA-97D8065ADBE5}"/>
            </a:ext>
          </a:extLst>
        </xdr:cNvPr>
        <xdr:cNvSpPr txBox="1"/>
      </xdr:nvSpPr>
      <xdr:spPr>
        <a:xfrm>
          <a:off x="9731830" y="443135"/>
          <a:ext cx="3744685" cy="4617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400" b="1" i="0">
              <a:latin typeface="Bahnschrift SemiBold" panose="020B0502040204020203" pitchFamily="34" charset="0"/>
            </a:rPr>
            <a:t>CHART</a:t>
          </a:r>
          <a:r>
            <a:rPr lang="en-IN" sz="2400" b="1" i="1">
              <a:latin typeface="Bahnschrift SemiBold" panose="020B0502040204020203" pitchFamily="34" charset="0"/>
            </a:rPr>
            <a:t> </a:t>
          </a:r>
          <a:r>
            <a:rPr lang="en-IN" sz="2400" b="1" i="0">
              <a:latin typeface="Bahnschrift SemiBold" panose="020B0502040204020203" pitchFamily="34" charset="0"/>
            </a:rPr>
            <a:t>REPRESENTATION</a:t>
          </a:r>
        </a:p>
      </xdr:txBody>
    </xdr:sp>
    <xdr:clientData/>
  </xdr:oneCellAnchor>
</xdr:wsDr>
</file>

<file path=xl/drawings/drawing33.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13</xdr:col>
      <xdr:colOff>1141096</xdr:colOff>
      <xdr:row>2</xdr:row>
      <xdr:rowOff>154305</xdr:rowOff>
    </xdr:to>
    <xdr:pic>
      <xdr:nvPicPr>
        <xdr:cNvPr id="2" name="Picture 1">
          <a:extLst>
            <a:ext uri="{FF2B5EF4-FFF2-40B4-BE49-F238E27FC236}">
              <a16:creationId xmlns:a16="http://schemas.microsoft.com/office/drawing/2014/main" xmlns="" id="{E2053510-DF67-4EB1-86F2-E5B9C8815F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32080" y="0"/>
          <a:ext cx="2253616" cy="649605"/>
        </a:xfrm>
        <a:prstGeom prst="rect">
          <a:avLst/>
        </a:prstGeom>
        <a:ln>
          <a:noFill/>
        </a:ln>
        <a:effectLst>
          <a:softEdge rad="112500"/>
        </a:effectLst>
      </xdr:spPr>
    </xdr:pic>
    <xdr:clientData/>
  </xdr:twoCellAnchor>
  <xdr:twoCellAnchor>
    <xdr:from>
      <xdr:col>9</xdr:col>
      <xdr:colOff>350520</xdr:colOff>
      <xdr:row>28</xdr:row>
      <xdr:rowOff>53346</xdr:rowOff>
    </xdr:from>
    <xdr:to>
      <xdr:col>13</xdr:col>
      <xdr:colOff>800100</xdr:colOff>
      <xdr:row>43</xdr:row>
      <xdr:rowOff>53346</xdr:rowOff>
    </xdr:to>
    <mc:AlternateContent xmlns:mc="http://schemas.openxmlformats.org/markup-compatibility/2006">
      <mc:Choice xmlns:cx1="http://schemas.microsoft.com/office/drawing/2015/9/8/chartex" xmlns="" Requires="cx1">
        <xdr:graphicFrame macro="">
          <xdr:nvGraphicFramePr>
            <xdr:cNvPr id="3" name="Chart 2">
              <a:extLst>
                <a:ext uri="{FF2B5EF4-FFF2-40B4-BE49-F238E27FC236}">
                  <a16:creationId xmlns:a16="http://schemas.microsoft.com/office/drawing/2014/main" id="{84C33D93-9782-9681-CA44-246DBE25E6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3" name="Rectangle 2"/>
            <xdr:cNvSpPr>
              <a:spLocks noTextEdit="1"/>
            </xdr:cNvSpPr>
          </xdr:nvSpPr>
          <xdr:spPr>
            <a:xfrm>
              <a:off x="9692640" y="5196846"/>
              <a:ext cx="505206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4.xml><?xml version="1.0" encoding="utf-8"?>
<xdr:wsDr xmlns:xdr="http://schemas.openxmlformats.org/drawingml/2006/spreadsheetDrawing" xmlns:a="http://schemas.openxmlformats.org/drawingml/2006/main">
  <xdr:twoCellAnchor editAs="oneCell">
    <xdr:from>
      <xdr:col>5</xdr:col>
      <xdr:colOff>38100</xdr:colOff>
      <xdr:row>0</xdr:row>
      <xdr:rowOff>0</xdr:rowOff>
    </xdr:from>
    <xdr:to>
      <xdr:col>6</xdr:col>
      <xdr:colOff>1141096</xdr:colOff>
      <xdr:row>2</xdr:row>
      <xdr:rowOff>154305</xdr:rowOff>
    </xdr:to>
    <xdr:pic>
      <xdr:nvPicPr>
        <xdr:cNvPr id="2" name="Picture 1">
          <a:extLst>
            <a:ext uri="{FF2B5EF4-FFF2-40B4-BE49-F238E27FC236}">
              <a16:creationId xmlns:a16="http://schemas.microsoft.com/office/drawing/2014/main" xmlns="" id="{6CEE2CAB-37D3-4323-8FA1-0A7B6842C36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97980" y="0"/>
          <a:ext cx="2253616" cy="649605"/>
        </a:xfrm>
        <a:prstGeom prst="rect">
          <a:avLst/>
        </a:prstGeom>
        <a:ln>
          <a:noFill/>
        </a:ln>
        <a:effectLst>
          <a:softEdge rad="112500"/>
        </a:effec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5</xdr:col>
      <xdr:colOff>30480</xdr:colOff>
      <xdr:row>0</xdr:row>
      <xdr:rowOff>0</xdr:rowOff>
    </xdr:from>
    <xdr:to>
      <xdr:col>6</xdr:col>
      <xdr:colOff>1133476</xdr:colOff>
      <xdr:row>2</xdr:row>
      <xdr:rowOff>154305</xdr:rowOff>
    </xdr:to>
    <xdr:pic>
      <xdr:nvPicPr>
        <xdr:cNvPr id="2" name="Picture 1">
          <a:extLst>
            <a:ext uri="{FF2B5EF4-FFF2-40B4-BE49-F238E27FC236}">
              <a16:creationId xmlns:a16="http://schemas.microsoft.com/office/drawing/2014/main" xmlns="" id="{0D354247-D0CD-4621-A4F6-DF8B500B61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90360" y="0"/>
          <a:ext cx="2253616" cy="649605"/>
        </a:xfrm>
        <a:prstGeom prst="rect">
          <a:avLst/>
        </a:prstGeom>
        <a:ln>
          <a:noFill/>
        </a:ln>
        <a:effectLst>
          <a:softEdge rad="112500"/>
        </a:effectLst>
      </xdr:spPr>
    </xdr:pic>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1360714</xdr:colOff>
      <xdr:row>12</xdr:row>
      <xdr:rowOff>97971</xdr:rowOff>
    </xdr:from>
    <xdr:to>
      <xdr:col>4</xdr:col>
      <xdr:colOff>163286</xdr:colOff>
      <xdr:row>12</xdr:row>
      <xdr:rowOff>97971</xdr:rowOff>
    </xdr:to>
    <xdr:cxnSp macro="">
      <xdr:nvCxnSpPr>
        <xdr:cNvPr id="17" name="Straight Connector 16">
          <a:extLst>
            <a:ext uri="{FF2B5EF4-FFF2-40B4-BE49-F238E27FC236}">
              <a16:creationId xmlns:a16="http://schemas.microsoft.com/office/drawing/2014/main" xmlns="" id="{7EF3AD8C-A142-631B-522C-207418A4454A}"/>
            </a:ext>
          </a:extLst>
        </xdr:cNvPr>
        <xdr:cNvCxnSpPr/>
      </xdr:nvCxnSpPr>
      <xdr:spPr>
        <a:xfrm>
          <a:off x="1502228" y="2438400"/>
          <a:ext cx="418011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7</xdr:col>
      <xdr:colOff>38100</xdr:colOff>
      <xdr:row>0</xdr:row>
      <xdr:rowOff>0</xdr:rowOff>
    </xdr:from>
    <xdr:to>
      <xdr:col>8</xdr:col>
      <xdr:colOff>1141096</xdr:colOff>
      <xdr:row>2</xdr:row>
      <xdr:rowOff>154305</xdr:rowOff>
    </xdr:to>
    <xdr:pic>
      <xdr:nvPicPr>
        <xdr:cNvPr id="12" name="Picture 11">
          <a:extLst>
            <a:ext uri="{FF2B5EF4-FFF2-40B4-BE49-F238E27FC236}">
              <a16:creationId xmlns:a16="http://schemas.microsoft.com/office/drawing/2014/main" xmlns="" id="{6D9BE912-B2E0-4682-9FB2-1DB982DC0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99220" y="0"/>
          <a:ext cx="2253616" cy="649605"/>
        </a:xfrm>
        <a:prstGeom prst="rect">
          <a:avLst/>
        </a:prstGeom>
        <a:ln>
          <a:noFill/>
        </a:ln>
        <a:effectLst>
          <a:softEdge rad="112500"/>
        </a:effectLst>
      </xdr:spPr>
    </xdr:pic>
    <xdr:clientData/>
  </xdr:twoCellAnchor>
  <xdr:twoCellAnchor>
    <xdr:from>
      <xdr:col>1</xdr:col>
      <xdr:colOff>21771</xdr:colOff>
      <xdr:row>19</xdr:row>
      <xdr:rowOff>60960</xdr:rowOff>
    </xdr:from>
    <xdr:to>
      <xdr:col>4</xdr:col>
      <xdr:colOff>640079</xdr:colOff>
      <xdr:row>29</xdr:row>
      <xdr:rowOff>83820</xdr:rowOff>
    </xdr:to>
    <xdr:graphicFrame macro="">
      <xdr:nvGraphicFramePr>
        <xdr:cNvPr id="2" name="Chart 1">
          <a:extLst>
            <a:ext uri="{FF2B5EF4-FFF2-40B4-BE49-F238E27FC236}">
              <a16:creationId xmlns:a16="http://schemas.microsoft.com/office/drawing/2014/main" xmlns="" id="{3732C30F-51C9-40A8-A3AD-3DAB40A10F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850416</xdr:colOff>
      <xdr:row>21</xdr:row>
      <xdr:rowOff>52614</xdr:rowOff>
    </xdr:from>
    <xdr:to>
      <xdr:col>2</xdr:col>
      <xdr:colOff>850416</xdr:colOff>
      <xdr:row>27</xdr:row>
      <xdr:rowOff>136434</xdr:rowOff>
    </xdr:to>
    <xdr:cxnSp macro="">
      <xdr:nvCxnSpPr>
        <xdr:cNvPr id="3" name="Straight Connector 2">
          <a:extLst>
            <a:ext uri="{FF2B5EF4-FFF2-40B4-BE49-F238E27FC236}">
              <a16:creationId xmlns:a16="http://schemas.microsoft.com/office/drawing/2014/main" xmlns="" id="{FD4A52BC-E7BB-4A2E-988C-8C6E8D1C0258}"/>
            </a:ext>
          </a:extLst>
        </xdr:cNvPr>
        <xdr:cNvCxnSpPr/>
      </xdr:nvCxnSpPr>
      <xdr:spPr>
        <a:xfrm>
          <a:off x="4061702" y="3960585"/>
          <a:ext cx="0" cy="1194163"/>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576943</xdr:colOff>
      <xdr:row>8</xdr:row>
      <xdr:rowOff>10887</xdr:rowOff>
    </xdr:from>
    <xdr:to>
      <xdr:col>4</xdr:col>
      <xdr:colOff>631373</xdr:colOff>
      <xdr:row>19</xdr:row>
      <xdr:rowOff>10885</xdr:rowOff>
    </xdr:to>
    <xdr:graphicFrame macro="">
      <xdr:nvGraphicFramePr>
        <xdr:cNvPr id="4" name="Chart 3">
          <a:extLst>
            <a:ext uri="{FF2B5EF4-FFF2-40B4-BE49-F238E27FC236}">
              <a16:creationId xmlns:a16="http://schemas.microsoft.com/office/drawing/2014/main" xmlns="" id="{55D28DA2-ADCC-80F4-92FD-35943E5F0B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8</xdr:col>
      <xdr:colOff>0</xdr:colOff>
      <xdr:row>18</xdr:row>
      <xdr:rowOff>68580</xdr:rowOff>
    </xdr:to>
    <xdr:pic>
      <xdr:nvPicPr>
        <xdr:cNvPr id="3" name="Picture 2">
          <a:extLst>
            <a:ext uri="{FF2B5EF4-FFF2-40B4-BE49-F238E27FC236}">
              <a16:creationId xmlns:a16="http://schemas.microsoft.com/office/drawing/2014/main" xmlns="" id="{428ADC8D-5DAD-C68B-380F-BC16A8549C82}"/>
            </a:ext>
          </a:extLst>
        </xdr:cNvPr>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0" y="259080"/>
          <a:ext cx="4876800" cy="3101340"/>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2848</xdr:colOff>
      <xdr:row>23</xdr:row>
      <xdr:rowOff>21773</xdr:rowOff>
    </xdr:from>
    <xdr:to>
      <xdr:col>2</xdr:col>
      <xdr:colOff>755268</xdr:colOff>
      <xdr:row>42</xdr:row>
      <xdr:rowOff>2</xdr:rowOff>
    </xdr:to>
    <xdr:pic>
      <xdr:nvPicPr>
        <xdr:cNvPr id="3" name="Picture 2">
          <a:extLst>
            <a:ext uri="{FF2B5EF4-FFF2-40B4-BE49-F238E27FC236}">
              <a16:creationId xmlns:a16="http://schemas.microsoft.com/office/drawing/2014/main" xmlns="" id="{917874F0-3B2F-F99A-CC61-5AD2FB7CED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362" y="4201887"/>
          <a:ext cx="3822192" cy="3287486"/>
        </a:xfrm>
        <a:prstGeom prst="rect">
          <a:avLst/>
        </a:prstGeom>
        <a:ln>
          <a:noFill/>
        </a:ln>
        <a:effectLst>
          <a:softEdge rad="112500"/>
        </a:effectLst>
      </xdr:spPr>
    </xdr:pic>
    <xdr:clientData/>
  </xdr:twoCellAnchor>
  <xdr:twoCellAnchor editAs="oneCell">
    <xdr:from>
      <xdr:col>2</xdr:col>
      <xdr:colOff>849084</xdr:colOff>
      <xdr:row>23</xdr:row>
      <xdr:rowOff>10885</xdr:rowOff>
    </xdr:from>
    <xdr:to>
      <xdr:col>4</xdr:col>
      <xdr:colOff>10884</xdr:colOff>
      <xdr:row>38</xdr:row>
      <xdr:rowOff>76200</xdr:rowOff>
    </xdr:to>
    <xdr:pic>
      <xdr:nvPicPr>
        <xdr:cNvPr id="5" name="Picture 4">
          <a:extLst>
            <a:ext uri="{FF2B5EF4-FFF2-40B4-BE49-F238E27FC236}">
              <a16:creationId xmlns:a16="http://schemas.microsoft.com/office/drawing/2014/main" xmlns="" id="{D7A30E1A-A823-DA62-674F-1A8ABFD2D36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60370" y="4190999"/>
          <a:ext cx="5301343" cy="2677887"/>
        </a:xfrm>
        <a:prstGeom prst="rect">
          <a:avLst/>
        </a:prstGeom>
        <a:ln>
          <a:noFill/>
        </a:ln>
        <a:effectLst>
          <a:softEdge rad="112500"/>
        </a:effectLst>
      </xdr:spPr>
    </xdr:pic>
    <xdr:clientData/>
  </xdr:twoCellAnchor>
  <xdr:twoCellAnchor editAs="oneCell">
    <xdr:from>
      <xdr:col>3</xdr:col>
      <xdr:colOff>805543</xdr:colOff>
      <xdr:row>0</xdr:row>
      <xdr:rowOff>0</xdr:rowOff>
    </xdr:from>
    <xdr:to>
      <xdr:col>3</xdr:col>
      <xdr:colOff>3062425</xdr:colOff>
      <xdr:row>2</xdr:row>
      <xdr:rowOff>154305</xdr:rowOff>
    </xdr:to>
    <xdr:pic>
      <xdr:nvPicPr>
        <xdr:cNvPr id="6" name="Picture 5">
          <a:extLst>
            <a:ext uri="{FF2B5EF4-FFF2-40B4-BE49-F238E27FC236}">
              <a16:creationId xmlns:a16="http://schemas.microsoft.com/office/drawing/2014/main" xmlns="" id="{3604DB0B-C748-4B95-8E5B-2AC942D0237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86600" y="0"/>
          <a:ext cx="2256882" cy="644162"/>
        </a:xfrm>
        <a:prstGeom prst="rect">
          <a:avLst/>
        </a:prstGeom>
        <a:ln>
          <a:noFill/>
        </a:ln>
        <a:effectLst>
          <a:softEdge rad="112500"/>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3</xdr:col>
      <xdr:colOff>805543</xdr:colOff>
      <xdr:row>0</xdr:row>
      <xdr:rowOff>0</xdr:rowOff>
    </xdr:from>
    <xdr:to>
      <xdr:col>3</xdr:col>
      <xdr:colOff>3062425</xdr:colOff>
      <xdr:row>2</xdr:row>
      <xdr:rowOff>154305</xdr:rowOff>
    </xdr:to>
    <xdr:pic>
      <xdr:nvPicPr>
        <xdr:cNvPr id="2" name="Picture 1">
          <a:extLst>
            <a:ext uri="{FF2B5EF4-FFF2-40B4-BE49-F238E27FC236}">
              <a16:creationId xmlns:a16="http://schemas.microsoft.com/office/drawing/2014/main" xmlns="" id="{2047D20A-F3DC-49D5-9182-A03CB7FC9C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86600" y="0"/>
          <a:ext cx="2256882" cy="644162"/>
        </a:xfrm>
        <a:prstGeom prst="rect">
          <a:avLst/>
        </a:prstGeom>
        <a:ln>
          <a:noFill/>
        </a:ln>
        <a:effectLst>
          <a:softEdge rad="112500"/>
        </a:effectLst>
      </xdr:spPr>
    </xdr:pic>
    <xdr:clientData/>
  </xdr:twoCellAnchor>
  <xdr:twoCellAnchor editAs="oneCell">
    <xdr:from>
      <xdr:col>1</xdr:col>
      <xdr:colOff>1</xdr:colOff>
      <xdr:row>23</xdr:row>
      <xdr:rowOff>10887</xdr:rowOff>
    </xdr:from>
    <xdr:to>
      <xdr:col>2</xdr:col>
      <xdr:colOff>979714</xdr:colOff>
      <xdr:row>38</xdr:row>
      <xdr:rowOff>141514</xdr:rowOff>
    </xdr:to>
    <xdr:pic>
      <xdr:nvPicPr>
        <xdr:cNvPr id="4" name="Picture 3">
          <a:extLst>
            <a:ext uri="{FF2B5EF4-FFF2-40B4-BE49-F238E27FC236}">
              <a16:creationId xmlns:a16="http://schemas.microsoft.com/office/drawing/2014/main" xmlns="" id="{0260081E-C845-7CE9-3E08-D68B06A010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515" y="4191001"/>
          <a:ext cx="4049485" cy="2743199"/>
        </a:xfrm>
        <a:prstGeom prst="rect">
          <a:avLst/>
        </a:prstGeom>
        <a:ln>
          <a:noFill/>
        </a:ln>
        <a:effectLst>
          <a:softEdge rad="112500"/>
        </a:effectLst>
      </xdr:spPr>
    </xdr:pic>
    <xdr:clientData/>
  </xdr:twoCellAnchor>
  <xdr:twoCellAnchor editAs="oneCell">
    <xdr:from>
      <xdr:col>2</xdr:col>
      <xdr:colOff>1523999</xdr:colOff>
      <xdr:row>23</xdr:row>
      <xdr:rowOff>10886</xdr:rowOff>
    </xdr:from>
    <xdr:to>
      <xdr:col>3</xdr:col>
      <xdr:colOff>2808513</xdr:colOff>
      <xdr:row>39</xdr:row>
      <xdr:rowOff>163286</xdr:rowOff>
    </xdr:to>
    <xdr:pic>
      <xdr:nvPicPr>
        <xdr:cNvPr id="6" name="Picture 5">
          <a:extLst>
            <a:ext uri="{FF2B5EF4-FFF2-40B4-BE49-F238E27FC236}">
              <a16:creationId xmlns:a16="http://schemas.microsoft.com/office/drawing/2014/main" xmlns="" id="{2CF5DB44-277D-0DD0-8606-75BD9E3451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35285" y="4191000"/>
          <a:ext cx="4354285" cy="2939143"/>
        </a:xfrm>
        <a:prstGeom prst="rect">
          <a:avLst/>
        </a:prstGeom>
        <a:ln>
          <a:noFill/>
        </a:ln>
        <a:effectLst>
          <a:softEdge rad="112500"/>
        </a:effec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22860</xdr:colOff>
      <xdr:row>18</xdr:row>
      <xdr:rowOff>137160</xdr:rowOff>
    </xdr:to>
    <xdr:pic>
      <xdr:nvPicPr>
        <xdr:cNvPr id="3" name="Picture 2">
          <a:extLst>
            <a:ext uri="{FF2B5EF4-FFF2-40B4-BE49-F238E27FC236}">
              <a16:creationId xmlns:a16="http://schemas.microsoft.com/office/drawing/2014/main" xmlns="" id="{722E171A-4759-8D1B-336D-96A165A7DBE9}"/>
            </a:ext>
          </a:extLst>
        </xdr:cNvPr>
        <xdr:cNvPicPr>
          <a:picLocks noChangeAspect="1"/>
        </xdr:cNvPicPr>
      </xdr:nvPicPr>
      <xdr:blipFill>
        <a:blip xmlns:r="http://schemas.openxmlformats.org/officeDocument/2006/relationships" r:embed="rId1"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0" y="0"/>
          <a:ext cx="3680460" cy="3429000"/>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8</xdr:col>
      <xdr:colOff>239486</xdr:colOff>
      <xdr:row>0</xdr:row>
      <xdr:rowOff>76200</xdr:rowOff>
    </xdr:from>
    <xdr:to>
      <xdr:col>12</xdr:col>
      <xdr:colOff>424396</xdr:colOff>
      <xdr:row>5</xdr:row>
      <xdr:rowOff>115389</xdr:rowOff>
    </xdr:to>
    <xdr:pic>
      <xdr:nvPicPr>
        <xdr:cNvPr id="9" name="Picture 8">
          <a:extLst>
            <a:ext uri="{FF2B5EF4-FFF2-40B4-BE49-F238E27FC236}">
              <a16:creationId xmlns:a16="http://schemas.microsoft.com/office/drawing/2014/main" xmlns="" id="{559CAA45-84CD-7CE9-5089-CFB7FB08B4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34543" y="76200"/>
          <a:ext cx="2710396" cy="1280160"/>
        </a:xfrm>
        <a:prstGeom prst="rect">
          <a:avLst/>
        </a:prstGeom>
      </xdr:spPr>
    </xdr:pic>
    <xdr:clientData/>
  </xdr:twoCellAnchor>
  <xdr:twoCellAnchor>
    <xdr:from>
      <xdr:col>7</xdr:col>
      <xdr:colOff>185057</xdr:colOff>
      <xdr:row>20</xdr:row>
      <xdr:rowOff>206829</xdr:rowOff>
    </xdr:from>
    <xdr:to>
      <xdr:col>12</xdr:col>
      <xdr:colOff>598714</xdr:colOff>
      <xdr:row>32</xdr:row>
      <xdr:rowOff>0</xdr:rowOff>
    </xdr:to>
    <xdr:graphicFrame macro="">
      <xdr:nvGraphicFramePr>
        <xdr:cNvPr id="2" name="Chart 1">
          <a:extLst>
            <a:ext uri="{FF2B5EF4-FFF2-40B4-BE49-F238E27FC236}">
              <a16:creationId xmlns:a16="http://schemas.microsoft.com/office/drawing/2014/main" xmlns="" id="{0A80AA1D-33EF-46C1-B10E-9A449EB9C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editAs="oneCell">
    <xdr:from>
      <xdr:col>10</xdr:col>
      <xdr:colOff>119743</xdr:colOff>
      <xdr:row>0</xdr:row>
      <xdr:rowOff>7620</xdr:rowOff>
    </xdr:from>
    <xdr:to>
      <xdr:col>12</xdr:col>
      <xdr:colOff>601980</xdr:colOff>
      <xdr:row>3</xdr:row>
      <xdr:rowOff>160020</xdr:rowOff>
    </xdr:to>
    <xdr:pic>
      <xdr:nvPicPr>
        <xdr:cNvPr id="8" name="Picture 7">
          <a:extLst>
            <a:ext uri="{FF2B5EF4-FFF2-40B4-BE49-F238E27FC236}">
              <a16:creationId xmlns:a16="http://schemas.microsoft.com/office/drawing/2014/main" xmlns="" id="{6944F783-FFEF-4691-A9ED-B55E9BEC4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47657" y="7620"/>
          <a:ext cx="1701437" cy="707571"/>
        </a:xfrm>
        <a:prstGeom prst="rect">
          <a:avLst/>
        </a:prstGeom>
        <a:ln>
          <a:noFill/>
        </a:ln>
        <a:effectLst>
          <a:softEdge rad="112500"/>
        </a:effectLst>
      </xdr:spPr>
    </xdr:pic>
    <xdr:clientData/>
  </xdr:twoCellAnchor>
  <xdr:twoCellAnchor editAs="oneCell">
    <xdr:from>
      <xdr:col>6</xdr:col>
      <xdr:colOff>511630</xdr:colOff>
      <xdr:row>10</xdr:row>
      <xdr:rowOff>116399</xdr:rowOff>
    </xdr:from>
    <xdr:to>
      <xdr:col>10</xdr:col>
      <xdr:colOff>87086</xdr:colOff>
      <xdr:row>25</xdr:row>
      <xdr:rowOff>87084</xdr:rowOff>
    </xdr:to>
    <xdr:pic>
      <xdr:nvPicPr>
        <xdr:cNvPr id="14" name="Picture 13">
          <a:extLst>
            <a:ext uri="{FF2B5EF4-FFF2-40B4-BE49-F238E27FC236}">
              <a16:creationId xmlns:a16="http://schemas.microsoft.com/office/drawing/2014/main" xmlns="" id="{41E86437-5CF4-FAEB-234E-D1CBF37069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01144" y="2587456"/>
          <a:ext cx="2013856" cy="3530314"/>
        </a:xfrm>
        <a:prstGeom prst="rect">
          <a:avLst/>
        </a:prstGeom>
      </xdr:spPr>
    </xdr:pic>
    <xdr:clientData/>
  </xdr:twoCellAnchor>
  <xdr:twoCellAnchor editAs="oneCell">
    <xdr:from>
      <xdr:col>9</xdr:col>
      <xdr:colOff>348343</xdr:colOff>
      <xdr:row>11</xdr:row>
      <xdr:rowOff>107939</xdr:rowOff>
    </xdr:from>
    <xdr:to>
      <xdr:col>13</xdr:col>
      <xdr:colOff>239486</xdr:colOff>
      <xdr:row>25</xdr:row>
      <xdr:rowOff>43543</xdr:rowOff>
    </xdr:to>
    <xdr:pic>
      <xdr:nvPicPr>
        <xdr:cNvPr id="22" name="Picture 21">
          <a:extLst>
            <a:ext uri="{FF2B5EF4-FFF2-40B4-BE49-F238E27FC236}">
              <a16:creationId xmlns:a16="http://schemas.microsoft.com/office/drawing/2014/main" xmlns="" id="{500EBC7D-614B-4A18-9F04-4DB81809976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66657" y="2959996"/>
          <a:ext cx="2329543" cy="3114233"/>
        </a:xfrm>
        <a:prstGeom prst="rect">
          <a:avLst/>
        </a:prstGeom>
      </xdr:spPr>
    </xdr:pic>
    <xdr:clientData/>
  </xdr:twoCellAnchor>
  <xdr:twoCellAnchor editAs="oneCell">
    <xdr:from>
      <xdr:col>1</xdr:col>
      <xdr:colOff>5389</xdr:colOff>
      <xdr:row>39</xdr:row>
      <xdr:rowOff>134325</xdr:rowOff>
    </xdr:from>
    <xdr:to>
      <xdr:col>4</xdr:col>
      <xdr:colOff>293915</xdr:colOff>
      <xdr:row>52</xdr:row>
      <xdr:rowOff>156098</xdr:rowOff>
    </xdr:to>
    <xdr:pic>
      <xdr:nvPicPr>
        <xdr:cNvPr id="24" name="Picture 23">
          <a:extLst>
            <a:ext uri="{FF2B5EF4-FFF2-40B4-BE49-F238E27FC236}">
              <a16:creationId xmlns:a16="http://schemas.microsoft.com/office/drawing/2014/main" xmlns="" id="{58ADD7E0-B833-17C7-EEB4-B20637C7C8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6903" y="9376296"/>
          <a:ext cx="2117326" cy="321128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85217</xdr:colOff>
      <xdr:row>29</xdr:row>
      <xdr:rowOff>184864</xdr:rowOff>
    </xdr:from>
    <xdr:to>
      <xdr:col>8</xdr:col>
      <xdr:colOff>18663</xdr:colOff>
      <xdr:row>36</xdr:row>
      <xdr:rowOff>130627</xdr:rowOff>
    </xdr:to>
    <xdr:pic>
      <xdr:nvPicPr>
        <xdr:cNvPr id="26" name="Picture 25">
          <a:extLst>
            <a:ext uri="{FF2B5EF4-FFF2-40B4-BE49-F238E27FC236}">
              <a16:creationId xmlns:a16="http://schemas.microsoft.com/office/drawing/2014/main" xmlns="" id="{7A0EA2DF-B60E-86D2-1F9A-CD0E9CDC59B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655276" y="7024828"/>
          <a:ext cx="1759541" cy="1636592"/>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8</xdr:col>
      <xdr:colOff>174172</xdr:colOff>
      <xdr:row>42</xdr:row>
      <xdr:rowOff>97971</xdr:rowOff>
    </xdr:from>
    <xdr:to>
      <xdr:col>11</xdr:col>
      <xdr:colOff>130629</xdr:colOff>
      <xdr:row>42</xdr:row>
      <xdr:rowOff>97971</xdr:rowOff>
    </xdr:to>
    <xdr:cxnSp macro="">
      <xdr:nvCxnSpPr>
        <xdr:cNvPr id="30" name="Straight Arrow Connector 29">
          <a:extLst>
            <a:ext uri="{FF2B5EF4-FFF2-40B4-BE49-F238E27FC236}">
              <a16:creationId xmlns:a16="http://schemas.microsoft.com/office/drawing/2014/main" xmlns="" id="{F6DD9EA5-598D-6082-E0E8-33397C75E648}"/>
            </a:ext>
          </a:extLst>
        </xdr:cNvPr>
        <xdr:cNvCxnSpPr/>
      </xdr:nvCxnSpPr>
      <xdr:spPr>
        <a:xfrm>
          <a:off x="4582886" y="10047514"/>
          <a:ext cx="1785257" cy="0"/>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7</xdr:col>
      <xdr:colOff>370115</xdr:colOff>
      <xdr:row>44</xdr:row>
      <xdr:rowOff>97971</xdr:rowOff>
    </xdr:from>
    <xdr:to>
      <xdr:col>10</xdr:col>
      <xdr:colOff>326572</xdr:colOff>
      <xdr:row>44</xdr:row>
      <xdr:rowOff>97971</xdr:rowOff>
    </xdr:to>
    <xdr:cxnSp macro="">
      <xdr:nvCxnSpPr>
        <xdr:cNvPr id="32" name="Straight Arrow Connector 31">
          <a:extLst>
            <a:ext uri="{FF2B5EF4-FFF2-40B4-BE49-F238E27FC236}">
              <a16:creationId xmlns:a16="http://schemas.microsoft.com/office/drawing/2014/main" xmlns="" id="{EFA27352-868F-4B3D-B823-F94A851148FD}"/>
            </a:ext>
          </a:extLst>
        </xdr:cNvPr>
        <xdr:cNvCxnSpPr/>
      </xdr:nvCxnSpPr>
      <xdr:spPr>
        <a:xfrm>
          <a:off x="4169229" y="10548257"/>
          <a:ext cx="1785257" cy="0"/>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7</xdr:col>
      <xdr:colOff>239486</xdr:colOff>
      <xdr:row>46</xdr:row>
      <xdr:rowOff>97971</xdr:rowOff>
    </xdr:from>
    <xdr:to>
      <xdr:col>10</xdr:col>
      <xdr:colOff>195943</xdr:colOff>
      <xdr:row>46</xdr:row>
      <xdr:rowOff>97971</xdr:rowOff>
    </xdr:to>
    <xdr:cxnSp macro="">
      <xdr:nvCxnSpPr>
        <xdr:cNvPr id="33" name="Straight Arrow Connector 32">
          <a:extLst>
            <a:ext uri="{FF2B5EF4-FFF2-40B4-BE49-F238E27FC236}">
              <a16:creationId xmlns:a16="http://schemas.microsoft.com/office/drawing/2014/main" xmlns="" id="{83D9DA29-E78A-4E45-BC5D-5E7C6971CE44}"/>
            </a:ext>
          </a:extLst>
        </xdr:cNvPr>
        <xdr:cNvCxnSpPr/>
      </xdr:nvCxnSpPr>
      <xdr:spPr>
        <a:xfrm>
          <a:off x="4038600" y="11049000"/>
          <a:ext cx="1785257" cy="0"/>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7</xdr:col>
      <xdr:colOff>250372</xdr:colOff>
      <xdr:row>48</xdr:row>
      <xdr:rowOff>97972</xdr:rowOff>
    </xdr:from>
    <xdr:to>
      <xdr:col>10</xdr:col>
      <xdr:colOff>206829</xdr:colOff>
      <xdr:row>48</xdr:row>
      <xdr:rowOff>97972</xdr:rowOff>
    </xdr:to>
    <xdr:cxnSp macro="">
      <xdr:nvCxnSpPr>
        <xdr:cNvPr id="34" name="Straight Arrow Connector 33">
          <a:extLst>
            <a:ext uri="{FF2B5EF4-FFF2-40B4-BE49-F238E27FC236}">
              <a16:creationId xmlns:a16="http://schemas.microsoft.com/office/drawing/2014/main" xmlns="" id="{8A75560C-F124-43C0-96E3-311C9AA50B5E}"/>
            </a:ext>
          </a:extLst>
        </xdr:cNvPr>
        <xdr:cNvCxnSpPr/>
      </xdr:nvCxnSpPr>
      <xdr:spPr>
        <a:xfrm>
          <a:off x="4049486" y="11549743"/>
          <a:ext cx="1785257" cy="0"/>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8</xdr:col>
      <xdr:colOff>108858</xdr:colOff>
      <xdr:row>50</xdr:row>
      <xdr:rowOff>119743</xdr:rowOff>
    </xdr:from>
    <xdr:to>
      <xdr:col>11</xdr:col>
      <xdr:colOff>65315</xdr:colOff>
      <xdr:row>50</xdr:row>
      <xdr:rowOff>119743</xdr:rowOff>
    </xdr:to>
    <xdr:cxnSp macro="">
      <xdr:nvCxnSpPr>
        <xdr:cNvPr id="35" name="Straight Arrow Connector 34">
          <a:extLst>
            <a:ext uri="{FF2B5EF4-FFF2-40B4-BE49-F238E27FC236}">
              <a16:creationId xmlns:a16="http://schemas.microsoft.com/office/drawing/2014/main" xmlns="" id="{A4E01627-701F-4AB2-A209-3378B654FD32}"/>
            </a:ext>
          </a:extLst>
        </xdr:cNvPr>
        <xdr:cNvCxnSpPr/>
      </xdr:nvCxnSpPr>
      <xdr:spPr>
        <a:xfrm>
          <a:off x="4517572" y="12072257"/>
          <a:ext cx="1785257" cy="0"/>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8</xdr:col>
      <xdr:colOff>250372</xdr:colOff>
      <xdr:row>52</xdr:row>
      <xdr:rowOff>97972</xdr:rowOff>
    </xdr:from>
    <xdr:to>
      <xdr:col>11</xdr:col>
      <xdr:colOff>206829</xdr:colOff>
      <xdr:row>52</xdr:row>
      <xdr:rowOff>97972</xdr:rowOff>
    </xdr:to>
    <xdr:cxnSp macro="">
      <xdr:nvCxnSpPr>
        <xdr:cNvPr id="36" name="Straight Arrow Connector 35">
          <a:extLst>
            <a:ext uri="{FF2B5EF4-FFF2-40B4-BE49-F238E27FC236}">
              <a16:creationId xmlns:a16="http://schemas.microsoft.com/office/drawing/2014/main" xmlns="" id="{745C6F51-DE63-40E6-BCDE-40E833E10C96}"/>
            </a:ext>
          </a:extLst>
        </xdr:cNvPr>
        <xdr:cNvCxnSpPr/>
      </xdr:nvCxnSpPr>
      <xdr:spPr>
        <a:xfrm>
          <a:off x="4659086" y="12551229"/>
          <a:ext cx="1785257" cy="0"/>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editAs="oneCell">
    <xdr:from>
      <xdr:col>8</xdr:col>
      <xdr:colOff>261257</xdr:colOff>
      <xdr:row>30</xdr:row>
      <xdr:rowOff>43542</xdr:rowOff>
    </xdr:from>
    <xdr:to>
      <xdr:col>12</xdr:col>
      <xdr:colOff>587828</xdr:colOff>
      <xdr:row>36</xdr:row>
      <xdr:rowOff>97973</xdr:rowOff>
    </xdr:to>
    <xdr:pic>
      <xdr:nvPicPr>
        <xdr:cNvPr id="15" name="Picture 14">
          <a:extLst>
            <a:ext uri="{FF2B5EF4-FFF2-40B4-BE49-F238E27FC236}">
              <a16:creationId xmlns:a16="http://schemas.microsoft.com/office/drawing/2014/main" xmlns="" id="{A1B3E81D-20B8-C9F7-58E4-98718BEF0F1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a:off x="4669971" y="7032171"/>
          <a:ext cx="2764971" cy="155665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10</xdr:col>
      <xdr:colOff>119743</xdr:colOff>
      <xdr:row>0</xdr:row>
      <xdr:rowOff>7620</xdr:rowOff>
    </xdr:from>
    <xdr:to>
      <xdr:col>12</xdr:col>
      <xdr:colOff>601980</xdr:colOff>
      <xdr:row>4</xdr:row>
      <xdr:rowOff>18505</xdr:rowOff>
    </xdr:to>
    <xdr:pic>
      <xdr:nvPicPr>
        <xdr:cNvPr id="2" name="Picture 1">
          <a:extLst>
            <a:ext uri="{FF2B5EF4-FFF2-40B4-BE49-F238E27FC236}">
              <a16:creationId xmlns:a16="http://schemas.microsoft.com/office/drawing/2014/main" xmlns="" id="{57D74A44-FF0C-44DF-A5CF-F547920A44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43303" y="7620"/>
          <a:ext cx="1701437" cy="711925"/>
        </a:xfrm>
        <a:prstGeom prst="rect">
          <a:avLst/>
        </a:prstGeom>
        <a:ln>
          <a:noFill/>
        </a:ln>
        <a:effectLst>
          <a:softEdge rad="112500"/>
        </a:effectLst>
      </xdr:spPr>
    </xdr:pic>
    <xdr:clientData/>
  </xdr:twoCellAnchor>
  <xdr:twoCellAnchor editAs="oneCell">
    <xdr:from>
      <xdr:col>7</xdr:col>
      <xdr:colOff>87085</xdr:colOff>
      <xdr:row>17</xdr:row>
      <xdr:rowOff>10886</xdr:rowOff>
    </xdr:from>
    <xdr:to>
      <xdr:col>12</xdr:col>
      <xdr:colOff>598716</xdr:colOff>
      <xdr:row>36</xdr:row>
      <xdr:rowOff>10886</xdr:rowOff>
    </xdr:to>
    <xdr:pic>
      <xdr:nvPicPr>
        <xdr:cNvPr id="6" name="Picture 5">
          <a:extLst>
            <a:ext uri="{FF2B5EF4-FFF2-40B4-BE49-F238E27FC236}">
              <a16:creationId xmlns:a16="http://schemas.microsoft.com/office/drawing/2014/main" xmlns="" id="{6B31420A-5141-A43D-3E75-CE7C7211312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886199" y="3015343"/>
          <a:ext cx="3559631" cy="3135086"/>
        </a:xfrm>
        <a:prstGeom prst="rect">
          <a:avLst/>
        </a:prstGeom>
        <a:ln>
          <a:noFill/>
        </a:ln>
        <a:effectLst>
          <a:softEdge rad="112500"/>
        </a:effectLst>
      </xdr:spPr>
    </xdr:pic>
    <xdr:clientData/>
  </xdr:twoCellAnchor>
  <xdr:twoCellAnchor editAs="oneCell">
    <xdr:from>
      <xdr:col>7</xdr:col>
      <xdr:colOff>76201</xdr:colOff>
      <xdr:row>36</xdr:row>
      <xdr:rowOff>10886</xdr:rowOff>
    </xdr:from>
    <xdr:to>
      <xdr:col>13</xdr:col>
      <xdr:colOff>10887</xdr:colOff>
      <xdr:row>54</xdr:row>
      <xdr:rowOff>0</xdr:rowOff>
    </xdr:to>
    <xdr:pic>
      <xdr:nvPicPr>
        <xdr:cNvPr id="8" name="Picture 7">
          <a:extLst>
            <a:ext uri="{FF2B5EF4-FFF2-40B4-BE49-F238E27FC236}">
              <a16:creationId xmlns:a16="http://schemas.microsoft.com/office/drawing/2014/main" xmlns="" id="{49232DAA-3873-D06A-D017-F372FD23C4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3875315" y="6150429"/>
          <a:ext cx="3592286" cy="2950028"/>
        </a:xfrm>
        <a:prstGeom prst="rect">
          <a:avLst/>
        </a:prstGeom>
        <a:ln>
          <a:noFill/>
        </a:ln>
        <a:effectLst>
          <a:softEdge rad="112500"/>
        </a:effectLst>
      </xdr:spPr>
    </xdr:pic>
    <xdr:clientData/>
  </xdr:twoCellAnchor>
  <xdr:twoCellAnchor editAs="oneCell">
    <xdr:from>
      <xdr:col>7</xdr:col>
      <xdr:colOff>65315</xdr:colOff>
      <xdr:row>54</xdr:row>
      <xdr:rowOff>0</xdr:rowOff>
    </xdr:from>
    <xdr:to>
      <xdr:col>13</xdr:col>
      <xdr:colOff>10886</xdr:colOff>
      <xdr:row>61</xdr:row>
      <xdr:rowOff>163286</xdr:rowOff>
    </xdr:to>
    <xdr:pic>
      <xdr:nvPicPr>
        <xdr:cNvPr id="10" name="Picture 9">
          <a:extLst>
            <a:ext uri="{FF2B5EF4-FFF2-40B4-BE49-F238E27FC236}">
              <a16:creationId xmlns:a16="http://schemas.microsoft.com/office/drawing/2014/main" xmlns="" id="{B422FB06-31BC-32C8-2042-29871556AE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3864429" y="9100457"/>
          <a:ext cx="3603171" cy="1382486"/>
        </a:xfrm>
        <a:prstGeom prst="rect">
          <a:avLst/>
        </a:prstGeom>
        <a:ln>
          <a:noFill/>
        </a:ln>
        <a:effectLst>
          <a:softEdge rad="112500"/>
        </a:effectLst>
      </xdr:spPr>
    </xdr:pic>
    <xdr:clientData/>
  </xdr:twoCellAnchor>
  <xdr:twoCellAnchor editAs="oneCell">
    <xdr:from>
      <xdr:col>7</xdr:col>
      <xdr:colOff>87083</xdr:colOff>
      <xdr:row>6</xdr:row>
      <xdr:rowOff>1</xdr:rowOff>
    </xdr:from>
    <xdr:to>
      <xdr:col>13</xdr:col>
      <xdr:colOff>13931</xdr:colOff>
      <xdr:row>17</xdr:row>
      <xdr:rowOff>1</xdr:rowOff>
    </xdr:to>
    <xdr:pic>
      <xdr:nvPicPr>
        <xdr:cNvPr id="9" name="Picture 8">
          <a:extLst>
            <a:ext uri="{FF2B5EF4-FFF2-40B4-BE49-F238E27FC236}">
              <a16:creationId xmlns:a16="http://schemas.microsoft.com/office/drawing/2014/main" xmlns="" id="{734FD7BE-EE34-D5F5-E1B1-8ECD1574511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86197" y="1088572"/>
          <a:ext cx="3584448" cy="1915886"/>
        </a:xfrm>
        <a:prstGeom prst="rect">
          <a:avLst/>
        </a:prstGeom>
        <a:ln>
          <a:noFill/>
        </a:ln>
        <a:effectLst>
          <a:softEdge rad="112500"/>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10</xdr:col>
      <xdr:colOff>119743</xdr:colOff>
      <xdr:row>0</xdr:row>
      <xdr:rowOff>7620</xdr:rowOff>
    </xdr:from>
    <xdr:to>
      <xdr:col>12</xdr:col>
      <xdr:colOff>601980</xdr:colOff>
      <xdr:row>3</xdr:row>
      <xdr:rowOff>170905</xdr:rowOff>
    </xdr:to>
    <xdr:pic>
      <xdr:nvPicPr>
        <xdr:cNvPr id="2" name="Picture 1">
          <a:extLst>
            <a:ext uri="{FF2B5EF4-FFF2-40B4-BE49-F238E27FC236}">
              <a16:creationId xmlns:a16="http://schemas.microsoft.com/office/drawing/2014/main" xmlns="" id="{9C8F1D09-100C-4D81-90DA-E2C06E3905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43303" y="7620"/>
          <a:ext cx="1701437" cy="711925"/>
        </a:xfrm>
        <a:prstGeom prst="rect">
          <a:avLst/>
        </a:prstGeom>
        <a:ln>
          <a:noFill/>
        </a:ln>
        <a:effectLst>
          <a:softEdge rad="112500"/>
        </a:effectLst>
      </xdr:spPr>
    </xdr:pic>
    <xdr:clientData/>
  </xdr:twoCellAnchor>
  <xdr:twoCellAnchor editAs="oneCell">
    <xdr:from>
      <xdr:col>1</xdr:col>
      <xdr:colOff>21772</xdr:colOff>
      <xdr:row>5</xdr:row>
      <xdr:rowOff>195943</xdr:rowOff>
    </xdr:from>
    <xdr:to>
      <xdr:col>12</xdr:col>
      <xdr:colOff>598715</xdr:colOff>
      <xdr:row>28</xdr:row>
      <xdr:rowOff>0</xdr:rowOff>
    </xdr:to>
    <xdr:pic>
      <xdr:nvPicPr>
        <xdr:cNvPr id="14" name="Picture 13">
          <a:extLst>
            <a:ext uri="{FF2B5EF4-FFF2-40B4-BE49-F238E27FC236}">
              <a16:creationId xmlns:a16="http://schemas.microsoft.com/office/drawing/2014/main" xmlns="" id="{3C474381-C58F-7B13-6794-4A0BDE52C21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3286" y="1121229"/>
          <a:ext cx="7282543" cy="4093028"/>
        </a:xfrm>
        <a:prstGeom prst="rect">
          <a:avLst/>
        </a:prstGeom>
      </xdr:spPr>
    </xdr:pic>
    <xdr:clientData/>
  </xdr:twoCellAnchor>
  <xdr:twoCellAnchor editAs="oneCell">
    <xdr:from>
      <xdr:col>1</xdr:col>
      <xdr:colOff>10884</xdr:colOff>
      <xdr:row>28</xdr:row>
      <xdr:rowOff>206828</xdr:rowOff>
    </xdr:from>
    <xdr:to>
      <xdr:col>12</xdr:col>
      <xdr:colOff>609599</xdr:colOff>
      <xdr:row>54</xdr:row>
      <xdr:rowOff>174170</xdr:rowOff>
    </xdr:to>
    <xdr:pic>
      <xdr:nvPicPr>
        <xdr:cNvPr id="16" name="Picture 15">
          <a:extLst>
            <a:ext uri="{FF2B5EF4-FFF2-40B4-BE49-F238E27FC236}">
              <a16:creationId xmlns:a16="http://schemas.microsoft.com/office/drawing/2014/main" xmlns="" id="{55A6BF5C-0732-ACE0-1927-CBCD58CA47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398" y="5421085"/>
          <a:ext cx="7304315" cy="4811485"/>
        </a:xfrm>
        <a:prstGeom prst="rect">
          <a:avLst/>
        </a:prstGeom>
      </xdr:spPr>
    </xdr:pic>
    <xdr:clientData/>
  </xdr:twoCellAnchor>
  <xdr:twoCellAnchor>
    <xdr:from>
      <xdr:col>1</xdr:col>
      <xdr:colOff>10885</xdr:colOff>
      <xdr:row>40</xdr:row>
      <xdr:rowOff>32657</xdr:rowOff>
    </xdr:from>
    <xdr:to>
      <xdr:col>6</xdr:col>
      <xdr:colOff>32657</xdr:colOff>
      <xdr:row>54</xdr:row>
      <xdr:rowOff>10884</xdr:rowOff>
    </xdr:to>
    <xdr:graphicFrame macro="">
      <xdr:nvGraphicFramePr>
        <xdr:cNvPr id="3" name="Chart 2">
          <a:extLst>
            <a:ext uri="{FF2B5EF4-FFF2-40B4-BE49-F238E27FC236}">
              <a16:creationId xmlns:a16="http://schemas.microsoft.com/office/drawing/2014/main" xmlns="" id="{6A105485-592F-457B-8E1D-84FCD1FFE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9</xdr:col>
      <xdr:colOff>195943</xdr:colOff>
      <xdr:row>25</xdr:row>
      <xdr:rowOff>65314</xdr:rowOff>
    </xdr:from>
    <xdr:ext cx="1981200" cy="266996"/>
    <xdr:sp macro="" textlink="">
      <xdr:nvSpPr>
        <xdr:cNvPr id="4" name="TextBox 3">
          <a:extLst>
            <a:ext uri="{FF2B5EF4-FFF2-40B4-BE49-F238E27FC236}">
              <a16:creationId xmlns:a16="http://schemas.microsoft.com/office/drawing/2014/main" xmlns="" id="{24547049-45F9-FC6B-A376-544A63E52DFB}"/>
            </a:ext>
          </a:extLst>
        </xdr:cNvPr>
        <xdr:cNvSpPr txBox="1"/>
      </xdr:nvSpPr>
      <xdr:spPr>
        <a:xfrm>
          <a:off x="5214257" y="4724400"/>
          <a:ext cx="1981200" cy="266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183.36 MTPA Within </a:t>
          </a:r>
          <a:r>
            <a:rPr lang="en-IN" sz="1100">
              <a:latin typeface="Bernard MT Condensed" panose="02050806060905020404" pitchFamily="18" charset="0"/>
            </a:rPr>
            <a:t>India</a:t>
          </a:r>
          <a:r>
            <a:rPr lang="en-IN" sz="1100"/>
            <a:t> itself</a:t>
          </a:r>
        </a:p>
      </xdr:txBody>
    </xdr:sp>
    <xdr:clientData/>
  </xdr:oneCellAnchor>
</xdr:wsDr>
</file>

<file path=xl/drawings/drawing45.xml><?xml version="1.0" encoding="utf-8"?>
<xdr:wsDr xmlns:xdr="http://schemas.openxmlformats.org/drawingml/2006/spreadsheetDrawing" xmlns:a="http://schemas.openxmlformats.org/drawingml/2006/main">
  <xdr:twoCellAnchor editAs="oneCell">
    <xdr:from>
      <xdr:col>10</xdr:col>
      <xdr:colOff>119743</xdr:colOff>
      <xdr:row>0</xdr:row>
      <xdr:rowOff>7620</xdr:rowOff>
    </xdr:from>
    <xdr:to>
      <xdr:col>12</xdr:col>
      <xdr:colOff>601980</xdr:colOff>
      <xdr:row>3</xdr:row>
      <xdr:rowOff>160020</xdr:rowOff>
    </xdr:to>
    <xdr:pic>
      <xdr:nvPicPr>
        <xdr:cNvPr id="2" name="Picture 1">
          <a:extLst>
            <a:ext uri="{FF2B5EF4-FFF2-40B4-BE49-F238E27FC236}">
              <a16:creationId xmlns:a16="http://schemas.microsoft.com/office/drawing/2014/main" xmlns="" id="{8BA7584E-3365-498D-A17A-585FC434272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43303" y="7620"/>
          <a:ext cx="1701437" cy="701040"/>
        </a:xfrm>
        <a:prstGeom prst="rect">
          <a:avLst/>
        </a:prstGeom>
        <a:ln>
          <a:noFill/>
        </a:ln>
        <a:effectLst>
          <a:softEdge rad="112500"/>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10</xdr:col>
      <xdr:colOff>119743</xdr:colOff>
      <xdr:row>0</xdr:row>
      <xdr:rowOff>7620</xdr:rowOff>
    </xdr:from>
    <xdr:to>
      <xdr:col>12</xdr:col>
      <xdr:colOff>601980</xdr:colOff>
      <xdr:row>3</xdr:row>
      <xdr:rowOff>160020</xdr:rowOff>
    </xdr:to>
    <xdr:pic>
      <xdr:nvPicPr>
        <xdr:cNvPr id="2" name="Picture 1">
          <a:extLst>
            <a:ext uri="{FF2B5EF4-FFF2-40B4-BE49-F238E27FC236}">
              <a16:creationId xmlns:a16="http://schemas.microsoft.com/office/drawing/2014/main" xmlns="" id="{5EE008C0-6800-48C5-A1BC-8B36848922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43303" y="7620"/>
          <a:ext cx="1701437" cy="701040"/>
        </a:xfrm>
        <a:prstGeom prst="rect">
          <a:avLst/>
        </a:prstGeom>
        <a:ln>
          <a:noFill/>
        </a:ln>
        <a:effectLst>
          <a:softEdge rad="112500"/>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10</xdr:col>
      <xdr:colOff>119743</xdr:colOff>
      <xdr:row>0</xdr:row>
      <xdr:rowOff>7620</xdr:rowOff>
    </xdr:from>
    <xdr:to>
      <xdr:col>12</xdr:col>
      <xdr:colOff>601980</xdr:colOff>
      <xdr:row>4</xdr:row>
      <xdr:rowOff>18505</xdr:rowOff>
    </xdr:to>
    <xdr:pic>
      <xdr:nvPicPr>
        <xdr:cNvPr id="2" name="Picture 1">
          <a:extLst>
            <a:ext uri="{FF2B5EF4-FFF2-40B4-BE49-F238E27FC236}">
              <a16:creationId xmlns:a16="http://schemas.microsoft.com/office/drawing/2014/main" xmlns="" id="{72971100-449A-4524-8227-04F7754FBB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43303" y="7620"/>
          <a:ext cx="1701437" cy="701040"/>
        </a:xfrm>
        <a:prstGeom prst="rect">
          <a:avLst/>
        </a:prstGeom>
        <a:ln>
          <a:noFill/>
        </a:ln>
        <a:effectLst>
          <a:softEdge rad="112500"/>
        </a:effectLst>
      </xdr:spPr>
    </xdr:pic>
    <xdr:clientData/>
  </xdr:twoCellAnchor>
  <xdr:twoCellAnchor>
    <xdr:from>
      <xdr:col>1</xdr:col>
      <xdr:colOff>10886</xdr:colOff>
      <xdr:row>8</xdr:row>
      <xdr:rowOff>10886</xdr:rowOff>
    </xdr:from>
    <xdr:to>
      <xdr:col>7</xdr:col>
      <xdr:colOff>0</xdr:colOff>
      <xdr:row>21</xdr:row>
      <xdr:rowOff>10885</xdr:rowOff>
    </xdr:to>
    <xdr:graphicFrame macro="">
      <xdr:nvGraphicFramePr>
        <xdr:cNvPr id="3" name="Chart 2">
          <a:extLst>
            <a:ext uri="{FF2B5EF4-FFF2-40B4-BE49-F238E27FC236}">
              <a16:creationId xmlns:a16="http://schemas.microsoft.com/office/drawing/2014/main" xmlns="" id="{EB8603FC-50D3-40B1-A78F-7A744B01E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xdr:colOff>
      <xdr:row>25</xdr:row>
      <xdr:rowOff>10886</xdr:rowOff>
    </xdr:from>
    <xdr:to>
      <xdr:col>6</xdr:col>
      <xdr:colOff>600458</xdr:colOff>
      <xdr:row>38</xdr:row>
      <xdr:rowOff>14369</xdr:rowOff>
    </xdr:to>
    <xdr:graphicFrame macro="">
      <xdr:nvGraphicFramePr>
        <xdr:cNvPr id="4" name="Chart 3">
          <a:extLst>
            <a:ext uri="{FF2B5EF4-FFF2-40B4-BE49-F238E27FC236}">
              <a16:creationId xmlns:a16="http://schemas.microsoft.com/office/drawing/2014/main" xmlns="" id="{DA1D39E2-B9DF-4557-9DCE-AE6D2D911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604150</xdr:colOff>
      <xdr:row>25</xdr:row>
      <xdr:rowOff>2</xdr:rowOff>
    </xdr:from>
    <xdr:to>
      <xdr:col>12</xdr:col>
      <xdr:colOff>595006</xdr:colOff>
      <xdr:row>38</xdr:row>
      <xdr:rowOff>3485</xdr:rowOff>
    </xdr:to>
    <xdr:graphicFrame macro="">
      <xdr:nvGraphicFramePr>
        <xdr:cNvPr id="5" name="Chart 4">
          <a:extLst>
            <a:ext uri="{FF2B5EF4-FFF2-40B4-BE49-F238E27FC236}">
              <a16:creationId xmlns:a16="http://schemas.microsoft.com/office/drawing/2014/main" xmlns="" id="{25234396-6774-48E7-86AD-34E4036B5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xdr:colOff>
      <xdr:row>8</xdr:row>
      <xdr:rowOff>0</xdr:rowOff>
    </xdr:from>
    <xdr:to>
      <xdr:col>12</xdr:col>
      <xdr:colOff>600457</xdr:colOff>
      <xdr:row>21</xdr:row>
      <xdr:rowOff>3483</xdr:rowOff>
    </xdr:to>
    <xdr:graphicFrame macro="">
      <xdr:nvGraphicFramePr>
        <xdr:cNvPr id="6" name="Chart 5">
          <a:extLst>
            <a:ext uri="{FF2B5EF4-FFF2-40B4-BE49-F238E27FC236}">
              <a16:creationId xmlns:a16="http://schemas.microsoft.com/office/drawing/2014/main" xmlns="" id="{CA595645-63EE-4C44-94B7-AFCA9208F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195942</xdr:colOff>
      <xdr:row>41</xdr:row>
      <xdr:rowOff>163285</xdr:rowOff>
    </xdr:from>
    <xdr:to>
      <xdr:col>13</xdr:col>
      <xdr:colOff>32657</xdr:colOff>
      <xdr:row>54</xdr:row>
      <xdr:rowOff>141513</xdr:rowOff>
    </xdr:to>
    <xdr:graphicFrame macro="">
      <xdr:nvGraphicFramePr>
        <xdr:cNvPr id="7" name="Chart 6">
          <a:extLst>
            <a:ext uri="{FF2B5EF4-FFF2-40B4-BE49-F238E27FC236}">
              <a16:creationId xmlns:a16="http://schemas.microsoft.com/office/drawing/2014/main" xmlns="" id="{F1ACDB37-1B98-473F-BC74-35CC6E973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editAs="oneCell">
    <xdr:from>
      <xdr:col>10</xdr:col>
      <xdr:colOff>119743</xdr:colOff>
      <xdr:row>0</xdr:row>
      <xdr:rowOff>7620</xdr:rowOff>
    </xdr:from>
    <xdr:to>
      <xdr:col>12</xdr:col>
      <xdr:colOff>601980</xdr:colOff>
      <xdr:row>3</xdr:row>
      <xdr:rowOff>170905</xdr:rowOff>
    </xdr:to>
    <xdr:pic>
      <xdr:nvPicPr>
        <xdr:cNvPr id="2" name="Picture 1">
          <a:extLst>
            <a:ext uri="{FF2B5EF4-FFF2-40B4-BE49-F238E27FC236}">
              <a16:creationId xmlns:a16="http://schemas.microsoft.com/office/drawing/2014/main" xmlns="" id="{1D562056-EDDA-4F48-9291-2B5950B291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43303" y="7620"/>
          <a:ext cx="1701437" cy="711925"/>
        </a:xfrm>
        <a:prstGeom prst="rect">
          <a:avLst/>
        </a:prstGeom>
        <a:ln>
          <a:noFill/>
        </a:ln>
        <a:effectLst>
          <a:softEdge rad="112500"/>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10</xdr:col>
      <xdr:colOff>119743</xdr:colOff>
      <xdr:row>0</xdr:row>
      <xdr:rowOff>7620</xdr:rowOff>
    </xdr:from>
    <xdr:to>
      <xdr:col>12</xdr:col>
      <xdr:colOff>601980</xdr:colOff>
      <xdr:row>3</xdr:row>
      <xdr:rowOff>170905</xdr:rowOff>
    </xdr:to>
    <xdr:pic>
      <xdr:nvPicPr>
        <xdr:cNvPr id="2" name="Picture 1">
          <a:extLst>
            <a:ext uri="{FF2B5EF4-FFF2-40B4-BE49-F238E27FC236}">
              <a16:creationId xmlns:a16="http://schemas.microsoft.com/office/drawing/2014/main" xmlns="" id="{577B9887-43BC-48E9-B3F7-7C4B6F1EC4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59783" y="7620"/>
          <a:ext cx="1701437" cy="711925"/>
        </a:xfrm>
        <a:prstGeom prst="rect">
          <a:avLst/>
        </a:prstGeom>
        <a:ln>
          <a:noFill/>
        </a:ln>
        <a:effectLst>
          <a:softEdge rad="112500"/>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10</xdr:col>
      <xdr:colOff>119743</xdr:colOff>
      <xdr:row>0</xdr:row>
      <xdr:rowOff>7620</xdr:rowOff>
    </xdr:from>
    <xdr:to>
      <xdr:col>12</xdr:col>
      <xdr:colOff>601980</xdr:colOff>
      <xdr:row>4</xdr:row>
      <xdr:rowOff>18505</xdr:rowOff>
    </xdr:to>
    <xdr:pic>
      <xdr:nvPicPr>
        <xdr:cNvPr id="3" name="Picture 2">
          <a:extLst>
            <a:ext uri="{FF2B5EF4-FFF2-40B4-BE49-F238E27FC236}">
              <a16:creationId xmlns:a16="http://schemas.microsoft.com/office/drawing/2014/main" xmlns="" id="{1670FAE4-05EB-4937-983E-12505BF83A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43303" y="7620"/>
          <a:ext cx="1701437" cy="711925"/>
        </a:xfrm>
        <a:prstGeom prst="rect">
          <a:avLst/>
        </a:prstGeom>
        <a:ln>
          <a:noFill/>
        </a:ln>
        <a:effectLst>
          <a:softEdge rad="112500"/>
        </a:effectLst>
      </xdr:spPr>
    </xdr:pic>
    <xdr:clientData/>
  </xdr:twoCellAnchor>
  <xdr:twoCellAnchor>
    <xdr:from>
      <xdr:col>1</xdr:col>
      <xdr:colOff>0</xdr:colOff>
      <xdr:row>8</xdr:row>
      <xdr:rowOff>174170</xdr:rowOff>
    </xdr:from>
    <xdr:to>
      <xdr:col>12</xdr:col>
      <xdr:colOff>598715</xdr:colOff>
      <xdr:row>53</xdr:row>
      <xdr:rowOff>185056</xdr:rowOff>
    </xdr:to>
    <xdr:graphicFrame macro="">
      <xdr:nvGraphicFramePr>
        <xdr:cNvPr id="4" name="Chart 3">
          <a:extLst>
            <a:ext uri="{FF2B5EF4-FFF2-40B4-BE49-F238E27FC236}">
              <a16:creationId xmlns:a16="http://schemas.microsoft.com/office/drawing/2014/main" xmlns="" id="{012ADD66-B518-43C8-8BC8-8FD358F00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editAs="oneCell">
    <xdr:from>
      <xdr:col>10</xdr:col>
      <xdr:colOff>119743</xdr:colOff>
      <xdr:row>0</xdr:row>
      <xdr:rowOff>7620</xdr:rowOff>
    </xdr:from>
    <xdr:to>
      <xdr:col>12</xdr:col>
      <xdr:colOff>601980</xdr:colOff>
      <xdr:row>3</xdr:row>
      <xdr:rowOff>170905</xdr:rowOff>
    </xdr:to>
    <xdr:pic>
      <xdr:nvPicPr>
        <xdr:cNvPr id="2" name="Picture 1">
          <a:extLst>
            <a:ext uri="{FF2B5EF4-FFF2-40B4-BE49-F238E27FC236}">
              <a16:creationId xmlns:a16="http://schemas.microsoft.com/office/drawing/2014/main" xmlns="" id="{55EA59E8-4F2A-4982-A7C2-1D08BE2BC2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43303" y="7620"/>
          <a:ext cx="1701437" cy="711925"/>
        </a:xfrm>
        <a:prstGeom prst="rect">
          <a:avLst/>
        </a:prstGeom>
        <a:ln>
          <a:noFill/>
        </a:ln>
        <a:effectLst>
          <a:softEdge rad="112500"/>
        </a:effectLst>
      </xdr:spPr>
    </xdr:pic>
    <xdr:clientData/>
  </xdr:twoCellAnchor>
  <xdr:twoCellAnchor editAs="oneCell">
    <xdr:from>
      <xdr:col>1</xdr:col>
      <xdr:colOff>108857</xdr:colOff>
      <xdr:row>36</xdr:row>
      <xdr:rowOff>76201</xdr:rowOff>
    </xdr:from>
    <xdr:to>
      <xdr:col>12</xdr:col>
      <xdr:colOff>468086</xdr:colOff>
      <xdr:row>62</xdr:row>
      <xdr:rowOff>141515</xdr:rowOff>
    </xdr:to>
    <xdr:pic>
      <xdr:nvPicPr>
        <xdr:cNvPr id="4" name="Picture 3">
          <a:extLst>
            <a:ext uri="{FF2B5EF4-FFF2-40B4-BE49-F238E27FC236}">
              <a16:creationId xmlns:a16="http://schemas.microsoft.com/office/drawing/2014/main" xmlns="" id="{E928CAD4-4FC9-2B2D-49F9-F23BE4CDE4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0371" y="6574972"/>
          <a:ext cx="7064829" cy="4876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2.bin"/></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3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4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K10"/>
  <sheetViews>
    <sheetView workbookViewId="0"/>
  </sheetViews>
  <sheetFormatPr defaultRowHeight="14.4" x14ac:dyDescent="0.3"/>
  <cols>
    <col min="1" max="16384" width="8.88671875" style="53"/>
  </cols>
  <sheetData>
    <row r="10" spans="11:11" ht="15.6" x14ac:dyDescent="0.4">
      <c r="K10" s="15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134"/>
  <sheetViews>
    <sheetView workbookViewId="0"/>
  </sheetViews>
  <sheetFormatPr defaultColWidth="16.77734375" defaultRowHeight="14.4" x14ac:dyDescent="0.3"/>
  <cols>
    <col min="1" max="1" width="2" style="53" customWidth="1"/>
    <col min="2" max="2" width="44.77734375" style="53" customWidth="1"/>
    <col min="3" max="16384" width="16.77734375" style="53"/>
  </cols>
  <sheetData>
    <row r="1" spans="2:11" x14ac:dyDescent="0.3">
      <c r="B1" s="97" t="s">
        <v>294</v>
      </c>
      <c r="C1" s="513"/>
      <c r="D1" s="513"/>
      <c r="E1" s="513"/>
      <c r="F1" s="513"/>
    </row>
    <row r="3" spans="2:11" ht="15" thickBot="1" x14ac:dyDescent="0.35">
      <c r="B3" s="116" t="s">
        <v>295</v>
      </c>
      <c r="C3" s="117">
        <v>2021</v>
      </c>
      <c r="D3" s="117">
        <v>2022</v>
      </c>
      <c r="E3" s="117">
        <v>2023</v>
      </c>
      <c r="F3" s="117">
        <v>2024</v>
      </c>
      <c r="G3" s="425">
        <v>2025</v>
      </c>
    </row>
    <row r="4" spans="2:11" x14ac:dyDescent="0.3">
      <c r="B4" s="54" t="s">
        <v>296</v>
      </c>
      <c r="C4" s="99">
        <v>44725</v>
      </c>
      <c r="D4" s="257">
        <v>52598.83</v>
      </c>
      <c r="E4" s="257">
        <v>63239.98</v>
      </c>
      <c r="F4" s="99">
        <v>70908</v>
      </c>
      <c r="G4" s="53">
        <v>75955</v>
      </c>
      <c r="H4" s="369"/>
      <c r="I4" s="369"/>
      <c r="J4" s="369"/>
      <c r="K4" s="369"/>
    </row>
    <row r="5" spans="2:11" x14ac:dyDescent="0.3">
      <c r="B5" s="54" t="s">
        <v>289</v>
      </c>
      <c r="C5" s="54">
        <v>734</v>
      </c>
      <c r="D5" s="257">
        <v>507.81</v>
      </c>
      <c r="E5" s="257">
        <v>503.08</v>
      </c>
      <c r="F5" s="54">
        <v>617</v>
      </c>
      <c r="G5" s="53">
        <v>744</v>
      </c>
      <c r="H5" s="98"/>
      <c r="I5" s="54"/>
      <c r="J5" s="54"/>
      <c r="K5" s="54"/>
    </row>
    <row r="6" spans="2:11" x14ac:dyDescent="0.3">
      <c r="B6" s="54" t="s">
        <v>3</v>
      </c>
      <c r="C6" s="53">
        <f t="shared" ref="C6:F6" si="0">SUM(C4:C5)</f>
        <v>45459</v>
      </c>
      <c r="D6" s="190">
        <f t="shared" si="0"/>
        <v>53106.64</v>
      </c>
      <c r="E6" s="190">
        <f t="shared" si="0"/>
        <v>63743.060000000005</v>
      </c>
      <c r="F6" s="53">
        <f t="shared" si="0"/>
        <v>71525</v>
      </c>
      <c r="G6" s="53">
        <f>SUM(G4:G5)</f>
        <v>76699</v>
      </c>
      <c r="H6" s="54"/>
      <c r="I6" s="54"/>
      <c r="J6" s="121"/>
      <c r="K6" s="121"/>
    </row>
    <row r="7" spans="2:11" x14ac:dyDescent="0.3">
      <c r="B7" s="54" t="s">
        <v>297</v>
      </c>
      <c r="C7" s="54"/>
      <c r="D7" s="257"/>
      <c r="E7" s="257"/>
      <c r="F7" s="54"/>
      <c r="H7" s="54"/>
      <c r="I7" s="54"/>
      <c r="J7" s="54"/>
      <c r="K7" s="54"/>
    </row>
    <row r="8" spans="2:11" x14ac:dyDescent="0.3">
      <c r="B8" s="54" t="s">
        <v>298</v>
      </c>
      <c r="C8" s="99">
        <v>5793</v>
      </c>
      <c r="D8" s="257">
        <v>7096.49</v>
      </c>
      <c r="E8" s="257">
        <v>8933.49</v>
      </c>
      <c r="F8" s="99">
        <v>10252</v>
      </c>
      <c r="G8" s="53">
        <v>11821</v>
      </c>
      <c r="H8" s="98"/>
      <c r="I8" s="54"/>
      <c r="J8" s="122"/>
      <c r="K8" s="122"/>
    </row>
    <row r="9" spans="2:11" x14ac:dyDescent="0.3">
      <c r="B9" s="54" t="s">
        <v>299</v>
      </c>
      <c r="C9" s="54">
        <v>841</v>
      </c>
      <c r="D9" s="257">
        <v>1251.6600000000001</v>
      </c>
      <c r="E9" s="257">
        <v>1299.68</v>
      </c>
      <c r="F9" s="54">
        <v>1733</v>
      </c>
      <c r="G9" s="53">
        <v>1869</v>
      </c>
      <c r="H9" s="54"/>
      <c r="I9" s="54"/>
      <c r="J9" s="54"/>
      <c r="K9" s="54"/>
    </row>
    <row r="10" spans="2:11" x14ac:dyDescent="0.3">
      <c r="B10" s="54" t="s">
        <v>300</v>
      </c>
      <c r="C10" s="54">
        <v>450</v>
      </c>
      <c r="D10" s="54">
        <v>-383.16</v>
      </c>
      <c r="E10" s="54">
        <v>-518.21</v>
      </c>
      <c r="F10" s="54">
        <v>-83</v>
      </c>
      <c r="G10" s="53">
        <v>12</v>
      </c>
      <c r="H10" s="98"/>
      <c r="I10" s="54"/>
      <c r="J10" s="54"/>
      <c r="K10" s="54"/>
    </row>
    <row r="11" spans="2:11" x14ac:dyDescent="0.3">
      <c r="B11" s="54" t="s">
        <v>301</v>
      </c>
      <c r="C11" s="99">
        <v>8331</v>
      </c>
      <c r="D11" s="257">
        <v>12137.26</v>
      </c>
      <c r="E11" s="257">
        <v>18491.32</v>
      </c>
      <c r="F11" s="99">
        <v>18283</v>
      </c>
      <c r="G11" s="53">
        <v>18419</v>
      </c>
      <c r="H11" s="54"/>
      <c r="I11" s="54"/>
      <c r="J11" s="121"/>
      <c r="K11" s="121"/>
    </row>
    <row r="12" spans="2:11" x14ac:dyDescent="0.3">
      <c r="B12" s="54" t="s">
        <v>302</v>
      </c>
      <c r="C12" s="99">
        <v>10043</v>
      </c>
      <c r="D12" s="257">
        <v>11712.33</v>
      </c>
      <c r="E12" s="257">
        <v>14009.16</v>
      </c>
      <c r="F12" s="99">
        <v>15880</v>
      </c>
      <c r="G12" s="53">
        <v>17459</v>
      </c>
      <c r="H12" s="54"/>
      <c r="I12" s="54"/>
      <c r="J12" s="121"/>
      <c r="K12" s="121"/>
    </row>
    <row r="13" spans="2:11" x14ac:dyDescent="0.3">
      <c r="B13" s="54" t="s">
        <v>303</v>
      </c>
      <c r="C13" s="99">
        <v>2353</v>
      </c>
      <c r="D13" s="257">
        <v>2534.6799999999998</v>
      </c>
      <c r="E13" s="257">
        <v>2738.97</v>
      </c>
      <c r="F13" s="99">
        <v>3037</v>
      </c>
      <c r="G13" s="53">
        <v>3604</v>
      </c>
      <c r="H13" s="54"/>
      <c r="I13" s="54"/>
      <c r="J13" s="54"/>
      <c r="K13" s="54"/>
    </row>
    <row r="14" spans="2:11" x14ac:dyDescent="0.3">
      <c r="B14" s="54" t="s">
        <v>304</v>
      </c>
      <c r="C14" s="99">
        <v>1485</v>
      </c>
      <c r="D14" s="257">
        <v>944.71</v>
      </c>
      <c r="E14" s="257">
        <v>822.72</v>
      </c>
      <c r="F14" s="54">
        <v>968</v>
      </c>
      <c r="G14" s="276">
        <v>1650</v>
      </c>
      <c r="H14" s="54"/>
      <c r="I14" s="54"/>
      <c r="J14" s="121"/>
      <c r="K14" s="121"/>
    </row>
    <row r="15" spans="2:11" x14ac:dyDescent="0.3">
      <c r="B15" s="54" t="s">
        <v>305</v>
      </c>
      <c r="C15" s="99">
        <v>2700</v>
      </c>
      <c r="D15" s="257">
        <v>2714.75</v>
      </c>
      <c r="E15" s="257">
        <v>2887.99</v>
      </c>
      <c r="F15" s="99">
        <v>3145</v>
      </c>
      <c r="G15" s="53">
        <v>4014</v>
      </c>
      <c r="H15" s="54"/>
      <c r="I15" s="54"/>
      <c r="J15" s="54"/>
      <c r="K15" s="54"/>
    </row>
    <row r="16" spans="2:11" x14ac:dyDescent="0.3">
      <c r="B16" s="54" t="s">
        <v>306</v>
      </c>
      <c r="C16" s="99">
        <v>5367</v>
      </c>
      <c r="D16" s="257">
        <v>6735.22</v>
      </c>
      <c r="E16" s="257">
        <v>7665.72</v>
      </c>
      <c r="F16" s="99">
        <v>8835</v>
      </c>
      <c r="G16" s="53">
        <v>10210</v>
      </c>
      <c r="H16" s="54"/>
      <c r="I16" s="54"/>
      <c r="J16" s="121"/>
      <c r="K16" s="121"/>
    </row>
    <row r="17" spans="2:11" x14ac:dyDescent="0.3">
      <c r="B17" s="54" t="s">
        <v>307</v>
      </c>
      <c r="C17" s="53">
        <f t="shared" ref="C17:F17" si="1">SUM(C8:C16)</f>
        <v>37363</v>
      </c>
      <c r="D17" s="190">
        <f t="shared" si="1"/>
        <v>44743.94</v>
      </c>
      <c r="E17" s="190">
        <f t="shared" si="1"/>
        <v>56330.840000000004</v>
      </c>
      <c r="F17" s="53">
        <f t="shared" si="1"/>
        <v>62050</v>
      </c>
      <c r="G17" s="53">
        <f>SUM(G8:G16)</f>
        <v>69058</v>
      </c>
      <c r="H17" s="54"/>
      <c r="I17" s="54"/>
      <c r="J17" s="121"/>
      <c r="K17" s="121"/>
    </row>
    <row r="18" spans="2:11" x14ac:dyDescent="0.3">
      <c r="B18" s="54" t="s">
        <v>308</v>
      </c>
      <c r="C18" s="99">
        <v>7857</v>
      </c>
      <c r="D18" s="257">
        <v>8364.4</v>
      </c>
      <c r="E18" s="257">
        <v>7416.25</v>
      </c>
      <c r="F18" s="99">
        <v>9422</v>
      </c>
      <c r="G18" s="53">
        <v>7528</v>
      </c>
      <c r="H18" s="54"/>
      <c r="I18" s="54"/>
      <c r="J18" s="121"/>
      <c r="K18" s="121"/>
    </row>
    <row r="19" spans="2:11" x14ac:dyDescent="0.3">
      <c r="B19" s="54" t="s">
        <v>309</v>
      </c>
      <c r="C19" s="99">
        <v>2538</v>
      </c>
      <c r="D19" s="257">
        <v>1190.06</v>
      </c>
      <c r="E19" s="257">
        <v>2342.85</v>
      </c>
      <c r="F19" s="99">
        <v>2418</v>
      </c>
      <c r="G19" s="53">
        <v>1488</v>
      </c>
      <c r="H19" s="54"/>
      <c r="I19" s="54"/>
      <c r="J19" s="121"/>
      <c r="K19" s="121"/>
    </row>
    <row r="20" spans="2:11" x14ac:dyDescent="0.3">
      <c r="B20" s="54" t="s">
        <v>310</v>
      </c>
      <c r="C20" s="99">
        <f>C18-C19</f>
        <v>5319</v>
      </c>
      <c r="D20" s="257">
        <f t="shared" ref="D20:G20" si="2">D18-D19</f>
        <v>7174.34</v>
      </c>
      <c r="E20" s="257">
        <f t="shared" si="2"/>
        <v>5073.3999999999996</v>
      </c>
      <c r="F20" s="99">
        <f t="shared" si="2"/>
        <v>7004</v>
      </c>
      <c r="G20" s="99">
        <f t="shared" si="2"/>
        <v>6040</v>
      </c>
      <c r="H20" s="98"/>
      <c r="I20" s="54"/>
      <c r="J20" s="122"/>
      <c r="K20" s="122"/>
    </row>
    <row r="21" spans="2:11" x14ac:dyDescent="0.3">
      <c r="B21" s="54" t="s">
        <v>311</v>
      </c>
      <c r="C21" s="54">
        <v>63</v>
      </c>
      <c r="D21" s="54">
        <v>-18</v>
      </c>
      <c r="E21" s="54">
        <v>-93</v>
      </c>
      <c r="F21" s="54">
        <v>-82</v>
      </c>
      <c r="G21" s="53">
        <v>600</v>
      </c>
      <c r="H21" s="54"/>
      <c r="I21" s="54"/>
      <c r="J21" s="54"/>
      <c r="K21" s="54"/>
    </row>
    <row r="22" spans="2:11" x14ac:dyDescent="0.3">
      <c r="B22" s="54" t="s">
        <v>312</v>
      </c>
      <c r="C22" s="99">
        <v>5405</v>
      </c>
      <c r="D22" s="257">
        <v>7048</v>
      </c>
      <c r="E22" s="257">
        <v>4823</v>
      </c>
      <c r="F22" s="99">
        <v>6822</v>
      </c>
      <c r="G22" s="53">
        <v>6792</v>
      </c>
      <c r="H22" s="98"/>
      <c r="I22" s="54"/>
      <c r="J22" s="122"/>
      <c r="K22" s="122"/>
    </row>
    <row r="23" spans="2:11" ht="15" thickBot="1" x14ac:dyDescent="0.35">
      <c r="B23" s="120" t="s">
        <v>313</v>
      </c>
      <c r="C23" s="464">
        <v>189.33</v>
      </c>
      <c r="D23" s="120">
        <v>248.98</v>
      </c>
      <c r="E23" s="120">
        <v>175.54</v>
      </c>
      <c r="F23" s="464">
        <v>242.87</v>
      </c>
      <c r="G23" s="465">
        <v>205.13</v>
      </c>
      <c r="H23" s="54"/>
      <c r="I23" s="54"/>
      <c r="J23" s="54"/>
      <c r="K23" s="54"/>
    </row>
    <row r="24" spans="2:11" ht="15" thickTop="1" x14ac:dyDescent="0.3">
      <c r="H24" s="98"/>
      <c r="I24" s="54"/>
      <c r="J24" s="122"/>
      <c r="K24" s="122"/>
    </row>
    <row r="25" spans="2:11" x14ac:dyDescent="0.3">
      <c r="B25" s="100" t="s">
        <v>314</v>
      </c>
      <c r="C25" s="513"/>
      <c r="D25" s="513"/>
      <c r="E25" s="513"/>
      <c r="F25" s="513"/>
      <c r="G25" s="420"/>
      <c r="H25" s="54"/>
      <c r="I25" s="54"/>
      <c r="J25" s="54"/>
      <c r="K25" s="54"/>
    </row>
    <row r="26" spans="2:11" x14ac:dyDescent="0.3">
      <c r="H26" s="54"/>
      <c r="I26" s="54"/>
      <c r="J26" s="121"/>
      <c r="K26" s="121"/>
    </row>
    <row r="27" spans="2:11" ht="15" thickBot="1" x14ac:dyDescent="0.35">
      <c r="B27" s="118" t="s">
        <v>295</v>
      </c>
      <c r="C27" s="119">
        <v>2021</v>
      </c>
      <c r="D27" s="119">
        <v>2022</v>
      </c>
      <c r="E27" s="119">
        <v>2023</v>
      </c>
      <c r="F27" s="119">
        <v>2024</v>
      </c>
      <c r="G27" s="426">
        <v>2025</v>
      </c>
      <c r="H27" s="54"/>
      <c r="I27" s="54"/>
      <c r="J27" s="54"/>
      <c r="K27" s="54"/>
    </row>
    <row r="28" spans="2:11" x14ac:dyDescent="0.3">
      <c r="B28" s="98" t="s">
        <v>19</v>
      </c>
      <c r="C28" s="54"/>
      <c r="D28" s="54"/>
      <c r="E28" s="54"/>
      <c r="F28" s="54"/>
      <c r="H28" s="98"/>
      <c r="I28" s="54"/>
      <c r="J28" s="122"/>
      <c r="K28" s="122"/>
    </row>
    <row r="29" spans="2:11" x14ac:dyDescent="0.3">
      <c r="B29" s="98" t="s">
        <v>315</v>
      </c>
      <c r="C29" s="54"/>
      <c r="D29" s="54"/>
      <c r="E29" s="54"/>
      <c r="F29" s="54"/>
      <c r="H29" s="98"/>
      <c r="I29" s="54"/>
      <c r="J29" s="122"/>
      <c r="K29" s="122"/>
    </row>
    <row r="30" spans="2:11" x14ac:dyDescent="0.3">
      <c r="B30" s="54" t="s">
        <v>316</v>
      </c>
      <c r="C30" s="99">
        <v>42291</v>
      </c>
      <c r="D30" s="60">
        <v>42592.19</v>
      </c>
      <c r="E30" s="121">
        <v>46480.28</v>
      </c>
      <c r="F30" s="99">
        <v>50126</v>
      </c>
      <c r="G30" s="53">
        <v>76015</v>
      </c>
      <c r="H30" s="54"/>
      <c r="I30" s="54"/>
      <c r="J30" s="54"/>
      <c r="K30" s="54"/>
    </row>
    <row r="31" spans="2:11" x14ac:dyDescent="0.3">
      <c r="B31" s="54" t="s">
        <v>317</v>
      </c>
      <c r="C31" s="99">
        <v>1680</v>
      </c>
      <c r="D31" s="60">
        <v>4777.25</v>
      </c>
      <c r="E31" s="60">
        <v>4034.91</v>
      </c>
      <c r="F31" s="99">
        <v>6782</v>
      </c>
      <c r="G31" s="53">
        <v>6188</v>
      </c>
      <c r="H31" s="98"/>
      <c r="I31" s="54"/>
      <c r="J31" s="122"/>
      <c r="K31" s="122"/>
    </row>
    <row r="32" spans="2:11" x14ac:dyDescent="0.3">
      <c r="B32" s="54" t="s">
        <v>318</v>
      </c>
      <c r="C32" s="99">
        <v>1334</v>
      </c>
      <c r="D32" s="60">
        <v>1178.5999999999999</v>
      </c>
      <c r="E32" s="60">
        <v>1190.3599999999999</v>
      </c>
      <c r="F32" s="54">
        <v>916</v>
      </c>
      <c r="G32" s="53">
        <v>835</v>
      </c>
      <c r="H32" s="54"/>
      <c r="I32" s="54"/>
      <c r="J32" s="54"/>
      <c r="K32" s="54"/>
    </row>
    <row r="33" spans="2:11" x14ac:dyDescent="0.3">
      <c r="B33" s="54" t="s">
        <v>2480</v>
      </c>
      <c r="C33" s="99">
        <v>6219</v>
      </c>
      <c r="D33" s="60">
        <v>6250.21</v>
      </c>
      <c r="E33" s="60">
        <v>6329.26</v>
      </c>
      <c r="F33" s="54">
        <v>6345</v>
      </c>
      <c r="G33" s="53">
        <v>7681</v>
      </c>
      <c r="H33" s="98"/>
      <c r="I33" s="54"/>
      <c r="J33" s="54"/>
      <c r="K33" s="54"/>
    </row>
    <row r="34" spans="2:11" x14ac:dyDescent="0.3">
      <c r="B34" s="54" t="s">
        <v>319</v>
      </c>
      <c r="C34" s="99">
        <v>5571</v>
      </c>
      <c r="D34" s="99">
        <v>6208</v>
      </c>
      <c r="E34" s="99">
        <v>6037</v>
      </c>
      <c r="F34" s="99">
        <v>5517</v>
      </c>
      <c r="G34" s="53">
        <v>10076</v>
      </c>
      <c r="H34" s="54"/>
      <c r="I34" s="54"/>
      <c r="J34" s="54"/>
      <c r="K34" s="54"/>
    </row>
    <row r="35" spans="2:11" x14ac:dyDescent="0.3">
      <c r="B35" s="54" t="s">
        <v>2481</v>
      </c>
      <c r="C35" s="99">
        <v>1255</v>
      </c>
      <c r="D35" s="60">
        <v>1342.26</v>
      </c>
      <c r="E35" s="53">
        <v>584.34</v>
      </c>
      <c r="F35" s="99">
        <v>1795</v>
      </c>
      <c r="G35" s="53">
        <v>1997</v>
      </c>
      <c r="H35" s="54"/>
      <c r="I35" s="54"/>
      <c r="J35" s="54"/>
      <c r="K35" s="54"/>
    </row>
    <row r="36" spans="2:11" x14ac:dyDescent="0.3">
      <c r="B36" s="54" t="s">
        <v>325</v>
      </c>
      <c r="C36" s="99">
        <v>167</v>
      </c>
      <c r="D36" s="53">
        <v>9.59</v>
      </c>
      <c r="E36" s="53">
        <v>9.2200000000000006</v>
      </c>
      <c r="F36" s="99">
        <v>8</v>
      </c>
      <c r="G36" s="53">
        <v>16</v>
      </c>
      <c r="H36" s="54"/>
      <c r="I36" s="54"/>
      <c r="J36" s="54"/>
      <c r="K36" s="54"/>
    </row>
    <row r="37" spans="2:11" x14ac:dyDescent="0.3">
      <c r="B37" s="54" t="s">
        <v>320</v>
      </c>
      <c r="C37" s="99">
        <v>1997</v>
      </c>
      <c r="D37" s="60">
        <v>1109.98</v>
      </c>
      <c r="E37" s="60">
        <v>1881.11</v>
      </c>
      <c r="F37" s="99">
        <v>1457</v>
      </c>
      <c r="G37" s="53">
        <v>2933</v>
      </c>
      <c r="H37" s="54"/>
      <c r="I37" s="54"/>
      <c r="J37" s="54"/>
      <c r="K37" s="54"/>
    </row>
    <row r="38" spans="2:11" x14ac:dyDescent="0.3">
      <c r="B38" s="54" t="s">
        <v>321</v>
      </c>
      <c r="C38" s="99">
        <v>2707</v>
      </c>
      <c r="D38" s="60">
        <v>3078.27</v>
      </c>
      <c r="E38" s="60">
        <v>3265.49</v>
      </c>
      <c r="F38" s="99">
        <v>3264</v>
      </c>
      <c r="G38" s="53">
        <v>2991</v>
      </c>
      <c r="H38" s="98"/>
      <c r="I38" s="54"/>
      <c r="J38" s="54"/>
      <c r="K38" s="98"/>
    </row>
    <row r="39" spans="2:11" x14ac:dyDescent="0.3">
      <c r="B39" s="98" t="s">
        <v>322</v>
      </c>
      <c r="C39" s="99">
        <f t="shared" ref="C39:G39" si="3">SUM(C30:C38)</f>
        <v>63221</v>
      </c>
      <c r="D39" s="99">
        <f t="shared" si="3"/>
        <v>66546.350000000006</v>
      </c>
      <c r="E39" s="99">
        <f t="shared" si="3"/>
        <v>69811.97</v>
      </c>
      <c r="F39" s="99">
        <f t="shared" si="3"/>
        <v>76210</v>
      </c>
      <c r="G39" s="99">
        <f t="shared" si="3"/>
        <v>108732</v>
      </c>
      <c r="H39" s="54"/>
      <c r="I39" s="54"/>
      <c r="J39" s="54"/>
      <c r="K39" s="54"/>
    </row>
    <row r="40" spans="2:11" x14ac:dyDescent="0.3">
      <c r="B40" s="98" t="s">
        <v>20</v>
      </c>
      <c r="C40" s="54"/>
      <c r="D40" s="54"/>
      <c r="E40" s="54"/>
      <c r="F40" s="54"/>
      <c r="H40" s="98"/>
      <c r="I40" s="54"/>
      <c r="J40" s="122"/>
      <c r="K40" s="122"/>
    </row>
    <row r="41" spans="2:11" x14ac:dyDescent="0.3">
      <c r="B41" s="54" t="s">
        <v>21</v>
      </c>
      <c r="C41" s="99">
        <v>4017</v>
      </c>
      <c r="D41" s="60">
        <v>5595.58</v>
      </c>
      <c r="E41" s="60">
        <v>6611.83</v>
      </c>
      <c r="F41" s="99">
        <v>8329</v>
      </c>
      <c r="G41" s="53">
        <v>9562</v>
      </c>
      <c r="H41" s="54"/>
      <c r="I41" s="54"/>
      <c r="J41" s="54"/>
      <c r="K41" s="54"/>
    </row>
    <row r="42" spans="2:11" x14ac:dyDescent="0.3">
      <c r="B42" s="54" t="s">
        <v>2481</v>
      </c>
      <c r="C42" s="99">
        <v>10893</v>
      </c>
      <c r="D42" s="60">
        <v>4963.34</v>
      </c>
      <c r="E42" s="60">
        <v>5836.6</v>
      </c>
      <c r="F42" s="99">
        <v>5485</v>
      </c>
      <c r="G42" s="53">
        <v>2859</v>
      </c>
      <c r="H42" s="98"/>
      <c r="I42" s="54"/>
      <c r="J42" s="122"/>
      <c r="K42" s="122"/>
    </row>
    <row r="43" spans="2:11" x14ac:dyDescent="0.3">
      <c r="B43" s="54" t="s">
        <v>22</v>
      </c>
      <c r="C43" s="99">
        <v>2571</v>
      </c>
      <c r="D43" s="60">
        <v>3071.61</v>
      </c>
      <c r="E43" s="60">
        <v>3867.02</v>
      </c>
      <c r="F43" s="99">
        <v>4278</v>
      </c>
      <c r="G43" s="53">
        <v>5890</v>
      </c>
      <c r="H43" s="54"/>
      <c r="I43" s="54"/>
      <c r="J43" s="54"/>
      <c r="K43" s="54"/>
    </row>
    <row r="44" spans="2:11" x14ac:dyDescent="0.3">
      <c r="B44" s="54" t="s">
        <v>323</v>
      </c>
      <c r="C44" s="54">
        <v>177</v>
      </c>
      <c r="D44" s="53">
        <v>120.54</v>
      </c>
      <c r="E44" s="53">
        <v>370.37</v>
      </c>
      <c r="F44" s="99">
        <v>553</v>
      </c>
      <c r="G44" s="53">
        <v>467</v>
      </c>
      <c r="H44" s="98"/>
      <c r="I44" s="54"/>
      <c r="J44" s="54"/>
      <c r="K44" s="54"/>
    </row>
    <row r="45" spans="2:11" x14ac:dyDescent="0.3">
      <c r="B45" s="54" t="s">
        <v>324</v>
      </c>
      <c r="C45" s="54">
        <v>1830</v>
      </c>
      <c r="D45" s="53">
        <v>238.64</v>
      </c>
      <c r="E45" s="53">
        <v>779.22</v>
      </c>
      <c r="F45" s="54">
        <v>229</v>
      </c>
      <c r="G45" s="53">
        <v>1206</v>
      </c>
      <c r="H45" s="98"/>
      <c r="I45" s="54"/>
      <c r="J45" s="54"/>
      <c r="K45" s="54"/>
    </row>
    <row r="46" spans="2:11" x14ac:dyDescent="0.3">
      <c r="B46" s="54" t="s">
        <v>325</v>
      </c>
      <c r="C46" s="54">
        <v>114</v>
      </c>
      <c r="D46" s="53">
        <v>6.86</v>
      </c>
      <c r="E46" s="53">
        <v>67</v>
      </c>
      <c r="F46" s="54">
        <v>9</v>
      </c>
      <c r="G46" s="53">
        <v>10</v>
      </c>
      <c r="H46" s="54"/>
      <c r="I46" s="54"/>
      <c r="J46" s="54"/>
      <c r="K46" s="54"/>
    </row>
    <row r="47" spans="2:11" x14ac:dyDescent="0.3">
      <c r="B47" s="54" t="s">
        <v>465</v>
      </c>
      <c r="C47" s="54">
        <v>1899</v>
      </c>
      <c r="D47" s="60">
        <v>1871.95</v>
      </c>
      <c r="E47" s="60">
        <v>1433.82</v>
      </c>
      <c r="F47" s="54">
        <v>2310</v>
      </c>
      <c r="G47" s="53">
        <v>1298</v>
      </c>
      <c r="H47" s="54"/>
      <c r="I47" s="54"/>
      <c r="J47" s="54"/>
      <c r="K47" s="54"/>
    </row>
    <row r="48" spans="2:11" x14ac:dyDescent="0.3">
      <c r="B48" s="54" t="s">
        <v>326</v>
      </c>
      <c r="C48" s="99">
        <v>1548</v>
      </c>
      <c r="D48" s="60">
        <v>1613.94</v>
      </c>
      <c r="E48" s="60">
        <v>1818.28</v>
      </c>
      <c r="F48" s="99">
        <v>1948</v>
      </c>
      <c r="G48" s="53">
        <v>2247</v>
      </c>
      <c r="H48" s="98"/>
      <c r="I48" s="54"/>
      <c r="J48" s="54"/>
      <c r="K48" s="54"/>
    </row>
    <row r="49" spans="2:11" x14ac:dyDescent="0.3">
      <c r="B49" s="98" t="s">
        <v>26</v>
      </c>
      <c r="C49" s="99">
        <f t="shared" ref="C49:G49" si="4">SUM(C41:C48)</f>
        <v>23049</v>
      </c>
      <c r="D49" s="99">
        <f t="shared" si="4"/>
        <v>17482.460000000003</v>
      </c>
      <c r="E49" s="99">
        <f t="shared" si="4"/>
        <v>20784.14</v>
      </c>
      <c r="F49" s="99">
        <f t="shared" si="4"/>
        <v>23141</v>
      </c>
      <c r="G49" s="99">
        <f t="shared" si="4"/>
        <v>23539</v>
      </c>
      <c r="H49" s="54"/>
      <c r="I49" s="54"/>
      <c r="J49" s="54"/>
      <c r="K49" s="54"/>
    </row>
    <row r="50" spans="2:11" x14ac:dyDescent="0.3">
      <c r="B50" s="98" t="s">
        <v>43</v>
      </c>
      <c r="C50" s="99">
        <f t="shared" ref="C50:G50" si="5">C49+C39</f>
        <v>86270</v>
      </c>
      <c r="D50" s="99">
        <f t="shared" si="5"/>
        <v>84028.810000000012</v>
      </c>
      <c r="E50" s="99">
        <f t="shared" si="5"/>
        <v>90596.11</v>
      </c>
      <c r="F50" s="99">
        <f t="shared" si="5"/>
        <v>99351</v>
      </c>
      <c r="G50" s="99">
        <f t="shared" si="5"/>
        <v>132271</v>
      </c>
      <c r="H50" s="54"/>
      <c r="I50" s="54"/>
      <c r="J50" s="54"/>
      <c r="K50" s="54"/>
    </row>
    <row r="51" spans="2:11" x14ac:dyDescent="0.3">
      <c r="B51" s="54"/>
      <c r="C51" s="54"/>
      <c r="D51" s="54"/>
      <c r="E51" s="54"/>
      <c r="F51" s="54"/>
      <c r="H51" s="98"/>
      <c r="I51" s="54"/>
      <c r="J51" s="98"/>
      <c r="K51" s="98"/>
    </row>
    <row r="52" spans="2:11" x14ac:dyDescent="0.3">
      <c r="B52" s="98" t="s">
        <v>327</v>
      </c>
      <c r="C52" s="54"/>
      <c r="D52" s="54"/>
      <c r="E52" s="54"/>
      <c r="F52" s="54"/>
      <c r="H52" s="54"/>
      <c r="I52" s="54"/>
      <c r="J52" s="54"/>
      <c r="K52" s="54"/>
    </row>
    <row r="53" spans="2:11" x14ac:dyDescent="0.3">
      <c r="B53" s="98" t="s">
        <v>62</v>
      </c>
      <c r="C53" s="54"/>
      <c r="D53" s="54"/>
      <c r="E53" s="54"/>
      <c r="F53" s="54"/>
      <c r="H53" s="98"/>
      <c r="I53" s="54"/>
      <c r="J53" s="98"/>
      <c r="K53" s="98"/>
    </row>
    <row r="54" spans="2:11" x14ac:dyDescent="0.3">
      <c r="B54" s="54" t="s">
        <v>328</v>
      </c>
      <c r="C54" s="54">
        <v>288</v>
      </c>
      <c r="D54" s="53">
        <v>288.67</v>
      </c>
      <c r="E54" s="53">
        <v>288.69</v>
      </c>
      <c r="F54" s="54">
        <v>288</v>
      </c>
      <c r="G54" s="53">
        <v>294</v>
      </c>
      <c r="H54" s="54"/>
      <c r="I54" s="54"/>
      <c r="J54" s="54"/>
      <c r="K54" s="54"/>
    </row>
    <row r="55" spans="2:11" x14ac:dyDescent="0.3">
      <c r="B55" s="54" t="s">
        <v>329</v>
      </c>
      <c r="C55" s="99">
        <v>43886</v>
      </c>
      <c r="D55" s="60">
        <v>50146.6</v>
      </c>
      <c r="E55" s="60">
        <v>54035.85</v>
      </c>
      <c r="F55" s="99">
        <v>59938</v>
      </c>
      <c r="G55" s="53">
        <v>70411</v>
      </c>
      <c r="H55" s="98"/>
      <c r="I55" s="54"/>
      <c r="J55" s="122"/>
      <c r="K55" s="122"/>
    </row>
    <row r="56" spans="2:11" x14ac:dyDescent="0.3">
      <c r="B56" s="54" t="s">
        <v>2855</v>
      </c>
      <c r="C56" s="99">
        <v>6</v>
      </c>
      <c r="D56" s="53">
        <v>43.02</v>
      </c>
      <c r="E56" s="53">
        <v>55.63</v>
      </c>
      <c r="F56" s="99">
        <v>56</v>
      </c>
      <c r="G56" s="53">
        <v>3186</v>
      </c>
      <c r="H56" s="54"/>
      <c r="I56" s="54"/>
      <c r="J56" s="54"/>
      <c r="K56" s="54"/>
    </row>
    <row r="57" spans="2:11" x14ac:dyDescent="0.3">
      <c r="B57" s="98" t="s">
        <v>42</v>
      </c>
      <c r="C57" s="99">
        <f t="shared" ref="C57:F57" si="6">SUM(C54:C56)</f>
        <v>44180</v>
      </c>
      <c r="D57" s="99">
        <f t="shared" si="6"/>
        <v>50478.289999999994</v>
      </c>
      <c r="E57" s="99">
        <f t="shared" si="6"/>
        <v>54380.17</v>
      </c>
      <c r="F57" s="99">
        <f t="shared" si="6"/>
        <v>60282</v>
      </c>
      <c r="G57" s="99">
        <f>SUM(G54:G56)</f>
        <v>73891</v>
      </c>
      <c r="H57" s="98"/>
      <c r="I57" s="54"/>
      <c r="J57" s="122"/>
      <c r="K57" s="122"/>
    </row>
    <row r="58" spans="2:11" x14ac:dyDescent="0.3">
      <c r="B58" s="98" t="s">
        <v>330</v>
      </c>
      <c r="C58" s="54"/>
      <c r="D58" s="54"/>
      <c r="E58" s="54"/>
      <c r="F58" s="54"/>
      <c r="H58" s="54"/>
      <c r="I58" s="54"/>
      <c r="J58" s="54"/>
      <c r="K58" s="54"/>
    </row>
    <row r="59" spans="2:11" x14ac:dyDescent="0.3">
      <c r="B59" s="54" t="s">
        <v>331</v>
      </c>
      <c r="C59" s="99">
        <v>13548</v>
      </c>
      <c r="D59" s="60">
        <v>5303</v>
      </c>
      <c r="E59" s="60">
        <v>5356.41</v>
      </c>
      <c r="F59" s="99">
        <v>5307</v>
      </c>
      <c r="G59" s="53">
        <v>15780</v>
      </c>
      <c r="H59" s="98"/>
      <c r="I59" s="54"/>
      <c r="J59" s="54"/>
      <c r="K59" s="54"/>
    </row>
    <row r="60" spans="2:11" x14ac:dyDescent="0.3">
      <c r="B60" s="54" t="s">
        <v>38</v>
      </c>
      <c r="C60" s="99">
        <v>0</v>
      </c>
      <c r="D60" s="53">
        <v>978.2</v>
      </c>
      <c r="E60" s="121">
        <v>1010.65</v>
      </c>
      <c r="F60" s="99">
        <v>942</v>
      </c>
      <c r="G60" s="53">
        <v>868</v>
      </c>
      <c r="H60" s="54"/>
      <c r="I60" s="54"/>
      <c r="J60" s="54"/>
      <c r="K60" s="54"/>
    </row>
    <row r="61" spans="2:11" x14ac:dyDescent="0.3">
      <c r="B61" s="54" t="s">
        <v>336</v>
      </c>
      <c r="C61" s="99">
        <v>1451</v>
      </c>
      <c r="D61" s="53">
        <v>303.48</v>
      </c>
      <c r="E61" s="53">
        <v>319.83999999999997</v>
      </c>
      <c r="F61" s="54">
        <v>240</v>
      </c>
      <c r="G61" s="53">
        <v>287</v>
      </c>
      <c r="H61" s="54"/>
      <c r="I61" s="54"/>
      <c r="J61" s="54"/>
      <c r="K61" s="54"/>
    </row>
    <row r="62" spans="2:11" x14ac:dyDescent="0.3">
      <c r="B62" s="54" t="s">
        <v>332</v>
      </c>
      <c r="C62" s="99">
        <v>365</v>
      </c>
      <c r="D62" s="53">
        <v>617.84</v>
      </c>
      <c r="E62" s="53">
        <v>624.21</v>
      </c>
      <c r="F62" s="99">
        <v>670</v>
      </c>
      <c r="G62" s="53">
        <v>892</v>
      </c>
      <c r="H62" s="98"/>
      <c r="I62" s="54"/>
      <c r="J62" s="54"/>
      <c r="K62" s="54"/>
    </row>
    <row r="63" spans="2:11" x14ac:dyDescent="0.3">
      <c r="B63" s="54" t="s">
        <v>333</v>
      </c>
      <c r="C63" s="99">
        <v>6040</v>
      </c>
      <c r="D63" s="60">
        <v>6584.68</v>
      </c>
      <c r="E63" s="60">
        <v>6684.9</v>
      </c>
      <c r="F63" s="99">
        <v>6447</v>
      </c>
      <c r="G63" s="53">
        <v>9579</v>
      </c>
      <c r="H63" s="54"/>
      <c r="I63" s="54"/>
      <c r="J63" s="54"/>
      <c r="K63" s="54"/>
    </row>
    <row r="64" spans="2:11" x14ac:dyDescent="0.3">
      <c r="B64" s="54" t="s">
        <v>334</v>
      </c>
      <c r="C64" s="99">
        <v>5</v>
      </c>
      <c r="D64" s="53">
        <v>6.03</v>
      </c>
      <c r="E64" s="54">
        <v>3.78</v>
      </c>
      <c r="F64" s="99">
        <v>3</v>
      </c>
      <c r="G64" s="53">
        <v>30</v>
      </c>
      <c r="H64" s="54"/>
      <c r="I64" s="54"/>
      <c r="J64" s="54"/>
      <c r="K64" s="54"/>
    </row>
    <row r="65" spans="2:11" x14ac:dyDescent="0.3">
      <c r="B65" s="98" t="s">
        <v>335</v>
      </c>
      <c r="C65" s="99">
        <f t="shared" ref="C65:G65" si="7">SUM(C59:C64)</f>
        <v>21409</v>
      </c>
      <c r="D65" s="99">
        <f t="shared" si="7"/>
        <v>13793.230000000001</v>
      </c>
      <c r="E65" s="99">
        <f t="shared" si="7"/>
        <v>13999.789999999999</v>
      </c>
      <c r="F65" s="99">
        <f t="shared" si="7"/>
        <v>13609</v>
      </c>
      <c r="G65" s="99">
        <f t="shared" si="7"/>
        <v>27436</v>
      </c>
      <c r="H65" s="98"/>
      <c r="I65" s="54"/>
      <c r="J65" s="54"/>
      <c r="K65" s="54"/>
    </row>
    <row r="66" spans="2:11" x14ac:dyDescent="0.3">
      <c r="B66" s="98" t="s">
        <v>33</v>
      </c>
      <c r="C66" s="54"/>
      <c r="D66" s="54"/>
      <c r="E66" s="54"/>
      <c r="F66" s="54"/>
      <c r="H66" s="54"/>
      <c r="I66" s="54"/>
      <c r="J66" s="54"/>
      <c r="K66" s="54"/>
    </row>
    <row r="67" spans="2:11" x14ac:dyDescent="0.3">
      <c r="B67" s="54" t="s">
        <v>331</v>
      </c>
      <c r="C67" s="99">
        <v>4235</v>
      </c>
      <c r="D67" s="60">
        <v>4899.84</v>
      </c>
      <c r="E67" s="121">
        <v>4544.37</v>
      </c>
      <c r="F67" s="99">
        <v>4990</v>
      </c>
      <c r="G67" s="53">
        <v>7250</v>
      </c>
      <c r="H67" s="54"/>
      <c r="I67" s="54"/>
      <c r="J67" s="54"/>
    </row>
    <row r="68" spans="2:11" x14ac:dyDescent="0.3">
      <c r="B68" s="54" t="s">
        <v>38</v>
      </c>
      <c r="C68" s="54">
        <v>0</v>
      </c>
      <c r="D68" s="53">
        <v>117.76</v>
      </c>
      <c r="E68" s="53">
        <v>146.31</v>
      </c>
      <c r="F68" s="54">
        <v>162</v>
      </c>
      <c r="G68" s="53">
        <v>202</v>
      </c>
    </row>
    <row r="69" spans="2:11" x14ac:dyDescent="0.3">
      <c r="B69" s="54" t="s">
        <v>34</v>
      </c>
      <c r="C69" s="99">
        <v>4629</v>
      </c>
      <c r="D69" s="99">
        <v>5862</v>
      </c>
      <c r="E69" s="99">
        <v>7208</v>
      </c>
      <c r="F69" s="99">
        <v>8478</v>
      </c>
      <c r="G69" s="53">
        <v>9326</v>
      </c>
    </row>
    <row r="70" spans="2:11" x14ac:dyDescent="0.3">
      <c r="B70" s="54" t="s">
        <v>336</v>
      </c>
      <c r="C70" s="99">
        <v>5578</v>
      </c>
      <c r="D70" s="60">
        <v>3608.55</v>
      </c>
      <c r="E70" s="60">
        <v>4783.5600000000004</v>
      </c>
      <c r="F70" s="99">
        <v>5326</v>
      </c>
      <c r="G70" s="53">
        <v>6552</v>
      </c>
    </row>
    <row r="71" spans="2:11" x14ac:dyDescent="0.3">
      <c r="B71" s="54" t="s">
        <v>332</v>
      </c>
      <c r="C71" s="54">
        <v>521</v>
      </c>
      <c r="D71" s="53">
        <v>247.98</v>
      </c>
      <c r="E71" s="53">
        <v>204.43</v>
      </c>
      <c r="F71" s="54">
        <v>257</v>
      </c>
      <c r="G71" s="53">
        <v>350</v>
      </c>
    </row>
    <row r="72" spans="2:11" x14ac:dyDescent="0.3">
      <c r="B72" s="54" t="s">
        <v>337</v>
      </c>
      <c r="C72" s="54">
        <v>711</v>
      </c>
      <c r="D72" s="53">
        <v>527.29</v>
      </c>
      <c r="E72" s="60">
        <v>1366.42</v>
      </c>
      <c r="F72" s="54">
        <v>1983</v>
      </c>
      <c r="G72" s="53">
        <v>1989</v>
      </c>
    </row>
    <row r="73" spans="2:11" x14ac:dyDescent="0.3">
      <c r="B73" s="54" t="s">
        <v>338</v>
      </c>
      <c r="C73" s="99">
        <v>4600</v>
      </c>
      <c r="D73" s="60">
        <v>4890.9399999999996</v>
      </c>
      <c r="E73" s="60">
        <v>5177.3999999999996</v>
      </c>
      <c r="F73" s="99">
        <v>5706</v>
      </c>
      <c r="G73" s="53">
        <v>6692</v>
      </c>
    </row>
    <row r="74" spans="2:11" x14ac:dyDescent="0.3">
      <c r="B74" s="98" t="s">
        <v>35</v>
      </c>
      <c r="C74" s="99">
        <f t="shared" ref="C74:F74" si="8">SUM(C67:C73)</f>
        <v>20274</v>
      </c>
      <c r="D74" s="99">
        <f t="shared" si="8"/>
        <v>20154.36</v>
      </c>
      <c r="E74" s="99">
        <f t="shared" si="8"/>
        <v>23430.490000000005</v>
      </c>
      <c r="F74" s="99">
        <f t="shared" si="8"/>
        <v>26902</v>
      </c>
      <c r="G74" s="99">
        <f t="shared" ref="G74" si="9">SUM(G67:G73)</f>
        <v>32361</v>
      </c>
    </row>
    <row r="75" spans="2:11" ht="15" thickBot="1" x14ac:dyDescent="0.35">
      <c r="B75" s="114" t="s">
        <v>339</v>
      </c>
      <c r="C75" s="115">
        <f t="shared" ref="C75:F75" si="10">C74+C65+C57</f>
        <v>85863</v>
      </c>
      <c r="D75" s="115">
        <f t="shared" si="10"/>
        <v>84425.88</v>
      </c>
      <c r="E75" s="115">
        <f t="shared" si="10"/>
        <v>91810.450000000012</v>
      </c>
      <c r="F75" s="115">
        <f t="shared" si="10"/>
        <v>100793</v>
      </c>
      <c r="G75" s="115">
        <f t="shared" ref="G75" si="11">G74+G65+G57</f>
        <v>133688</v>
      </c>
    </row>
    <row r="76" spans="2:11" ht="15" thickTop="1" x14ac:dyDescent="0.3"/>
    <row r="77" spans="2:11" x14ac:dyDescent="0.3">
      <c r="B77" s="101" t="s">
        <v>340</v>
      </c>
      <c r="C77" s="513"/>
      <c r="D77" s="513"/>
      <c r="E77" s="513"/>
      <c r="F77" s="513"/>
      <c r="G77" s="420"/>
    </row>
    <row r="79" spans="2:11" x14ac:dyDescent="0.3">
      <c r="B79" s="44" t="s">
        <v>295</v>
      </c>
      <c r="C79" s="45" t="s">
        <v>349</v>
      </c>
      <c r="D79" s="45" t="s">
        <v>350</v>
      </c>
      <c r="E79" s="45" t="s">
        <v>351</v>
      </c>
      <c r="F79" s="45" t="s">
        <v>352</v>
      </c>
      <c r="G79" s="12" t="s">
        <v>2745</v>
      </c>
    </row>
    <row r="80" spans="2:11" x14ac:dyDescent="0.3">
      <c r="B80" s="98" t="s">
        <v>353</v>
      </c>
      <c r="C80" s="54"/>
      <c r="D80" s="54"/>
      <c r="E80" s="54"/>
      <c r="F80" s="54"/>
    </row>
    <row r="81" spans="2:8" x14ac:dyDescent="0.3">
      <c r="B81" s="54" t="s">
        <v>354</v>
      </c>
      <c r="C81" s="53">
        <f t="shared" ref="C81:F81" si="12">C$18</f>
        <v>7857</v>
      </c>
      <c r="D81" s="53">
        <f t="shared" si="12"/>
        <v>8364.4</v>
      </c>
      <c r="E81" s="53">
        <f t="shared" si="12"/>
        <v>7416.25</v>
      </c>
      <c r="F81" s="53">
        <f t="shared" si="12"/>
        <v>9422</v>
      </c>
      <c r="G81" s="53">
        <f>G$18</f>
        <v>7528</v>
      </c>
      <c r="H81" s="53" t="s">
        <v>2746</v>
      </c>
    </row>
    <row r="82" spans="2:8" x14ac:dyDescent="0.3">
      <c r="B82" s="54" t="s">
        <v>305</v>
      </c>
      <c r="C82" s="53">
        <f t="shared" ref="C82:F82" si="13">C$15</f>
        <v>2700</v>
      </c>
      <c r="D82" s="53">
        <f t="shared" si="13"/>
        <v>2714.75</v>
      </c>
      <c r="E82" s="53">
        <f t="shared" si="13"/>
        <v>2887.99</v>
      </c>
      <c r="F82" s="53">
        <f t="shared" si="13"/>
        <v>3145</v>
      </c>
      <c r="G82" s="53">
        <f>G$15</f>
        <v>4014</v>
      </c>
      <c r="H82" s="53" t="s">
        <v>2746</v>
      </c>
    </row>
    <row r="83" spans="2:8" x14ac:dyDescent="0.3">
      <c r="B83" s="54" t="s">
        <v>2485</v>
      </c>
      <c r="C83" s="121">
        <v>-419</v>
      </c>
      <c r="D83" s="121">
        <v>-102</v>
      </c>
      <c r="E83" s="121">
        <v>-66</v>
      </c>
      <c r="F83" s="121">
        <v>-206</v>
      </c>
    </row>
    <row r="84" spans="2:8" x14ac:dyDescent="0.3">
      <c r="B84" s="54" t="s">
        <v>2486</v>
      </c>
      <c r="C84" s="121">
        <v>-48</v>
      </c>
      <c r="D84" s="121">
        <v>-74</v>
      </c>
      <c r="E84" s="121">
        <v>-50</v>
      </c>
      <c r="F84" s="121">
        <v>0</v>
      </c>
    </row>
    <row r="85" spans="2:8" x14ac:dyDescent="0.3">
      <c r="B85" s="54" t="s">
        <v>2487</v>
      </c>
      <c r="C85" s="121">
        <v>136</v>
      </c>
      <c r="D85" s="121">
        <v>0</v>
      </c>
      <c r="E85" s="121">
        <v>0</v>
      </c>
      <c r="F85" s="121">
        <v>0</v>
      </c>
    </row>
    <row r="86" spans="2:8" x14ac:dyDescent="0.3">
      <c r="B86" s="54" t="s">
        <v>2488</v>
      </c>
      <c r="C86" s="121">
        <v>12</v>
      </c>
      <c r="D86" s="121">
        <v>23</v>
      </c>
      <c r="E86" s="121">
        <v>35</v>
      </c>
      <c r="F86" s="121">
        <v>42</v>
      </c>
    </row>
    <row r="87" spans="2:8" x14ac:dyDescent="0.3">
      <c r="B87" s="54" t="s">
        <v>2489</v>
      </c>
      <c r="C87" s="121">
        <v>-2</v>
      </c>
      <c r="D87" s="121">
        <v>-7</v>
      </c>
      <c r="E87" s="121">
        <v>3</v>
      </c>
      <c r="F87" s="121">
        <v>10</v>
      </c>
    </row>
    <row r="88" spans="2:8" x14ac:dyDescent="0.3">
      <c r="B88" s="54" t="s">
        <v>2490</v>
      </c>
      <c r="C88" s="121">
        <v>0.05</v>
      </c>
      <c r="D88" s="121">
        <v>0</v>
      </c>
      <c r="E88" s="121">
        <v>0</v>
      </c>
      <c r="F88" s="121">
        <v>2</v>
      </c>
    </row>
    <row r="89" spans="2:8" x14ac:dyDescent="0.3">
      <c r="B89" s="54" t="s">
        <v>2491</v>
      </c>
      <c r="C89" s="121">
        <v>0.35</v>
      </c>
      <c r="D89" s="121">
        <v>3</v>
      </c>
      <c r="E89" s="121">
        <v>1</v>
      </c>
      <c r="F89" s="121">
        <v>2</v>
      </c>
    </row>
    <row r="90" spans="2:8" x14ac:dyDescent="0.3">
      <c r="B90" s="54" t="s">
        <v>2492</v>
      </c>
      <c r="C90" s="121">
        <v>-65</v>
      </c>
      <c r="D90" s="121">
        <v>-136</v>
      </c>
      <c r="E90" s="121">
        <v>-136</v>
      </c>
      <c r="F90" s="121">
        <v>-82</v>
      </c>
    </row>
    <row r="91" spans="2:8" x14ac:dyDescent="0.3">
      <c r="B91" s="54" t="s">
        <v>2493</v>
      </c>
      <c r="C91" s="121">
        <v>-100</v>
      </c>
      <c r="D91">
        <v>-163.69999999999999</v>
      </c>
      <c r="E91">
        <v>-272.45</v>
      </c>
      <c r="F91" s="121">
        <v>-241</v>
      </c>
      <c r="G91" s="53">
        <v>-293</v>
      </c>
      <c r="H91" s="53" t="s">
        <v>2746</v>
      </c>
    </row>
    <row r="92" spans="2:8" x14ac:dyDescent="0.3">
      <c r="B92" s="54" t="s">
        <v>304</v>
      </c>
      <c r="C92" s="276">
        <f t="shared" ref="C92:F92" si="14">C$14</f>
        <v>1485</v>
      </c>
      <c r="D92" s="276">
        <f t="shared" si="14"/>
        <v>944.71</v>
      </c>
      <c r="E92" s="276">
        <f t="shared" si="14"/>
        <v>822.72</v>
      </c>
      <c r="F92" s="276">
        <f t="shared" si="14"/>
        <v>968</v>
      </c>
      <c r="G92" s="276">
        <f>G$14</f>
        <v>1650</v>
      </c>
      <c r="H92" s="53" t="s">
        <v>2746</v>
      </c>
    </row>
    <row r="93" spans="2:8" x14ac:dyDescent="0.3">
      <c r="B93" s="54" t="s">
        <v>2494</v>
      </c>
      <c r="C93" s="54">
        <v>-3</v>
      </c>
      <c r="D93" s="54">
        <v>-3</v>
      </c>
      <c r="E93" s="54">
        <v>-0.24</v>
      </c>
      <c r="F93" s="54">
        <v>-0.66</v>
      </c>
    </row>
    <row r="94" spans="2:8" ht="14.4" customHeight="1" x14ac:dyDescent="0.3">
      <c r="B94" s="54" t="s">
        <v>2518</v>
      </c>
      <c r="C94" s="54">
        <v>-154</v>
      </c>
      <c r="D94" s="54">
        <v>-186</v>
      </c>
      <c r="E94" s="54">
        <v>-31</v>
      </c>
      <c r="F94" s="54">
        <v>-98</v>
      </c>
    </row>
    <row r="95" spans="2:8" ht="14.4" customHeight="1" x14ac:dyDescent="0.3">
      <c r="B95" s="54"/>
      <c r="C95" s="122">
        <f t="shared" ref="C95:G95" si="15">SUM(C81:C94)</f>
        <v>11399.4</v>
      </c>
      <c r="D95" s="122">
        <f t="shared" si="15"/>
        <v>11378.16</v>
      </c>
      <c r="E95" s="122">
        <f t="shared" si="15"/>
        <v>10610.269999999999</v>
      </c>
      <c r="F95" s="122">
        <f t="shared" si="15"/>
        <v>12963.34</v>
      </c>
      <c r="G95" s="122">
        <f t="shared" si="15"/>
        <v>12899</v>
      </c>
      <c r="H95" s="53" t="s">
        <v>2746</v>
      </c>
    </row>
    <row r="96" spans="2:8" ht="14.4" customHeight="1" x14ac:dyDescent="0.3">
      <c r="B96" s="98" t="s">
        <v>2495</v>
      </c>
      <c r="C96" s="54"/>
      <c r="D96" s="54"/>
      <c r="E96" s="54"/>
      <c r="F96" s="54"/>
    </row>
    <row r="97" spans="2:8" x14ac:dyDescent="0.3">
      <c r="B97" s="54" t="s">
        <v>2496</v>
      </c>
      <c r="C97" s="121">
        <v>2870</v>
      </c>
      <c r="D97" s="466">
        <v>2076.9</v>
      </c>
      <c r="E97" s="466">
        <v>1868.6</v>
      </c>
      <c r="F97" s="121">
        <v>1959</v>
      </c>
      <c r="G97" s="53">
        <v>-475</v>
      </c>
      <c r="H97" s="53" t="s">
        <v>2746</v>
      </c>
    </row>
    <row r="98" spans="2:8" x14ac:dyDescent="0.3">
      <c r="B98" s="54" t="s">
        <v>2747</v>
      </c>
      <c r="C98" s="121">
        <v>47</v>
      </c>
      <c r="D98">
        <v>-1.94</v>
      </c>
      <c r="E98">
        <v>17.989999999999998</v>
      </c>
      <c r="F98" s="121">
        <v>-29</v>
      </c>
      <c r="G98" s="53">
        <v>-33</v>
      </c>
      <c r="H98" s="53" t="s">
        <v>2746</v>
      </c>
    </row>
    <row r="99" spans="2:8" x14ac:dyDescent="0.3">
      <c r="B99" s="54" t="s">
        <v>2497</v>
      </c>
      <c r="C99" s="121">
        <v>-201</v>
      </c>
      <c r="D99">
        <v>-495.26</v>
      </c>
      <c r="E99">
        <v>-752.33</v>
      </c>
      <c r="F99" s="121">
        <v>-420</v>
      </c>
      <c r="G99" s="53">
        <v>-607</v>
      </c>
      <c r="H99" s="53" t="s">
        <v>2746</v>
      </c>
    </row>
    <row r="100" spans="2:8" x14ac:dyDescent="0.3">
      <c r="B100" s="54" t="s">
        <v>2498</v>
      </c>
      <c r="C100" s="121">
        <v>112</v>
      </c>
      <c r="D100" s="466">
        <v>-1578.96</v>
      </c>
      <c r="E100">
        <v>-991.91</v>
      </c>
      <c r="F100" s="121">
        <v>-1711</v>
      </c>
      <c r="G100" s="53">
        <v>-316</v>
      </c>
      <c r="H100" s="53" t="s">
        <v>2746</v>
      </c>
    </row>
    <row r="101" spans="2:8" x14ac:dyDescent="0.3">
      <c r="B101" s="54" t="s">
        <v>2499</v>
      </c>
      <c r="C101" s="121">
        <v>-638</v>
      </c>
      <c r="D101">
        <v>-473.76</v>
      </c>
      <c r="E101">
        <v>-479.3</v>
      </c>
      <c r="F101" s="121">
        <v>-278</v>
      </c>
      <c r="G101" s="53">
        <v>762</v>
      </c>
      <c r="H101" s="53" t="s">
        <v>2746</v>
      </c>
    </row>
    <row r="102" spans="2:8" x14ac:dyDescent="0.3">
      <c r="B102" s="54" t="s">
        <v>355</v>
      </c>
      <c r="C102" s="121">
        <f t="shared" ref="C102:G102" si="16">SUM(C95,C97:C101)</f>
        <v>13589.4</v>
      </c>
      <c r="D102" s="121">
        <f t="shared" si="16"/>
        <v>10905.139999999998</v>
      </c>
      <c r="E102" s="121">
        <f t="shared" si="16"/>
        <v>10273.32</v>
      </c>
      <c r="F102" s="121">
        <f t="shared" si="16"/>
        <v>12484.34</v>
      </c>
      <c r="G102" s="121">
        <f t="shared" si="16"/>
        <v>12230</v>
      </c>
      <c r="H102" s="53" t="s">
        <v>2746</v>
      </c>
    </row>
    <row r="103" spans="2:8" x14ac:dyDescent="0.3">
      <c r="B103" s="54" t="s">
        <v>356</v>
      </c>
      <c r="C103" s="121">
        <v>-1290</v>
      </c>
      <c r="D103" s="466">
        <v>-1554.89</v>
      </c>
      <c r="E103" s="466">
        <v>-1124.31</v>
      </c>
      <c r="F103" s="54">
        <v>-1650</v>
      </c>
      <c r="G103" s="53">
        <v>-1300</v>
      </c>
      <c r="H103" s="53" t="s">
        <v>2746</v>
      </c>
    </row>
    <row r="104" spans="2:8" x14ac:dyDescent="0.3">
      <c r="B104" s="98" t="s">
        <v>357</v>
      </c>
      <c r="C104" s="122">
        <f t="shared" ref="C104:G104" si="17">SUM(C102:C103)</f>
        <v>12299.4</v>
      </c>
      <c r="D104" s="122">
        <f t="shared" si="17"/>
        <v>9350.2499999999982</v>
      </c>
      <c r="E104" s="122">
        <f t="shared" si="17"/>
        <v>9149.01</v>
      </c>
      <c r="F104" s="122">
        <f t="shared" si="17"/>
        <v>10834.34</v>
      </c>
      <c r="G104" s="122">
        <f t="shared" si="17"/>
        <v>10930</v>
      </c>
      <c r="H104" s="53" t="s">
        <v>2746</v>
      </c>
    </row>
    <row r="106" spans="2:8" x14ac:dyDescent="0.3">
      <c r="B106" s="5" t="s">
        <v>362</v>
      </c>
    </row>
    <row r="107" spans="2:8" x14ac:dyDescent="0.3">
      <c r="B107" s="54" t="s">
        <v>358</v>
      </c>
      <c r="C107" s="121">
        <v>-1805</v>
      </c>
      <c r="D107" s="466">
        <v>-5613.41</v>
      </c>
      <c r="E107" s="466">
        <v>-6200.11</v>
      </c>
      <c r="F107" s="121">
        <v>-9005</v>
      </c>
      <c r="G107" s="53">
        <v>-9129</v>
      </c>
      <c r="H107" s="53" t="s">
        <v>2746</v>
      </c>
    </row>
    <row r="108" spans="2:8" x14ac:dyDescent="0.3">
      <c r="B108" s="54" t="s">
        <v>2500</v>
      </c>
      <c r="C108" s="54">
        <v>82</v>
      </c>
      <c r="D108" s="54">
        <v>63</v>
      </c>
      <c r="E108">
        <v>94.53</v>
      </c>
      <c r="F108" s="54">
        <v>121</v>
      </c>
      <c r="G108" s="53">
        <v>178</v>
      </c>
      <c r="H108" s="53" t="s">
        <v>2746</v>
      </c>
    </row>
    <row r="109" spans="2:8" x14ac:dyDescent="0.3">
      <c r="B109" s="54" t="s">
        <v>2501</v>
      </c>
      <c r="C109" s="121">
        <v>-3</v>
      </c>
      <c r="D109" s="121">
        <v>-66</v>
      </c>
      <c r="E109" s="121">
        <v>0</v>
      </c>
      <c r="F109" s="121"/>
    </row>
    <row r="110" spans="2:8" x14ac:dyDescent="0.3">
      <c r="B110" s="54" t="s">
        <v>2502</v>
      </c>
      <c r="C110" s="121">
        <v>1673</v>
      </c>
      <c r="D110" s="121">
        <v>-1373</v>
      </c>
      <c r="E110" s="121">
        <v>529</v>
      </c>
      <c r="F110" s="121">
        <v>-425</v>
      </c>
    </row>
    <row r="111" spans="2:8" x14ac:dyDescent="0.3">
      <c r="B111" s="54" t="s">
        <v>359</v>
      </c>
      <c r="C111" s="54">
        <v>-12668</v>
      </c>
      <c r="D111" s="54">
        <v>-6395</v>
      </c>
      <c r="E111" s="466">
        <v>-7189.85</v>
      </c>
      <c r="F111" s="54">
        <v>-7203</v>
      </c>
      <c r="G111" s="53">
        <v>-15005</v>
      </c>
      <c r="H111" s="53" t="s">
        <v>2746</v>
      </c>
    </row>
    <row r="112" spans="2:8" x14ac:dyDescent="0.3">
      <c r="B112" s="54" t="s">
        <v>2503</v>
      </c>
      <c r="C112" s="54">
        <v>5427</v>
      </c>
      <c r="D112" s="54">
        <v>13965</v>
      </c>
      <c r="E112" s="54">
        <v>6626</v>
      </c>
      <c r="F112" s="54">
        <v>7163</v>
      </c>
      <c r="G112" s="53">
        <v>17972</v>
      </c>
      <c r="H112" s="53" t="s">
        <v>2746</v>
      </c>
    </row>
    <row r="113" spans="2:8" x14ac:dyDescent="0.3">
      <c r="B113" s="54" t="s">
        <v>2504</v>
      </c>
      <c r="C113" s="121">
        <v>61</v>
      </c>
      <c r="D113" s="54">
        <v>-37</v>
      </c>
      <c r="E113" s="121">
        <v>37</v>
      </c>
      <c r="F113" s="54">
        <v>0.02</v>
      </c>
    </row>
    <row r="114" spans="2:8" x14ac:dyDescent="0.3">
      <c r="B114" s="54" t="s">
        <v>2505</v>
      </c>
      <c r="C114" s="121">
        <v>-1587</v>
      </c>
      <c r="D114" s="54">
        <v>1574</v>
      </c>
      <c r="E114" s="121">
        <v>-532</v>
      </c>
      <c r="F114" s="54">
        <v>508</v>
      </c>
    </row>
    <row r="115" spans="2:8" x14ac:dyDescent="0.3">
      <c r="B115" s="54" t="s">
        <v>2506</v>
      </c>
      <c r="C115" s="121">
        <v>-3</v>
      </c>
      <c r="D115" s="54">
        <v>-2</v>
      </c>
      <c r="E115" s="121">
        <v>-846</v>
      </c>
      <c r="F115" s="54">
        <v>-66.849999999999994</v>
      </c>
      <c r="G115" s="53">
        <v>-9209</v>
      </c>
      <c r="H115" s="53" t="s">
        <v>2746</v>
      </c>
    </row>
    <row r="116" spans="2:8" x14ac:dyDescent="0.3">
      <c r="B116" s="54" t="s">
        <v>2507</v>
      </c>
      <c r="C116" s="121">
        <v>-21</v>
      </c>
      <c r="D116" s="54">
        <v>-23</v>
      </c>
      <c r="E116" s="121">
        <v>-69</v>
      </c>
      <c r="F116" s="54">
        <v>-120</v>
      </c>
    </row>
    <row r="117" spans="2:8" x14ac:dyDescent="0.3">
      <c r="B117" s="54" t="s">
        <v>2508</v>
      </c>
      <c r="C117" s="121">
        <v>1006</v>
      </c>
      <c r="D117" s="54">
        <v>-1784</v>
      </c>
      <c r="E117" s="121">
        <v>37</v>
      </c>
      <c r="F117" s="54"/>
    </row>
    <row r="118" spans="2:8" x14ac:dyDescent="0.3">
      <c r="B118" s="54" t="s">
        <v>360</v>
      </c>
      <c r="C118" s="121">
        <v>0</v>
      </c>
      <c r="D118" s="54">
        <v>7</v>
      </c>
      <c r="E118" s="121">
        <v>6</v>
      </c>
      <c r="F118" s="54">
        <v>0</v>
      </c>
      <c r="G118" s="53">
        <v>1</v>
      </c>
      <c r="H118" s="53" t="s">
        <v>2746</v>
      </c>
    </row>
    <row r="119" spans="2:8" x14ac:dyDescent="0.3">
      <c r="B119" s="54" t="s">
        <v>50</v>
      </c>
      <c r="C119" s="121">
        <v>77</v>
      </c>
      <c r="D119" s="54">
        <v>279</v>
      </c>
      <c r="E119" s="121">
        <v>476</v>
      </c>
      <c r="F119" s="54">
        <v>161</v>
      </c>
      <c r="G119" s="53">
        <v>342</v>
      </c>
      <c r="H119" s="53" t="s">
        <v>2746</v>
      </c>
    </row>
    <row r="120" spans="2:8" x14ac:dyDescent="0.3">
      <c r="B120" s="98" t="s">
        <v>361</v>
      </c>
      <c r="C120" s="122">
        <f t="shared" ref="C120:G120" si="18">SUM(C107:C119)</f>
        <v>-7761</v>
      </c>
      <c r="D120" s="122">
        <f t="shared" si="18"/>
        <v>594.59000000000015</v>
      </c>
      <c r="E120" s="122">
        <f t="shared" si="18"/>
        <v>-7031.43</v>
      </c>
      <c r="F120" s="122">
        <f t="shared" si="18"/>
        <v>-8866.83</v>
      </c>
      <c r="G120" s="122">
        <f t="shared" si="18"/>
        <v>-14850</v>
      </c>
      <c r="H120" s="53" t="s">
        <v>2746</v>
      </c>
    </row>
    <row r="122" spans="2:8" x14ac:dyDescent="0.3">
      <c r="B122" s="5" t="s">
        <v>363</v>
      </c>
    </row>
    <row r="123" spans="2:8" x14ac:dyDescent="0.3">
      <c r="B123" s="54" t="s">
        <v>2509</v>
      </c>
      <c r="C123" s="121">
        <v>7</v>
      </c>
      <c r="D123" s="121">
        <v>4</v>
      </c>
      <c r="E123" s="121">
        <v>4</v>
      </c>
      <c r="F123" s="121">
        <v>2</v>
      </c>
    </row>
    <row r="124" spans="2:8" x14ac:dyDescent="0.3">
      <c r="B124" s="54" t="s">
        <v>2510</v>
      </c>
      <c r="C124" s="121"/>
      <c r="D124" s="121">
        <v>-91</v>
      </c>
      <c r="E124" s="121">
        <v>-114</v>
      </c>
      <c r="F124" s="121">
        <v>-100</v>
      </c>
    </row>
    <row r="125" spans="2:8" x14ac:dyDescent="0.3">
      <c r="B125" s="54" t="s">
        <v>2511</v>
      </c>
      <c r="C125" s="54">
        <v>6</v>
      </c>
      <c r="D125" s="54">
        <v>8</v>
      </c>
      <c r="E125" s="54">
        <v>8</v>
      </c>
      <c r="F125" s="54">
        <v>16</v>
      </c>
    </row>
    <row r="126" spans="2:8" x14ac:dyDescent="0.3">
      <c r="B126" s="54" t="s">
        <v>2512</v>
      </c>
      <c r="C126" s="54">
        <v>-5183</v>
      </c>
      <c r="D126" s="121">
        <v>-7530</v>
      </c>
      <c r="E126" s="121">
        <v>-330</v>
      </c>
      <c r="F126" s="121">
        <v>-1068</v>
      </c>
      <c r="G126" s="53">
        <v>-550</v>
      </c>
      <c r="H126" s="53" t="s">
        <v>2746</v>
      </c>
    </row>
    <row r="127" spans="2:8" x14ac:dyDescent="0.3">
      <c r="B127" s="54" t="s">
        <v>2513</v>
      </c>
      <c r="C127" s="54">
        <v>4014</v>
      </c>
      <c r="D127" s="54">
        <v>138</v>
      </c>
      <c r="E127" s="121">
        <v>84</v>
      </c>
      <c r="F127" s="121">
        <v>439</v>
      </c>
      <c r="G127" s="53">
        <v>7341</v>
      </c>
      <c r="H127" s="53" t="s">
        <v>2746</v>
      </c>
    </row>
    <row r="128" spans="2:8" x14ac:dyDescent="0.3">
      <c r="B128" s="54" t="s">
        <v>2514</v>
      </c>
      <c r="C128" s="54">
        <v>277</v>
      </c>
      <c r="D128" s="54">
        <v>32</v>
      </c>
      <c r="E128" s="121">
        <v>-114</v>
      </c>
      <c r="F128" s="121">
        <v>958</v>
      </c>
      <c r="G128" s="53">
        <v>2068</v>
      </c>
      <c r="H128" s="53" t="s">
        <v>2746</v>
      </c>
    </row>
    <row r="129" spans="2:8" x14ac:dyDescent="0.3">
      <c r="B129" s="54" t="s">
        <v>2515</v>
      </c>
      <c r="C129" s="54">
        <v>-83</v>
      </c>
      <c r="D129" s="54">
        <v>-105</v>
      </c>
      <c r="E129" s="121">
        <v>-112</v>
      </c>
      <c r="F129" s="121">
        <v>-134</v>
      </c>
    </row>
    <row r="130" spans="2:8" x14ac:dyDescent="0.3">
      <c r="B130" s="54" t="s">
        <v>2516</v>
      </c>
      <c r="C130" s="54">
        <v>-37</v>
      </c>
      <c r="D130" s="54">
        <v>-54</v>
      </c>
      <c r="E130" s="121">
        <v>-54</v>
      </c>
      <c r="F130" s="121">
        <v>-54</v>
      </c>
    </row>
    <row r="131" spans="2:8" x14ac:dyDescent="0.3">
      <c r="B131" s="54" t="s">
        <v>2517</v>
      </c>
      <c r="C131" s="54">
        <v>-1212</v>
      </c>
      <c r="D131" s="54">
        <v>-838</v>
      </c>
      <c r="E131" s="121">
        <v>-650</v>
      </c>
      <c r="F131" s="121">
        <v>-853</v>
      </c>
      <c r="G131" s="53">
        <v>-1478</v>
      </c>
      <c r="H131" s="53" t="s">
        <v>2746</v>
      </c>
    </row>
    <row r="132" spans="2:8" x14ac:dyDescent="0.3">
      <c r="B132" s="54" t="s">
        <v>2519</v>
      </c>
      <c r="C132" s="54">
        <v>-374</v>
      </c>
      <c r="D132" s="54">
        <v>-1065</v>
      </c>
      <c r="E132" s="121">
        <v>-1091</v>
      </c>
      <c r="F132" s="121">
        <v>-1094</v>
      </c>
      <c r="G132" s="53">
        <v>-2011</v>
      </c>
      <c r="H132" s="53" t="s">
        <v>2746</v>
      </c>
    </row>
    <row r="133" spans="2:8" ht="15" thickBot="1" x14ac:dyDescent="0.35">
      <c r="B133" s="114" t="s">
        <v>364</v>
      </c>
      <c r="C133" s="123">
        <f t="shared" ref="C133:G133" si="19">SUM(C123:C132)</f>
        <v>-2585</v>
      </c>
      <c r="D133" s="123">
        <f t="shared" si="19"/>
        <v>-9501</v>
      </c>
      <c r="E133" s="123">
        <f t="shared" si="19"/>
        <v>-2369</v>
      </c>
      <c r="F133" s="123">
        <f t="shared" si="19"/>
        <v>-1888</v>
      </c>
      <c r="G133" s="123">
        <f t="shared" si="19"/>
        <v>5370</v>
      </c>
      <c r="H133" s="53" t="s">
        <v>2746</v>
      </c>
    </row>
    <row r="134" spans="2:8" ht="15" thickTop="1" x14ac:dyDescent="0.3"/>
  </sheetData>
  <mergeCells count="3">
    <mergeCell ref="C1:F1"/>
    <mergeCell ref="C25:F25"/>
    <mergeCell ref="C77:F77"/>
  </mergeCells>
  <pageMargins left="0.7" right="0.7" top="0.75" bottom="0.75" header="0.3" footer="0.3"/>
  <pageSetup orientation="portrait" r:id="rId1"/>
  <ignoredErrors>
    <ignoredError sqref="C6:G6"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652"/>
  <sheetViews>
    <sheetView workbookViewId="0"/>
  </sheetViews>
  <sheetFormatPr defaultColWidth="16.77734375" defaultRowHeight="14.4" customHeight="1" x14ac:dyDescent="0.3"/>
  <cols>
    <col min="1" max="1" width="2" style="190" customWidth="1"/>
    <col min="2" max="2" width="44.77734375" style="190" customWidth="1"/>
    <col min="3" max="16384" width="16.77734375" style="190"/>
  </cols>
  <sheetData>
    <row r="1" spans="2:12" ht="14.4" customHeight="1" x14ac:dyDescent="0.3">
      <c r="B1" s="252" t="s">
        <v>368</v>
      </c>
      <c r="C1" s="514" t="s">
        <v>369</v>
      </c>
      <c r="D1" s="514"/>
      <c r="E1" s="514"/>
      <c r="F1" s="514"/>
      <c r="G1" s="514"/>
      <c r="H1" s="514"/>
      <c r="I1" s="514"/>
      <c r="J1" s="514"/>
      <c r="K1" s="514"/>
    </row>
    <row r="2" spans="2:12" ht="14.4" customHeight="1" x14ac:dyDescent="0.3">
      <c r="L2" s="253"/>
    </row>
    <row r="3" spans="2:12" ht="14.4" customHeight="1" x14ac:dyDescent="0.3">
      <c r="B3" s="254" t="s">
        <v>247</v>
      </c>
      <c r="C3" s="255" t="s">
        <v>144</v>
      </c>
      <c r="D3" s="255" t="s">
        <v>142</v>
      </c>
      <c r="E3" s="255" t="s">
        <v>249</v>
      </c>
      <c r="F3" s="255" t="s">
        <v>91</v>
      </c>
      <c r="G3" s="255" t="s">
        <v>250</v>
      </c>
      <c r="H3" s="255" t="s">
        <v>251</v>
      </c>
      <c r="I3" s="255" t="s">
        <v>366</v>
      </c>
      <c r="J3" s="255" t="s">
        <v>95</v>
      </c>
      <c r="K3" s="255" t="s">
        <v>367</v>
      </c>
      <c r="L3" s="256"/>
    </row>
    <row r="4" spans="2:12" ht="14.4" customHeight="1" x14ac:dyDescent="0.3">
      <c r="B4" s="257" t="str">
        <f>'RELATIVE VALUATION'!$B$11</f>
        <v>Ultra - Tech Cement</v>
      </c>
      <c r="C4" s="258">
        <f>'PV FCFF'!$C$52</f>
        <v>11499</v>
      </c>
      <c r="D4" s="258">
        <f>'INCOME STATEMENT'!$G$44</f>
        <v>29.99561253839029</v>
      </c>
      <c r="E4" s="207">
        <f>C4*D4</f>
        <v>344919.54857894994</v>
      </c>
      <c r="F4" s="258">
        <f>'BALANCE SHEET'!$G$44+'BALANCE SHEET'!$G$56</f>
        <v>23030</v>
      </c>
      <c r="G4" s="207">
        <f>'BALANCE SHEET'!$G$17</f>
        <v>467</v>
      </c>
      <c r="H4" s="207">
        <f t="shared" ref="H4:H10" si="0">E4+F4-G4</f>
        <v>367482.54857894994</v>
      </c>
      <c r="I4" s="258">
        <f>'INCOME STATEMENT'!$G$11</f>
        <v>75955</v>
      </c>
      <c r="J4" s="259">
        <f>'INCOME STATEMENT'!$G$30</f>
        <v>13305</v>
      </c>
      <c r="K4" s="258">
        <f>'INCOME STATEMENT'!$G$42</f>
        <v>6153</v>
      </c>
      <c r="L4" s="260"/>
    </row>
    <row r="5" spans="2:12" ht="14.4" customHeight="1" x14ac:dyDescent="0.3">
      <c r="B5" s="257" t="s">
        <v>470</v>
      </c>
      <c r="C5" s="258">
        <v>1025</v>
      </c>
      <c r="D5" s="258">
        <v>23</v>
      </c>
      <c r="E5" s="207">
        <v>24224</v>
      </c>
      <c r="F5" s="258">
        <v>4699</v>
      </c>
      <c r="G5" s="207">
        <v>95</v>
      </c>
      <c r="H5" s="207">
        <f t="shared" si="0"/>
        <v>28828</v>
      </c>
      <c r="I5" s="258">
        <v>8518</v>
      </c>
      <c r="J5" s="259">
        <v>1234</v>
      </c>
      <c r="K5" s="258">
        <v>270</v>
      </c>
      <c r="L5" s="256"/>
    </row>
    <row r="6" spans="2:12" ht="14.4" customHeight="1" x14ac:dyDescent="0.3">
      <c r="B6" s="257" t="str">
        <f>'RELATIVE VALUATION'!$B$14</f>
        <v>Ambuja Cements</v>
      </c>
      <c r="C6" s="258">
        <v>532</v>
      </c>
      <c r="D6" s="258">
        <v>245</v>
      </c>
      <c r="E6" s="207">
        <v>130747</v>
      </c>
      <c r="F6" s="258">
        <v>188</v>
      </c>
      <c r="G6" s="207">
        <v>2673</v>
      </c>
      <c r="H6" s="207">
        <f t="shared" si="0"/>
        <v>128262</v>
      </c>
      <c r="I6" s="258">
        <v>18066</v>
      </c>
      <c r="J6" s="259">
        <v>6400</v>
      </c>
      <c r="K6" s="258">
        <v>3576</v>
      </c>
      <c r="L6" s="256"/>
    </row>
    <row r="7" spans="2:12" ht="14.4" customHeight="1" x14ac:dyDescent="0.3">
      <c r="B7" s="257" t="str">
        <f>'RELATIVE VALUATION'!$B$15</f>
        <v>Shree Cements</v>
      </c>
      <c r="C7" s="258">
        <v>25829</v>
      </c>
      <c r="D7" s="258">
        <v>4</v>
      </c>
      <c r="E7" s="207">
        <v>94297</v>
      </c>
      <c r="F7" s="258">
        <v>1473</v>
      </c>
      <c r="G7" s="207">
        <v>161</v>
      </c>
      <c r="H7" s="207">
        <f t="shared" si="0"/>
        <v>95609</v>
      </c>
      <c r="I7" s="258">
        <v>20146</v>
      </c>
      <c r="J7" s="259">
        <v>3043</v>
      </c>
      <c r="K7" s="258">
        <v>2468</v>
      </c>
      <c r="L7" s="256"/>
    </row>
    <row r="8" spans="2:12" ht="14.4" customHeight="1" x14ac:dyDescent="0.3">
      <c r="B8" s="257" t="str">
        <f>'RELATIVE VALUATION'!$B$16</f>
        <v>J K Cements</v>
      </c>
      <c r="C8" s="258">
        <v>5518</v>
      </c>
      <c r="D8" s="258">
        <v>8</v>
      </c>
      <c r="E8" s="258">
        <v>42555</v>
      </c>
      <c r="F8" s="258">
        <v>5177</v>
      </c>
      <c r="G8" s="207">
        <v>97</v>
      </c>
      <c r="H8" s="207">
        <f t="shared" si="0"/>
        <v>47635</v>
      </c>
      <c r="I8" s="258">
        <v>11053</v>
      </c>
      <c r="J8" s="259">
        <v>1217</v>
      </c>
      <c r="K8" s="258">
        <v>830</v>
      </c>
      <c r="L8" s="256"/>
    </row>
    <row r="9" spans="2:12" ht="14.4" customHeight="1" x14ac:dyDescent="0.3">
      <c r="B9" s="257" t="str">
        <f>'RELATIVE VALUATION'!$B$17</f>
        <v>ACC</v>
      </c>
      <c r="C9" s="258">
        <v>1784</v>
      </c>
      <c r="D9" s="258">
        <v>18</v>
      </c>
      <c r="E9" s="207">
        <v>34738</v>
      </c>
      <c r="F9" s="258">
        <v>430</v>
      </c>
      <c r="G9" s="207">
        <v>1649</v>
      </c>
      <c r="H9" s="207">
        <f t="shared" si="0"/>
        <v>33519</v>
      </c>
      <c r="I9" s="258">
        <v>19959</v>
      </c>
      <c r="J9" s="259">
        <v>2572</v>
      </c>
      <c r="K9" s="258">
        <v>2402</v>
      </c>
      <c r="L9" s="256"/>
    </row>
    <row r="10" spans="2:12" ht="14.4" customHeight="1" thickBot="1" x14ac:dyDescent="0.35">
      <c r="B10" s="261" t="str">
        <f>'RELATIVE VALUATION'!$B$18</f>
        <v>Dalmia Bharat Ltd.</v>
      </c>
      <c r="C10" s="262">
        <v>1950</v>
      </c>
      <c r="D10" s="262">
        <v>18</v>
      </c>
      <c r="E10" s="263">
        <v>37397</v>
      </c>
      <c r="F10" s="262">
        <v>4805</v>
      </c>
      <c r="G10" s="263">
        <v>582</v>
      </c>
      <c r="H10" s="263">
        <f t="shared" si="0"/>
        <v>41620</v>
      </c>
      <c r="I10" s="262">
        <v>13995</v>
      </c>
      <c r="J10" s="264">
        <v>2639</v>
      </c>
      <c r="K10" s="262">
        <v>949</v>
      </c>
    </row>
    <row r="11" spans="2:12" ht="14.4" customHeight="1" thickTop="1" x14ac:dyDescent="0.3"/>
    <row r="12" spans="2:12" ht="14.4" customHeight="1" x14ac:dyDescent="0.3">
      <c r="B12" s="265" t="s">
        <v>295</v>
      </c>
      <c r="C12" s="273">
        <v>44024</v>
      </c>
      <c r="D12" s="273">
        <f>EDATE(C12,12)</f>
        <v>44389</v>
      </c>
      <c r="E12" s="273">
        <f t="shared" ref="E12:H12" si="1">EDATE(D12,12)</f>
        <v>44754</v>
      </c>
      <c r="F12" s="273">
        <f t="shared" si="1"/>
        <v>45119</v>
      </c>
      <c r="G12" s="273">
        <f t="shared" si="1"/>
        <v>45485</v>
      </c>
      <c r="H12" s="273">
        <f t="shared" si="1"/>
        <v>45850</v>
      </c>
      <c r="I12" s="266"/>
      <c r="L12" s="267"/>
    </row>
    <row r="13" spans="2:12" ht="14.4" customHeight="1" x14ac:dyDescent="0.3">
      <c r="B13" s="268" t="s">
        <v>2479</v>
      </c>
      <c r="C13" s="274">
        <v>0.60040000000000004</v>
      </c>
      <c r="D13" s="274">
        <v>0.59960000000000002</v>
      </c>
      <c r="E13" s="274">
        <v>0.59960000000000002</v>
      </c>
      <c r="F13" s="274">
        <v>0.59960000000000002</v>
      </c>
      <c r="G13" s="274">
        <v>0.59960000000000002</v>
      </c>
      <c r="H13" s="274">
        <v>0.59230000000000005</v>
      </c>
      <c r="I13" s="268"/>
    </row>
    <row r="14" spans="2:12" ht="14.4" customHeight="1" x14ac:dyDescent="0.3">
      <c r="B14" s="268" t="s">
        <v>2477</v>
      </c>
      <c r="C14" s="274">
        <v>0.1648</v>
      </c>
      <c r="D14" s="274">
        <v>0.17280000000000001</v>
      </c>
      <c r="E14" s="274">
        <v>0.14030000000000001</v>
      </c>
      <c r="F14" s="274">
        <v>0.1477</v>
      </c>
      <c r="G14" s="274">
        <v>0.1774</v>
      </c>
      <c r="H14" s="274">
        <v>0.1517</v>
      </c>
      <c r="I14" s="268"/>
    </row>
    <row r="15" spans="2:12" ht="14.4" customHeight="1" x14ac:dyDescent="0.3">
      <c r="B15" s="268" t="s">
        <v>2476</v>
      </c>
      <c r="C15" s="274">
        <v>0.14149999999999999</v>
      </c>
      <c r="D15" s="274">
        <v>0.13739999999999999</v>
      </c>
      <c r="E15" s="274">
        <v>0.16389999999999999</v>
      </c>
      <c r="F15" s="274">
        <v>0.16930000000000001</v>
      </c>
      <c r="G15" s="274">
        <v>0.1414</v>
      </c>
      <c r="H15" s="274">
        <v>0.16789999999999999</v>
      </c>
      <c r="I15" s="268"/>
    </row>
    <row r="16" spans="2:12" ht="14.4" customHeight="1" x14ac:dyDescent="0.3">
      <c r="B16" s="268" t="s">
        <v>2478</v>
      </c>
      <c r="C16" s="274">
        <v>6.9999999999999999E-4</v>
      </c>
      <c r="D16" s="274">
        <v>8.0000000000000004E-4</v>
      </c>
      <c r="E16" s="274">
        <v>5.0000000000000001E-4</v>
      </c>
      <c r="F16" s="274">
        <v>5.0000000000000001E-4</v>
      </c>
      <c r="G16" s="274">
        <v>5.0000000000000001E-4</v>
      </c>
      <c r="H16" s="274">
        <v>5.0000000000000001E-4</v>
      </c>
      <c r="I16" s="268"/>
    </row>
    <row r="17" spans="2:9" ht="14.4" customHeight="1" x14ac:dyDescent="0.3">
      <c r="B17" s="268" t="s">
        <v>2475</v>
      </c>
      <c r="C17" s="274">
        <v>9.1800000000000007E-2</v>
      </c>
      <c r="D17" s="274">
        <v>8.8700000000000001E-2</v>
      </c>
      <c r="E17" s="274">
        <v>9.4799999999999995E-2</v>
      </c>
      <c r="F17" s="274">
        <v>8.14E-2</v>
      </c>
      <c r="G17" s="274">
        <v>7.9200000000000007E-2</v>
      </c>
      <c r="H17" s="274">
        <v>8.5699999999999998E-2</v>
      </c>
      <c r="I17" s="268"/>
    </row>
    <row r="18" spans="2:9" ht="14.4" customHeight="1" thickBot="1" x14ac:dyDescent="0.35">
      <c r="B18" s="269" t="s">
        <v>2474</v>
      </c>
      <c r="C18" s="275">
        <v>6.9999999999999999E-4</v>
      </c>
      <c r="D18" s="275">
        <v>6.9999999999999999E-4</v>
      </c>
      <c r="E18" s="275">
        <v>8.9999999999999998E-4</v>
      </c>
      <c r="F18" s="275">
        <v>1.5E-3</v>
      </c>
      <c r="G18" s="275">
        <v>1.6999999999999999E-3</v>
      </c>
      <c r="H18" s="275">
        <v>1.8E-3</v>
      </c>
      <c r="I18" s="268"/>
    </row>
    <row r="19" spans="2:9" ht="14.4" customHeight="1" thickTop="1" x14ac:dyDescent="0.3">
      <c r="B19" s="270"/>
      <c r="C19" s="271"/>
      <c r="D19" s="271"/>
      <c r="E19" s="271"/>
      <c r="F19" s="271"/>
      <c r="G19" s="271"/>
      <c r="H19" s="271"/>
      <c r="I19" s="271"/>
    </row>
    <row r="20" spans="2:9" ht="14.4" customHeight="1" x14ac:dyDescent="0.3">
      <c r="B20" s="265" t="s">
        <v>295</v>
      </c>
      <c r="C20" s="273">
        <v>45850</v>
      </c>
      <c r="D20" s="273">
        <f>EDATE(C20,12)</f>
        <v>46215</v>
      </c>
      <c r="E20" s="273">
        <f t="shared" ref="E20" si="2">EDATE(D20,12)</f>
        <v>46580</v>
      </c>
      <c r="F20" s="273">
        <f t="shared" ref="F20" si="3">EDATE(E20,12)</f>
        <v>46946</v>
      </c>
      <c r="G20" s="273">
        <f t="shared" ref="G20" si="4">EDATE(F20,12)</f>
        <v>47311</v>
      </c>
      <c r="H20" s="384"/>
    </row>
    <row r="21" spans="2:9" ht="14.4" customHeight="1" x14ac:dyDescent="0.3">
      <c r="B21" s="385" t="s">
        <v>2577</v>
      </c>
      <c r="C21" s="384"/>
      <c r="D21" s="384"/>
      <c r="E21" s="384"/>
      <c r="F21" s="384"/>
      <c r="G21" s="384"/>
      <c r="H21" s="384"/>
    </row>
    <row r="22" spans="2:9" ht="14.4" customHeight="1" x14ac:dyDescent="0.3">
      <c r="B22" s="190" t="s">
        <v>2646</v>
      </c>
      <c r="C22" s="3">
        <v>319.61362112780535</v>
      </c>
      <c r="D22" s="3">
        <v>1623.0227822417937</v>
      </c>
      <c r="E22" s="3">
        <v>1858.8374331309551</v>
      </c>
      <c r="F22" s="3">
        <v>1714.5976466939119</v>
      </c>
      <c r="G22" s="3">
        <v>832.08518679359713</v>
      </c>
    </row>
    <row r="24" spans="2:9" ht="14.4" customHeight="1" x14ac:dyDescent="0.3">
      <c r="B24" s="190" t="s">
        <v>2657</v>
      </c>
    </row>
    <row r="25" spans="2:9" ht="14.4" customHeight="1" x14ac:dyDescent="0.3">
      <c r="B25" s="190" t="s">
        <v>2646</v>
      </c>
      <c r="C25" s="190">
        <v>74.320467682109665</v>
      </c>
      <c r="D25" s="190">
        <v>955.01509027481734</v>
      </c>
      <c r="E25" s="190">
        <v>1598.7640230549168</v>
      </c>
      <c r="F25" s="190">
        <v>1485.1482218201872</v>
      </c>
      <c r="G25" s="190">
        <v>2160.8878627034856</v>
      </c>
    </row>
    <row r="27" spans="2:9" ht="14.4" customHeight="1" x14ac:dyDescent="0.3">
      <c r="B27" s="190" t="s">
        <v>2579</v>
      </c>
    </row>
    <row r="28" spans="2:9" ht="14.4" customHeight="1" thickBot="1" x14ac:dyDescent="0.35">
      <c r="B28" s="272" t="s">
        <v>2646</v>
      </c>
      <c r="C28" s="272">
        <v>-1016.3555588019772</v>
      </c>
      <c r="D28" s="272">
        <v>2353.1931149823131</v>
      </c>
      <c r="E28" s="272">
        <v>-758.68477079156401</v>
      </c>
      <c r="F28" s="272">
        <v>-564.23769434815313</v>
      </c>
      <c r="G28" s="272">
        <v>2133.4821658928522</v>
      </c>
    </row>
    <row r="29" spans="2:9" ht="14.4" customHeight="1" thickTop="1" x14ac:dyDescent="0.3"/>
    <row r="30" spans="2:9" ht="14.4" customHeight="1" x14ac:dyDescent="0.3">
      <c r="B30" s="448" t="s">
        <v>2779</v>
      </c>
      <c r="C30" s="252"/>
    </row>
    <row r="31" spans="2:9" ht="14.4" customHeight="1" x14ac:dyDescent="0.3">
      <c r="B31" s="385" t="s">
        <v>2577</v>
      </c>
    </row>
    <row r="32" spans="2:9" ht="14.4" customHeight="1" x14ac:dyDescent="0.3">
      <c r="B32" s="190" t="s">
        <v>2779</v>
      </c>
      <c r="C32" s="49">
        <v>0.12590000000000001</v>
      </c>
    </row>
    <row r="33" spans="2:8" ht="14.4" customHeight="1" x14ac:dyDescent="0.3">
      <c r="C33" s="49"/>
    </row>
    <row r="34" spans="2:8" ht="14.4" customHeight="1" x14ac:dyDescent="0.3">
      <c r="B34" s="190" t="s">
        <v>2657</v>
      </c>
      <c r="C34" s="49"/>
    </row>
    <row r="35" spans="2:8" ht="14.4" customHeight="1" x14ac:dyDescent="0.3">
      <c r="B35" s="190" t="s">
        <v>2779</v>
      </c>
      <c r="C35" s="49">
        <v>0.1265</v>
      </c>
    </row>
    <row r="36" spans="2:8" ht="14.4" customHeight="1" x14ac:dyDescent="0.3">
      <c r="C36" s="49"/>
    </row>
    <row r="37" spans="2:8" ht="14.4" customHeight="1" x14ac:dyDescent="0.3">
      <c r="B37" s="190" t="s">
        <v>2579</v>
      </c>
      <c r="C37" s="49"/>
    </row>
    <row r="38" spans="2:8" ht="14.4" customHeight="1" x14ac:dyDescent="0.3">
      <c r="B38" s="190" t="s">
        <v>2779</v>
      </c>
      <c r="C38" s="49">
        <v>0.12690000000000001</v>
      </c>
    </row>
    <row r="40" spans="2:8" ht="14.4" customHeight="1" x14ac:dyDescent="0.3">
      <c r="B40" s="252" t="s">
        <v>2870</v>
      </c>
      <c r="C40" s="252"/>
      <c r="D40" s="252"/>
      <c r="E40" s="252"/>
      <c r="F40" s="252"/>
      <c r="G40" s="252"/>
      <c r="H40" s="252"/>
    </row>
    <row r="41" spans="2:8" ht="14.4" customHeight="1" x14ac:dyDescent="0.3">
      <c r="C41" s="515" t="s">
        <v>2577</v>
      </c>
      <c r="D41" s="515"/>
      <c r="E41" s="515" t="s">
        <v>2578</v>
      </c>
      <c r="F41" s="515"/>
      <c r="G41" s="515" t="s">
        <v>2579</v>
      </c>
      <c r="H41" s="515"/>
    </row>
    <row r="42" spans="2:8" ht="14.4" customHeight="1" x14ac:dyDescent="0.3">
      <c r="C42" s="388" t="s">
        <v>151</v>
      </c>
      <c r="D42" s="388" t="s">
        <v>150</v>
      </c>
      <c r="E42" s="388" t="s">
        <v>151</v>
      </c>
      <c r="F42" s="388" t="s">
        <v>150</v>
      </c>
      <c r="G42" s="388" t="s">
        <v>151</v>
      </c>
      <c r="H42" s="388" t="s">
        <v>150</v>
      </c>
    </row>
    <row r="43" spans="2:8" ht="14.4" customHeight="1" x14ac:dyDescent="0.3">
      <c r="B43" s="190" t="s">
        <v>2871</v>
      </c>
      <c r="C43" s="388">
        <v>4489</v>
      </c>
      <c r="D43" s="388">
        <v>1454</v>
      </c>
      <c r="E43" s="388">
        <v>3079</v>
      </c>
      <c r="F43" s="388">
        <v>879</v>
      </c>
      <c r="G43" s="388">
        <v>1962</v>
      </c>
      <c r="H43" s="388">
        <v>418</v>
      </c>
    </row>
    <row r="44" spans="2:8" ht="14.4" customHeight="1" x14ac:dyDescent="0.3">
      <c r="B44" s="190" t="s">
        <v>136</v>
      </c>
      <c r="C44" s="388">
        <v>211123</v>
      </c>
      <c r="D44" s="388">
        <v>76772</v>
      </c>
      <c r="E44" s="388">
        <v>152963</v>
      </c>
      <c r="F44" s="388">
        <v>55623</v>
      </c>
      <c r="G44" s="388">
        <v>107281</v>
      </c>
      <c r="H44" s="388">
        <v>39011</v>
      </c>
    </row>
    <row r="45" spans="2:8" ht="14.4" customHeight="1" x14ac:dyDescent="0.3">
      <c r="B45" s="190" t="s">
        <v>2872</v>
      </c>
      <c r="C45" s="388">
        <v>148152</v>
      </c>
      <c r="D45" s="388">
        <v>69358</v>
      </c>
      <c r="E45" s="388">
        <v>108102</v>
      </c>
      <c r="F45" s="388">
        <v>51151</v>
      </c>
      <c r="G45" s="388">
        <v>76497</v>
      </c>
      <c r="H45" s="388">
        <v>36618</v>
      </c>
    </row>
    <row r="47" spans="2:8" ht="14.4" customHeight="1" x14ac:dyDescent="0.3">
      <c r="B47" s="252" t="s">
        <v>2870</v>
      </c>
      <c r="C47" s="252"/>
      <c r="D47" s="252"/>
      <c r="E47" s="252"/>
      <c r="F47" s="473"/>
      <c r="G47" s="473"/>
      <c r="H47" s="473"/>
    </row>
    <row r="48" spans="2:8" ht="14.4" customHeight="1" x14ac:dyDescent="0.3">
      <c r="C48" s="207" t="s">
        <v>150</v>
      </c>
      <c r="D48" s="207" t="s">
        <v>72</v>
      </c>
      <c r="E48" s="207" t="s">
        <v>151</v>
      </c>
    </row>
    <row r="49" spans="2:5" ht="14.4" customHeight="1" x14ac:dyDescent="0.3">
      <c r="B49" s="3" t="s">
        <v>469</v>
      </c>
      <c r="C49" s="3">
        <v>13339</v>
      </c>
      <c r="D49" s="208">
        <f>MEDIAN(C49,E49)</f>
        <v>14374.5</v>
      </c>
      <c r="E49" s="3">
        <v>15410</v>
      </c>
    </row>
    <row r="50" spans="2:5" ht="14.4" customHeight="1" x14ac:dyDescent="0.3">
      <c r="B50" s="3" t="s">
        <v>152</v>
      </c>
      <c r="C50" s="3">
        <v>10047</v>
      </c>
      <c r="D50" s="208">
        <f>MEDIAN(C50,E50)</f>
        <v>11572</v>
      </c>
      <c r="E50" s="3">
        <v>13097</v>
      </c>
    </row>
    <row r="329" spans="2:2" ht="14.4" customHeight="1" x14ac:dyDescent="0.3">
      <c r="B329" s="199"/>
    </row>
    <row r="435" spans="2:4" ht="14.4" customHeight="1" thickBot="1" x14ac:dyDescent="0.35">
      <c r="C435" s="272"/>
      <c r="D435" s="272"/>
    </row>
    <row r="436" spans="2:4" ht="14.4" customHeight="1" thickTop="1" x14ac:dyDescent="0.3"/>
    <row r="437" spans="2:4" ht="14.4" customHeight="1" x14ac:dyDescent="0.3">
      <c r="B437" s="199"/>
    </row>
    <row r="543" spans="3:4" ht="14.4" customHeight="1" thickBot="1" x14ac:dyDescent="0.35">
      <c r="C543" s="272"/>
      <c r="D543" s="272"/>
    </row>
    <row r="544" spans="3:4" ht="14.4" customHeight="1" thickTop="1" x14ac:dyDescent="0.3"/>
    <row r="545" spans="2:2" ht="14.4" customHeight="1" x14ac:dyDescent="0.3">
      <c r="B545" s="199" t="s">
        <v>439</v>
      </c>
    </row>
    <row r="651" spans="3:4" ht="14.4" customHeight="1" thickBot="1" x14ac:dyDescent="0.35">
      <c r="C651" s="272"/>
      <c r="D651" s="272"/>
    </row>
    <row r="652" spans="3:4" ht="14.4" customHeight="1" thickTop="1" x14ac:dyDescent="0.3"/>
  </sheetData>
  <mergeCells count="4">
    <mergeCell ref="C1:K1"/>
    <mergeCell ref="C41:D41"/>
    <mergeCell ref="E41:F41"/>
    <mergeCell ref="G41:H4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5132"/>
  <sheetViews>
    <sheetView topLeftCell="A24" workbookViewId="0">
      <selection activeCell="G80" sqref="G28:G80"/>
    </sheetView>
  </sheetViews>
  <sheetFormatPr defaultColWidth="16.77734375" defaultRowHeight="14.4" x14ac:dyDescent="0.3"/>
  <cols>
    <col min="1" max="1" width="2" style="53" customWidth="1"/>
    <col min="2" max="2" width="44.77734375" style="53" customWidth="1"/>
    <col min="3" max="16384" width="16.77734375" style="53"/>
  </cols>
  <sheetData>
    <row r="1" spans="2:14" x14ac:dyDescent="0.3">
      <c r="B1" s="101" t="s">
        <v>370</v>
      </c>
      <c r="C1" s="513" t="s">
        <v>369</v>
      </c>
      <c r="D1" s="513"/>
      <c r="E1" s="513"/>
      <c r="F1" s="513"/>
      <c r="G1" s="513"/>
      <c r="H1" s="513"/>
    </row>
    <row r="3" spans="2:14" x14ac:dyDescent="0.3">
      <c r="B3" s="137" t="s">
        <v>434</v>
      </c>
      <c r="E3" s="135"/>
      <c r="F3" s="138" t="s">
        <v>435</v>
      </c>
      <c r="G3" s="135"/>
      <c r="H3" s="135"/>
      <c r="J3" s="137" t="s">
        <v>545</v>
      </c>
    </row>
    <row r="4" spans="2:14" x14ac:dyDescent="0.3">
      <c r="E4" s="60"/>
      <c r="F4" s="60"/>
      <c r="G4" s="63"/>
      <c r="H4" s="49"/>
    </row>
    <row r="5" spans="2:14" x14ac:dyDescent="0.3">
      <c r="B5" s="134" t="s">
        <v>97</v>
      </c>
      <c r="C5" s="133" t="s">
        <v>98</v>
      </c>
      <c r="D5" s="136" t="s">
        <v>99</v>
      </c>
      <c r="E5" s="60"/>
      <c r="F5" s="134" t="s">
        <v>97</v>
      </c>
      <c r="G5" s="133" t="s">
        <v>98</v>
      </c>
      <c r="H5" s="136" t="s">
        <v>99</v>
      </c>
      <c r="J5" s="134" t="s">
        <v>97</v>
      </c>
      <c r="K5" s="133" t="s">
        <v>98</v>
      </c>
      <c r="L5" s="133" t="s">
        <v>546</v>
      </c>
      <c r="M5" s="251" t="s">
        <v>2473</v>
      </c>
      <c r="N5" s="251" t="s">
        <v>546</v>
      </c>
    </row>
    <row r="6" spans="2:14" x14ac:dyDescent="0.3">
      <c r="B6" s="58" t="s">
        <v>387</v>
      </c>
      <c r="C6" s="60">
        <v>12733</v>
      </c>
      <c r="D6" s="49">
        <f t="shared" ref="D6:D69" si="0">(C6/C7)-1</f>
        <v>7.3575949367088445E-3</v>
      </c>
      <c r="E6" s="422">
        <v>45894</v>
      </c>
      <c r="F6" s="58" t="s">
        <v>387</v>
      </c>
      <c r="G6" s="60">
        <v>24715.05</v>
      </c>
      <c r="H6" s="49">
        <f t="shared" ref="H6:H69" si="1">(G6/G7)-1</f>
        <v>1.1798492232932167E-2</v>
      </c>
      <c r="J6" s="58" t="s">
        <v>1729</v>
      </c>
      <c r="K6" s="60">
        <v>12650</v>
      </c>
      <c r="L6" s="207" t="s">
        <v>547</v>
      </c>
      <c r="M6" s="90">
        <v>2025</v>
      </c>
      <c r="N6" s="90">
        <v>443</v>
      </c>
    </row>
    <row r="7" spans="2:14" x14ac:dyDescent="0.3">
      <c r="B7" s="58" t="s">
        <v>388</v>
      </c>
      <c r="C7" s="60">
        <v>12640</v>
      </c>
      <c r="D7" s="49">
        <f t="shared" si="0"/>
        <v>4.0511557709110857E-3</v>
      </c>
      <c r="E7" s="60"/>
      <c r="F7" s="58" t="s">
        <v>388</v>
      </c>
      <c r="G7" s="60">
        <v>24426.85</v>
      </c>
      <c r="H7" s="49">
        <f t="shared" si="1"/>
        <v>-1.7822606262138052E-2</v>
      </c>
      <c r="J7" s="58" t="s">
        <v>1730</v>
      </c>
      <c r="K7" s="60">
        <v>12508</v>
      </c>
      <c r="L7" s="63" t="s">
        <v>548</v>
      </c>
      <c r="M7" s="90"/>
      <c r="N7" s="90">
        <v>571</v>
      </c>
    </row>
    <row r="8" spans="2:14" x14ac:dyDescent="0.3">
      <c r="B8" s="58" t="s">
        <v>389</v>
      </c>
      <c r="C8" s="60">
        <v>12589</v>
      </c>
      <c r="D8" s="49">
        <f t="shared" si="0"/>
        <v>2.2083299504749521E-2</v>
      </c>
      <c r="E8" s="60"/>
      <c r="F8" s="58" t="s">
        <v>389</v>
      </c>
      <c r="G8" s="60">
        <v>24870.1</v>
      </c>
      <c r="H8" s="49">
        <f t="shared" si="1"/>
        <v>9.6949815884666002E-3</v>
      </c>
      <c r="J8" s="58" t="s">
        <v>1731</v>
      </c>
      <c r="K8" s="60">
        <v>12626</v>
      </c>
      <c r="L8" s="63" t="s">
        <v>549</v>
      </c>
      <c r="M8" s="90"/>
      <c r="N8" s="90">
        <v>190</v>
      </c>
    </row>
    <row r="9" spans="2:14" x14ac:dyDescent="0.3">
      <c r="B9" s="58">
        <v>45938</v>
      </c>
      <c r="C9" s="60">
        <v>12317</v>
      </c>
      <c r="D9" s="49">
        <f t="shared" si="0"/>
        <v>1.3161141729044923E-2</v>
      </c>
      <c r="E9" s="60"/>
      <c r="F9" s="58">
        <v>45938</v>
      </c>
      <c r="G9" s="60">
        <v>24631.3</v>
      </c>
      <c r="H9" s="49">
        <f t="shared" si="1"/>
        <v>1.100015186776826E-2</v>
      </c>
      <c r="J9" s="58" t="s">
        <v>1732</v>
      </c>
      <c r="K9" s="60">
        <v>12721</v>
      </c>
      <c r="L9" s="63" t="s">
        <v>550</v>
      </c>
      <c r="M9" s="90"/>
      <c r="N9" s="90">
        <v>264</v>
      </c>
    </row>
    <row r="10" spans="2:14" x14ac:dyDescent="0.3">
      <c r="B10" s="58">
        <v>45724</v>
      </c>
      <c r="C10" s="60">
        <v>12157</v>
      </c>
      <c r="D10" s="49">
        <f t="shared" si="0"/>
        <v>3.6324609923223949E-3</v>
      </c>
      <c r="E10" s="60"/>
      <c r="F10" s="58">
        <v>45724</v>
      </c>
      <c r="G10" s="60">
        <v>24363.3</v>
      </c>
      <c r="H10" s="49">
        <f t="shared" si="1"/>
        <v>-8.2249998473459263E-3</v>
      </c>
      <c r="J10" s="58" t="s">
        <v>1733</v>
      </c>
      <c r="K10" s="60">
        <v>12578</v>
      </c>
      <c r="L10" s="63" t="s">
        <v>551</v>
      </c>
      <c r="M10" s="90"/>
      <c r="N10" s="90">
        <v>189</v>
      </c>
    </row>
    <row r="11" spans="2:14" x14ac:dyDescent="0.3">
      <c r="B11" s="58" t="s">
        <v>390</v>
      </c>
      <c r="C11" s="60">
        <v>12113</v>
      </c>
      <c r="D11" s="49">
        <f t="shared" si="0"/>
        <v>-1.1183673469387756E-2</v>
      </c>
      <c r="E11" s="60"/>
      <c r="F11" s="58" t="s">
        <v>390</v>
      </c>
      <c r="G11" s="60">
        <v>24565.35</v>
      </c>
      <c r="H11" s="49">
        <f t="shared" si="1"/>
        <v>-1.0937311269477057E-2</v>
      </c>
      <c r="J11" s="58" t="s">
        <v>1734</v>
      </c>
      <c r="K11" s="60">
        <v>12435</v>
      </c>
      <c r="L11" s="63" t="s">
        <v>552</v>
      </c>
      <c r="M11" s="90"/>
      <c r="N11" s="90">
        <v>179</v>
      </c>
    </row>
    <row r="12" spans="2:14" x14ac:dyDescent="0.3">
      <c r="B12" s="58" t="s">
        <v>391</v>
      </c>
      <c r="C12" s="60">
        <v>12250</v>
      </c>
      <c r="D12" s="49">
        <f t="shared" si="0"/>
        <v>-1.9843174907985262E-2</v>
      </c>
      <c r="E12" s="60"/>
      <c r="F12" s="58" t="s">
        <v>391</v>
      </c>
      <c r="G12" s="60">
        <v>24837</v>
      </c>
      <c r="H12" s="49">
        <f t="shared" si="1"/>
        <v>-5.2626519921180615E-3</v>
      </c>
      <c r="J12" s="58">
        <v>46000</v>
      </c>
      <c r="K12" s="60">
        <v>12370</v>
      </c>
      <c r="L12" s="63" t="s">
        <v>553</v>
      </c>
      <c r="M12" s="90"/>
      <c r="N12" s="90">
        <v>153</v>
      </c>
    </row>
    <row r="13" spans="2:14" x14ac:dyDescent="0.3">
      <c r="B13" s="58" t="s">
        <v>392</v>
      </c>
      <c r="C13" s="60">
        <v>12498</v>
      </c>
      <c r="D13" s="49">
        <f t="shared" si="0"/>
        <v>2.4009603841546046E-4</v>
      </c>
      <c r="E13" s="60"/>
      <c r="F13" s="58" t="s">
        <v>392</v>
      </c>
      <c r="G13" s="60">
        <v>24968.400000000001</v>
      </c>
      <c r="H13" s="49">
        <f t="shared" si="1"/>
        <v>-7.214754759968578E-3</v>
      </c>
      <c r="J13" s="58">
        <v>45970</v>
      </c>
      <c r="K13" s="60">
        <v>12392</v>
      </c>
      <c r="L13" s="63" t="s">
        <v>554</v>
      </c>
      <c r="M13" s="90"/>
      <c r="N13" s="90">
        <v>132</v>
      </c>
    </row>
    <row r="14" spans="2:14" x14ac:dyDescent="0.3">
      <c r="B14" s="58">
        <v>45815</v>
      </c>
      <c r="C14" s="60">
        <v>12495</v>
      </c>
      <c r="D14" s="49">
        <f t="shared" si="0"/>
        <v>-8.7957780265468521E-4</v>
      </c>
      <c r="E14" s="60"/>
      <c r="F14" s="58">
        <v>45815</v>
      </c>
      <c r="G14" s="60">
        <v>25149.85</v>
      </c>
      <c r="H14" s="49">
        <f t="shared" si="1"/>
        <v>-1.2220651192019205E-2</v>
      </c>
      <c r="J14" s="58">
        <v>45939</v>
      </c>
      <c r="K14" s="60">
        <v>12478</v>
      </c>
      <c r="L14" s="63" t="s">
        <v>555</v>
      </c>
      <c r="M14" s="90"/>
      <c r="N14" s="90">
        <v>175</v>
      </c>
    </row>
    <row r="15" spans="2:14" x14ac:dyDescent="0.3">
      <c r="B15" s="58" t="s">
        <v>393</v>
      </c>
      <c r="C15" s="60">
        <v>12506</v>
      </c>
      <c r="D15" s="49">
        <f t="shared" si="0"/>
        <v>2.3990829444034967E-2</v>
      </c>
      <c r="E15" s="60"/>
      <c r="F15" s="58" t="s">
        <v>393</v>
      </c>
      <c r="G15" s="60">
        <v>25461</v>
      </c>
      <c r="H15" s="49">
        <f t="shared" si="1"/>
        <v>-6.8960675252947023E-3</v>
      </c>
      <c r="J15" s="58">
        <v>45909</v>
      </c>
      <c r="K15" s="60">
        <v>12572</v>
      </c>
      <c r="L15" s="63" t="s">
        <v>556</v>
      </c>
      <c r="M15" s="90"/>
      <c r="N15" s="90">
        <v>240</v>
      </c>
    </row>
    <row r="16" spans="2:14" x14ac:dyDescent="0.3">
      <c r="B16" s="58" t="s">
        <v>394</v>
      </c>
      <c r="C16" s="60">
        <v>12213</v>
      </c>
      <c r="D16" s="49">
        <f t="shared" si="0"/>
        <v>6.5892825973119296E-2</v>
      </c>
      <c r="E16" s="60"/>
      <c r="F16" s="58" t="s">
        <v>394</v>
      </c>
      <c r="G16" s="60">
        <v>25637.8</v>
      </c>
      <c r="H16" s="49">
        <f t="shared" si="1"/>
        <v>2.092193498032846E-2</v>
      </c>
      <c r="J16" s="58">
        <v>45878</v>
      </c>
      <c r="K16" s="60">
        <v>12664</v>
      </c>
      <c r="L16" s="63" t="s">
        <v>557</v>
      </c>
      <c r="M16" s="90"/>
      <c r="N16" s="90">
        <v>126</v>
      </c>
    </row>
    <row r="17" spans="2:14" x14ac:dyDescent="0.3">
      <c r="B17" s="58" t="s">
        <v>395</v>
      </c>
      <c r="C17" s="60">
        <v>11458</v>
      </c>
      <c r="D17" s="49">
        <f t="shared" si="0"/>
        <v>2.084818246614395E-2</v>
      </c>
      <c r="E17" s="60"/>
      <c r="F17" s="58" t="s">
        <v>395</v>
      </c>
      <c r="G17" s="60">
        <v>25112.400000000001</v>
      </c>
      <c r="H17" s="49">
        <f t="shared" si="1"/>
        <v>1.5931322971365791E-2</v>
      </c>
      <c r="J17" s="58">
        <v>45786</v>
      </c>
      <c r="K17" s="60">
        <v>12601</v>
      </c>
      <c r="L17" s="63" t="s">
        <v>558</v>
      </c>
      <c r="M17" s="90"/>
      <c r="N17" s="90">
        <v>153</v>
      </c>
    </row>
    <row r="18" spans="2:14" x14ac:dyDescent="0.3">
      <c r="B18" s="58">
        <v>45875</v>
      </c>
      <c r="C18" s="60">
        <v>11224</v>
      </c>
      <c r="D18" s="49">
        <f t="shared" si="0"/>
        <v>-2.5770905536300903E-3</v>
      </c>
      <c r="E18" s="60"/>
      <c r="F18" s="58">
        <v>45875</v>
      </c>
      <c r="G18" s="60">
        <v>24718.6</v>
      </c>
      <c r="H18" s="49">
        <f t="shared" si="1"/>
        <v>-1.1376612053329516E-2</v>
      </c>
      <c r="J18" s="58">
        <v>45756</v>
      </c>
      <c r="K18" s="60">
        <v>12651</v>
      </c>
      <c r="L18" s="63" t="s">
        <v>559</v>
      </c>
      <c r="M18" s="90"/>
      <c r="N18" s="90">
        <v>305</v>
      </c>
    </row>
    <row r="19" spans="2:14" x14ac:dyDescent="0.3">
      <c r="B19" s="58">
        <v>45663</v>
      </c>
      <c r="C19" s="60">
        <v>11253</v>
      </c>
      <c r="D19" s="49">
        <f t="shared" si="0"/>
        <v>3.8358608385369308E-3</v>
      </c>
      <c r="E19" s="60"/>
      <c r="F19" s="58">
        <v>45663</v>
      </c>
      <c r="G19" s="60">
        <v>25003.05</v>
      </c>
      <c r="H19" s="49">
        <f t="shared" si="1"/>
        <v>1.0195671233540704E-2</v>
      </c>
      <c r="J19" s="58">
        <v>45725</v>
      </c>
      <c r="K19" s="60">
        <v>12733</v>
      </c>
      <c r="L19" s="63" t="s">
        <v>560</v>
      </c>
      <c r="M19" s="90"/>
      <c r="N19" s="90">
        <v>140</v>
      </c>
    </row>
    <row r="20" spans="2:14" x14ac:dyDescent="0.3">
      <c r="B20" s="58" t="s">
        <v>396</v>
      </c>
      <c r="C20" s="60">
        <v>11210</v>
      </c>
      <c r="D20" s="49">
        <f t="shared" si="0"/>
        <v>-4.5632555763664207E-2</v>
      </c>
      <c r="E20" s="60"/>
      <c r="F20" s="58" t="s">
        <v>396</v>
      </c>
      <c r="G20" s="60">
        <v>24750.7</v>
      </c>
      <c r="H20" s="49">
        <f t="shared" si="1"/>
        <v>-4.1222138843567402E-3</v>
      </c>
      <c r="J20" s="58">
        <v>45697</v>
      </c>
      <c r="K20" s="60">
        <v>12730</v>
      </c>
      <c r="L20" s="63" t="s">
        <v>561</v>
      </c>
      <c r="M20" s="90"/>
      <c r="N20" s="90">
        <v>214</v>
      </c>
    </row>
    <row r="21" spans="2:14" x14ac:dyDescent="0.3">
      <c r="B21" s="58" t="s">
        <v>397</v>
      </c>
      <c r="C21" s="60">
        <v>11746</v>
      </c>
      <c r="D21" s="49">
        <f t="shared" si="0"/>
        <v>-1.3355732885342309E-2</v>
      </c>
      <c r="E21" s="60"/>
      <c r="F21" s="58" t="s">
        <v>397</v>
      </c>
      <c r="G21" s="60">
        <v>24853.15</v>
      </c>
      <c r="H21" s="49">
        <f t="shared" si="1"/>
        <v>-6.660724706032739E-3</v>
      </c>
      <c r="J21" s="58">
        <v>45666</v>
      </c>
      <c r="K21" s="60">
        <v>12826</v>
      </c>
      <c r="L21" s="63" t="s">
        <v>562</v>
      </c>
      <c r="M21" s="90"/>
      <c r="N21" s="90">
        <v>214</v>
      </c>
    </row>
    <row r="22" spans="2:14" x14ac:dyDescent="0.3">
      <c r="B22" s="58">
        <v>45966</v>
      </c>
      <c r="C22" s="60">
        <v>11905</v>
      </c>
      <c r="D22" s="49">
        <f t="shared" si="0"/>
        <v>4.7606476592749081E-2</v>
      </c>
      <c r="E22" s="60"/>
      <c r="F22" s="58">
        <v>45966</v>
      </c>
      <c r="G22" s="60">
        <v>25019.8</v>
      </c>
      <c r="H22" s="49">
        <f t="shared" si="1"/>
        <v>4.2144285238253865E-2</v>
      </c>
      <c r="J22" s="58" t="s">
        <v>1735</v>
      </c>
      <c r="K22" s="60">
        <v>12640</v>
      </c>
      <c r="L22" s="63" t="s">
        <v>563</v>
      </c>
      <c r="M22" s="90"/>
      <c r="N22" s="90">
        <v>177</v>
      </c>
    </row>
    <row r="23" spans="2:14" x14ac:dyDescent="0.3">
      <c r="B23" s="58">
        <v>45752</v>
      </c>
      <c r="C23" s="60">
        <v>11364</v>
      </c>
      <c r="D23" s="49">
        <f t="shared" si="0"/>
        <v>-2.4046719340432787E-2</v>
      </c>
      <c r="E23" s="60"/>
      <c r="F23" s="58">
        <v>45752</v>
      </c>
      <c r="G23" s="60">
        <v>24008</v>
      </c>
      <c r="H23" s="49">
        <f t="shared" si="1"/>
        <v>-1.391153626569519E-2</v>
      </c>
      <c r="J23" s="58" t="s">
        <v>1736</v>
      </c>
      <c r="K23" s="60">
        <v>12521</v>
      </c>
      <c r="L23" s="63" t="s">
        <v>564</v>
      </c>
      <c r="M23" s="90"/>
      <c r="N23" s="90">
        <v>283</v>
      </c>
    </row>
    <row r="24" spans="2:14" x14ac:dyDescent="0.3">
      <c r="B24" s="58" t="s">
        <v>398</v>
      </c>
      <c r="C24" s="60">
        <v>11644</v>
      </c>
      <c r="D24" s="49">
        <f t="shared" si="0"/>
        <v>-4.8459589768734213E-2</v>
      </c>
      <c r="E24" s="60"/>
      <c r="F24" s="58" t="s">
        <v>398</v>
      </c>
      <c r="G24" s="60">
        <v>24346.7</v>
      </c>
      <c r="H24" s="49">
        <f t="shared" si="1"/>
        <v>1.2785287455775673E-2</v>
      </c>
      <c r="J24" s="58" t="s">
        <v>1737</v>
      </c>
      <c r="K24" s="60">
        <v>12610</v>
      </c>
      <c r="L24" s="63" t="s">
        <v>565</v>
      </c>
      <c r="M24" s="90"/>
      <c r="N24" s="90">
        <v>290</v>
      </c>
    </row>
    <row r="25" spans="2:14" x14ac:dyDescent="0.3">
      <c r="B25" s="58" t="s">
        <v>399</v>
      </c>
      <c r="C25" s="60">
        <v>12237</v>
      </c>
      <c r="D25" s="49">
        <f t="shared" si="0"/>
        <v>2.8232921603226657E-2</v>
      </c>
      <c r="E25" s="60"/>
      <c r="F25" s="58" t="s">
        <v>399</v>
      </c>
      <c r="G25" s="60">
        <v>24039.35</v>
      </c>
      <c r="H25" s="49">
        <f t="shared" si="1"/>
        <v>7.86947653516612E-3</v>
      </c>
      <c r="J25" s="58" t="s">
        <v>1738</v>
      </c>
      <c r="K25" s="60">
        <v>12606</v>
      </c>
      <c r="L25" s="63" t="s">
        <v>566</v>
      </c>
      <c r="M25" s="90"/>
      <c r="N25" s="90">
        <v>199</v>
      </c>
    </row>
    <row r="26" spans="2:14" x14ac:dyDescent="0.3">
      <c r="B26" s="58" t="s">
        <v>400</v>
      </c>
      <c r="C26" s="60">
        <v>11901</v>
      </c>
      <c r="D26" s="49">
        <f t="shared" si="0"/>
        <v>3.4631150213211725E-2</v>
      </c>
      <c r="E26" s="60"/>
      <c r="F26" s="58" t="s">
        <v>400</v>
      </c>
      <c r="G26" s="60">
        <v>23851.65</v>
      </c>
      <c r="H26" s="49">
        <f t="shared" si="1"/>
        <v>4.4816687875489425E-2</v>
      </c>
      <c r="J26" s="58" t="s">
        <v>1739</v>
      </c>
      <c r="K26" s="60">
        <v>12589</v>
      </c>
      <c r="L26" s="63" t="s">
        <v>567</v>
      </c>
      <c r="M26" s="90"/>
      <c r="N26" s="90">
        <v>226</v>
      </c>
    </row>
    <row r="27" spans="2:14" x14ac:dyDescent="0.3">
      <c r="B27" s="58">
        <v>45812</v>
      </c>
      <c r="C27" s="60">
        <v>11502.65</v>
      </c>
      <c r="D27" s="49">
        <f t="shared" si="0"/>
        <v>3.4786692350841086E-4</v>
      </c>
      <c r="E27" s="60"/>
      <c r="F27" s="58">
        <v>45812</v>
      </c>
      <c r="G27" s="60">
        <v>22828.55</v>
      </c>
      <c r="H27" s="49">
        <f t="shared" si="1"/>
        <v>-3.3137665388167648E-3</v>
      </c>
      <c r="J27" s="58" t="s">
        <v>1740</v>
      </c>
      <c r="K27" s="60">
        <v>12870</v>
      </c>
      <c r="L27" s="63" t="s">
        <v>568</v>
      </c>
      <c r="M27" s="90"/>
      <c r="N27" s="90">
        <v>155</v>
      </c>
    </row>
    <row r="28" spans="2:14" x14ac:dyDescent="0.3">
      <c r="B28" s="58" t="s">
        <v>401</v>
      </c>
      <c r="C28" s="60">
        <v>11498.65</v>
      </c>
      <c r="D28" s="49">
        <f t="shared" si="0"/>
        <v>-9.4703963230535759E-4</v>
      </c>
      <c r="E28" s="422">
        <v>45717</v>
      </c>
      <c r="F28" s="58" t="s">
        <v>401</v>
      </c>
      <c r="G28" s="60">
        <v>22904.45</v>
      </c>
      <c r="H28" s="49">
        <f t="shared" si="1"/>
        <v>-2.6144430011883713E-2</v>
      </c>
      <c r="J28" s="58" t="s">
        <v>1741</v>
      </c>
      <c r="K28" s="60">
        <v>12874</v>
      </c>
      <c r="L28" s="63" t="s">
        <v>569</v>
      </c>
      <c r="M28" s="90"/>
      <c r="N28" s="90">
        <v>290</v>
      </c>
    </row>
    <row r="29" spans="2:14" x14ac:dyDescent="0.3">
      <c r="B29" s="58" t="s">
        <v>402</v>
      </c>
      <c r="C29" s="60">
        <v>11509.55</v>
      </c>
      <c r="D29" s="49">
        <f t="shared" si="0"/>
        <v>4.8538957341653921E-2</v>
      </c>
      <c r="E29" s="422"/>
      <c r="F29" s="58" t="s">
        <v>402</v>
      </c>
      <c r="G29" s="60">
        <v>23519.35</v>
      </c>
      <c r="H29" s="49">
        <f t="shared" si="1"/>
        <v>7.2354220912702605E-3</v>
      </c>
      <c r="J29" s="58" t="s">
        <v>1742</v>
      </c>
      <c r="K29" s="60">
        <v>12863</v>
      </c>
      <c r="L29" s="63" t="s">
        <v>570</v>
      </c>
      <c r="M29" s="90"/>
      <c r="N29" s="90">
        <v>351</v>
      </c>
    </row>
    <row r="30" spans="2:14" x14ac:dyDescent="0.3">
      <c r="B30" s="58" t="s">
        <v>403</v>
      </c>
      <c r="C30" s="60">
        <v>10976.75</v>
      </c>
      <c r="D30" s="49">
        <f t="shared" si="0"/>
        <v>5.0195654461782757E-2</v>
      </c>
      <c r="E30" s="422"/>
      <c r="F30" s="58" t="s">
        <v>403</v>
      </c>
      <c r="G30" s="60">
        <v>23350.400000000001</v>
      </c>
      <c r="H30" s="49">
        <f t="shared" si="1"/>
        <v>4.2558891289982803E-2</v>
      </c>
      <c r="J30" s="58" t="s">
        <v>1743</v>
      </c>
      <c r="K30" s="60">
        <v>12765</v>
      </c>
      <c r="L30" s="63" t="s">
        <v>571</v>
      </c>
      <c r="M30" s="90"/>
      <c r="N30" s="90">
        <v>808</v>
      </c>
    </row>
    <row r="31" spans="2:14" x14ac:dyDescent="0.3">
      <c r="B31" s="58">
        <v>45903</v>
      </c>
      <c r="C31" s="60">
        <v>10452.1</v>
      </c>
      <c r="D31" s="49">
        <f t="shared" si="0"/>
        <v>-1.2312896885394498E-2</v>
      </c>
      <c r="E31" s="422"/>
      <c r="F31" s="58">
        <v>45903</v>
      </c>
      <c r="G31" s="60">
        <v>22397.200000000001</v>
      </c>
      <c r="H31" s="49">
        <f t="shared" si="1"/>
        <v>-6.8861545283227521E-3</v>
      </c>
      <c r="J31" s="58" t="s">
        <v>1744</v>
      </c>
      <c r="K31" s="60">
        <v>12317</v>
      </c>
      <c r="L31" s="63" t="s">
        <v>572</v>
      </c>
      <c r="M31" s="90"/>
      <c r="N31" s="90">
        <v>235</v>
      </c>
    </row>
    <row r="32" spans="2:14" x14ac:dyDescent="0.3">
      <c r="B32" s="58">
        <v>45691</v>
      </c>
      <c r="C32" s="60">
        <v>10582.4</v>
      </c>
      <c r="D32" s="49">
        <f t="shared" si="0"/>
        <v>4.4819296141067833E-2</v>
      </c>
      <c r="E32" s="422"/>
      <c r="F32" s="58">
        <v>45691</v>
      </c>
      <c r="G32" s="60">
        <v>22552.5</v>
      </c>
      <c r="H32" s="49">
        <f t="shared" si="1"/>
        <v>1.9335855401429125E-2</v>
      </c>
      <c r="J32" s="58" t="s">
        <v>1745</v>
      </c>
      <c r="K32" s="60">
        <v>12401</v>
      </c>
      <c r="L32" s="63" t="s">
        <v>573</v>
      </c>
      <c r="M32" s="90"/>
      <c r="N32" s="90">
        <v>207</v>
      </c>
    </row>
    <row r="33" spans="2:14" x14ac:dyDescent="0.3">
      <c r="B33" s="58" t="s">
        <v>404</v>
      </c>
      <c r="C33" s="60">
        <v>10128.450000000001</v>
      </c>
      <c r="D33" s="49">
        <f t="shared" si="0"/>
        <v>-9.2209101705169272E-2</v>
      </c>
      <c r="E33" s="422"/>
      <c r="F33" s="58" t="s">
        <v>404</v>
      </c>
      <c r="G33" s="60">
        <v>22124.7</v>
      </c>
      <c r="H33" s="49">
        <f t="shared" si="1"/>
        <v>-2.9443891226053842E-2</v>
      </c>
      <c r="J33" s="58">
        <v>45999</v>
      </c>
      <c r="K33" s="60">
        <v>12449</v>
      </c>
      <c r="L33" s="63" t="s">
        <v>574</v>
      </c>
      <c r="M33" s="90"/>
      <c r="N33" s="90">
        <v>334</v>
      </c>
    </row>
    <row r="34" spans="2:14" x14ac:dyDescent="0.3">
      <c r="B34" s="58" t="s">
        <v>405</v>
      </c>
      <c r="C34" s="60">
        <v>11157.25</v>
      </c>
      <c r="D34" s="49">
        <f t="shared" si="0"/>
        <v>-9.4639044376478854E-3</v>
      </c>
      <c r="E34" s="422"/>
      <c r="F34" s="58" t="s">
        <v>405</v>
      </c>
      <c r="G34" s="60">
        <v>22795.9</v>
      </c>
      <c r="H34" s="49">
        <f t="shared" si="1"/>
        <v>-5.8157157342695331E-3</v>
      </c>
      <c r="J34" s="58">
        <v>45969</v>
      </c>
      <c r="K34" s="60">
        <v>12405</v>
      </c>
      <c r="L34" s="63" t="s">
        <v>575</v>
      </c>
      <c r="M34" s="90"/>
      <c r="N34" s="90">
        <v>218</v>
      </c>
    </row>
    <row r="35" spans="2:14" x14ac:dyDescent="0.3">
      <c r="B35" s="58">
        <v>45902</v>
      </c>
      <c r="C35" s="60">
        <v>11263.85</v>
      </c>
      <c r="D35" s="49">
        <f t="shared" si="0"/>
        <v>-3.2365170180231218E-2</v>
      </c>
      <c r="E35" s="422"/>
      <c r="F35" s="58">
        <v>45902</v>
      </c>
      <c r="G35" s="60">
        <v>22929.25</v>
      </c>
      <c r="H35" s="49">
        <f t="shared" si="1"/>
        <v>-2.6770005878620329E-2</v>
      </c>
      <c r="J35" s="58">
        <v>45877</v>
      </c>
      <c r="K35" s="60">
        <v>12157</v>
      </c>
      <c r="L35" s="63" t="s">
        <v>576</v>
      </c>
      <c r="M35" s="90"/>
      <c r="N35" s="90">
        <v>201</v>
      </c>
    </row>
    <row r="36" spans="2:14" x14ac:dyDescent="0.3">
      <c r="B36" s="58">
        <v>45690</v>
      </c>
      <c r="C36" s="60">
        <v>11640.6</v>
      </c>
      <c r="D36" s="49">
        <f t="shared" si="0"/>
        <v>1.3331940508990225E-2</v>
      </c>
      <c r="E36" s="422"/>
      <c r="F36" s="58">
        <v>45690</v>
      </c>
      <c r="G36" s="60">
        <v>23559.95</v>
      </c>
      <c r="H36" s="49">
        <f t="shared" si="1"/>
        <v>2.1928332000475947E-3</v>
      </c>
      <c r="J36" s="58">
        <v>45846</v>
      </c>
      <c r="K36" s="60">
        <v>12273</v>
      </c>
      <c r="L36" s="63" t="s">
        <v>577</v>
      </c>
      <c r="M36" s="90"/>
      <c r="N36" s="90">
        <v>202</v>
      </c>
    </row>
    <row r="37" spans="2:14" x14ac:dyDescent="0.3">
      <c r="B37" s="58" t="s">
        <v>406</v>
      </c>
      <c r="C37" s="60">
        <v>11487.45</v>
      </c>
      <c r="D37" s="49">
        <f t="shared" si="0"/>
        <v>1.7863076330094874E-2</v>
      </c>
      <c r="E37" s="422"/>
      <c r="F37" s="58" t="s">
        <v>406</v>
      </c>
      <c r="G37" s="60">
        <v>23508.400000000001</v>
      </c>
      <c r="H37" s="49">
        <f t="shared" si="1"/>
        <v>1.8023401841314346E-2</v>
      </c>
      <c r="J37" s="58">
        <v>45816</v>
      </c>
      <c r="K37" s="60">
        <v>12226</v>
      </c>
      <c r="L37" s="63" t="s">
        <v>578</v>
      </c>
      <c r="M37" s="90"/>
      <c r="N37" s="90">
        <v>192</v>
      </c>
    </row>
    <row r="38" spans="2:14" x14ac:dyDescent="0.3">
      <c r="B38" s="58" t="s">
        <v>407</v>
      </c>
      <c r="C38" s="60">
        <v>11285.85</v>
      </c>
      <c r="D38" s="49">
        <f t="shared" si="0"/>
        <v>6.671550094517964E-2</v>
      </c>
      <c r="E38" s="422"/>
      <c r="F38" s="58" t="s">
        <v>407</v>
      </c>
      <c r="G38" s="60">
        <v>23092.2</v>
      </c>
      <c r="H38" s="49">
        <f t="shared" si="1"/>
        <v>-4.7838229209764549E-3</v>
      </c>
      <c r="J38" s="58">
        <v>45785</v>
      </c>
      <c r="K38" s="60">
        <v>12298</v>
      </c>
      <c r="L38" s="63" t="s">
        <v>579</v>
      </c>
      <c r="M38" s="90"/>
      <c r="N38" s="90">
        <v>267</v>
      </c>
    </row>
    <row r="39" spans="2:14" x14ac:dyDescent="0.3">
      <c r="B39" s="58">
        <v>45992</v>
      </c>
      <c r="C39" s="60">
        <v>10580</v>
      </c>
      <c r="D39" s="49">
        <f t="shared" si="0"/>
        <v>-2.6248941574936513E-2</v>
      </c>
      <c r="E39" s="422"/>
      <c r="F39" s="58">
        <v>45992</v>
      </c>
      <c r="G39" s="60">
        <v>23203.200000000001</v>
      </c>
      <c r="H39" s="49">
        <f t="shared" si="1"/>
        <v>-9.7432942833365344E-3</v>
      </c>
      <c r="J39" s="58">
        <v>45755</v>
      </c>
      <c r="K39" s="60">
        <v>12257</v>
      </c>
      <c r="L39" s="63" t="s">
        <v>580</v>
      </c>
      <c r="M39" s="90"/>
      <c r="N39" s="90">
        <v>207</v>
      </c>
    </row>
    <row r="40" spans="2:14" x14ac:dyDescent="0.3">
      <c r="B40" s="58">
        <v>45778</v>
      </c>
      <c r="C40" s="60">
        <v>10865.2</v>
      </c>
      <c r="D40" s="49">
        <f t="shared" si="0"/>
        <v>-7.8126590870524315E-2</v>
      </c>
      <c r="E40" s="422"/>
      <c r="F40" s="58">
        <v>45778</v>
      </c>
      <c r="G40" s="60">
        <v>23431.5</v>
      </c>
      <c r="H40" s="49">
        <f t="shared" si="1"/>
        <v>-2.3880690280048689E-2</v>
      </c>
      <c r="J40" s="58">
        <v>45665</v>
      </c>
      <c r="K40" s="60">
        <v>12113</v>
      </c>
      <c r="L40" s="63" t="s">
        <v>581</v>
      </c>
      <c r="M40" s="90"/>
      <c r="N40" s="90">
        <v>212</v>
      </c>
    </row>
    <row r="41" spans="2:14" x14ac:dyDescent="0.3">
      <c r="B41" s="58" t="s">
        <v>371</v>
      </c>
      <c r="C41" s="60">
        <v>11786</v>
      </c>
      <c r="D41" s="49">
        <f t="shared" si="0"/>
        <v>3.326597437437262E-2</v>
      </c>
      <c r="E41" s="422">
        <v>45627</v>
      </c>
      <c r="F41" s="58" t="s">
        <v>371</v>
      </c>
      <c r="G41" s="60">
        <v>24004.75</v>
      </c>
      <c r="H41" s="49">
        <f t="shared" si="1"/>
        <v>8.035391838208783E-3</v>
      </c>
      <c r="J41" s="58" t="s">
        <v>1746</v>
      </c>
      <c r="K41" s="60">
        <v>12249</v>
      </c>
      <c r="L41" s="63" t="s">
        <v>582</v>
      </c>
      <c r="M41" s="90"/>
      <c r="N41" s="90">
        <v>150</v>
      </c>
    </row>
    <row r="42" spans="2:14" x14ac:dyDescent="0.3">
      <c r="B42" s="58" t="s">
        <v>372</v>
      </c>
      <c r="C42" s="60">
        <v>11406.55</v>
      </c>
      <c r="D42" s="49">
        <f t="shared" si="0"/>
        <v>-1.4225934096718795E-3</v>
      </c>
      <c r="E42" s="422"/>
      <c r="F42" s="58" t="s">
        <v>372</v>
      </c>
      <c r="G42" s="60">
        <v>23813.4</v>
      </c>
      <c r="H42" s="49">
        <f t="shared" si="1"/>
        <v>9.5771065182830295E-3</v>
      </c>
      <c r="J42" s="58" t="s">
        <v>1747</v>
      </c>
      <c r="K42" s="60">
        <v>12268</v>
      </c>
      <c r="L42" s="63" t="s">
        <v>583</v>
      </c>
      <c r="M42" s="90"/>
      <c r="N42" s="90">
        <v>185</v>
      </c>
    </row>
    <row r="43" spans="2:14" x14ac:dyDescent="0.3">
      <c r="B43" s="58" t="s">
        <v>373</v>
      </c>
      <c r="C43" s="60">
        <v>11422.8</v>
      </c>
      <c r="D43" s="49">
        <f t="shared" si="0"/>
        <v>-5.4709158467051267E-2</v>
      </c>
      <c r="E43" s="422"/>
      <c r="F43" s="58" t="s">
        <v>373</v>
      </c>
      <c r="G43" s="60">
        <v>23587.5</v>
      </c>
      <c r="H43" s="49">
        <f t="shared" si="1"/>
        <v>-4.7673841159869612E-2</v>
      </c>
      <c r="J43" s="58" t="s">
        <v>1748</v>
      </c>
      <c r="K43" s="60">
        <v>12221</v>
      </c>
      <c r="L43" s="63" t="s">
        <v>584</v>
      </c>
      <c r="M43" s="90"/>
      <c r="N43" s="90">
        <v>208</v>
      </c>
    </row>
    <row r="44" spans="2:14" x14ac:dyDescent="0.3">
      <c r="B44" s="58">
        <v>45516</v>
      </c>
      <c r="C44" s="60">
        <v>12083.9</v>
      </c>
      <c r="D44" s="49">
        <f t="shared" si="0"/>
        <v>1.9867493775583389E-2</v>
      </c>
      <c r="E44" s="422"/>
      <c r="F44" s="58">
        <v>45516</v>
      </c>
      <c r="G44" s="60">
        <v>24768.3</v>
      </c>
      <c r="H44" s="49">
        <f t="shared" si="1"/>
        <v>3.6672636944945491E-3</v>
      </c>
      <c r="J44" s="58" t="s">
        <v>1749</v>
      </c>
      <c r="K44" s="60">
        <v>12240</v>
      </c>
      <c r="L44" s="63" t="s">
        <v>585</v>
      </c>
      <c r="M44" s="90"/>
      <c r="N44" s="90">
        <v>214</v>
      </c>
    </row>
    <row r="45" spans="2:14" x14ac:dyDescent="0.3">
      <c r="B45" s="58">
        <v>45303</v>
      </c>
      <c r="C45" s="60">
        <v>11848.5</v>
      </c>
      <c r="D45" s="49">
        <f t="shared" si="0"/>
        <v>5.7698745330137635E-2</v>
      </c>
      <c r="E45" s="422"/>
      <c r="F45" s="58">
        <v>45303</v>
      </c>
      <c r="G45" s="60">
        <v>24677.8</v>
      </c>
      <c r="H45" s="49">
        <f t="shared" si="1"/>
        <v>2.2655411481449228E-2</v>
      </c>
      <c r="J45" s="58" t="s">
        <v>1750</v>
      </c>
      <c r="K45" s="60">
        <v>12250</v>
      </c>
      <c r="L45" s="63" t="s">
        <v>586</v>
      </c>
      <c r="M45" s="90"/>
      <c r="N45" s="90">
        <v>290</v>
      </c>
    </row>
    <row r="46" spans="2:14" x14ac:dyDescent="0.3">
      <c r="B46" s="58" t="s">
        <v>374</v>
      </c>
      <c r="C46" s="60">
        <v>11202.15</v>
      </c>
      <c r="D46" s="49">
        <f t="shared" si="0"/>
        <v>-1.5221576573804629E-2</v>
      </c>
      <c r="E46" s="422"/>
      <c r="F46" s="58" t="s">
        <v>374</v>
      </c>
      <c r="G46" s="60">
        <v>24131.1</v>
      </c>
      <c r="H46" s="49">
        <f t="shared" si="1"/>
        <v>9.3632684645870157E-3</v>
      </c>
      <c r="J46" s="58" t="s">
        <v>1751</v>
      </c>
      <c r="K46" s="60">
        <v>12304</v>
      </c>
      <c r="L46" s="63" t="s">
        <v>587</v>
      </c>
      <c r="M46" s="90"/>
      <c r="N46" s="90">
        <v>180</v>
      </c>
    </row>
    <row r="47" spans="2:14" x14ac:dyDescent="0.3">
      <c r="B47" s="58" t="s">
        <v>375</v>
      </c>
      <c r="C47" s="60">
        <v>11375.3</v>
      </c>
      <c r="D47" s="49">
        <f t="shared" si="0"/>
        <v>6.0288017896257484E-2</v>
      </c>
      <c r="E47" s="422"/>
      <c r="F47" s="58" t="s">
        <v>375</v>
      </c>
      <c r="G47" s="60">
        <v>23907.25</v>
      </c>
      <c r="H47" s="49">
        <f t="shared" si="1"/>
        <v>1.5916150717937061E-2</v>
      </c>
      <c r="J47" s="58" t="s">
        <v>1752</v>
      </c>
      <c r="K47" s="60">
        <v>12372</v>
      </c>
      <c r="L47" s="63" t="s">
        <v>588</v>
      </c>
      <c r="M47" s="90"/>
      <c r="N47" s="90">
        <v>189</v>
      </c>
    </row>
    <row r="48" spans="2:14" x14ac:dyDescent="0.3">
      <c r="B48" s="58">
        <v>45576</v>
      </c>
      <c r="C48" s="60">
        <v>10728.5</v>
      </c>
      <c r="D48" s="49">
        <f t="shared" si="0"/>
        <v>-2.851037049446048E-2</v>
      </c>
      <c r="E48" s="422"/>
      <c r="F48" s="58">
        <v>45576</v>
      </c>
      <c r="G48" s="60">
        <v>23532.7</v>
      </c>
      <c r="H48" s="49">
        <f t="shared" si="1"/>
        <v>-2.5488442202731498E-2</v>
      </c>
      <c r="J48" s="58" t="s">
        <v>1753</v>
      </c>
      <c r="K48" s="60">
        <v>12452</v>
      </c>
      <c r="L48" s="63" t="s">
        <v>589</v>
      </c>
      <c r="M48" s="90"/>
      <c r="N48" s="90">
        <v>533</v>
      </c>
    </row>
    <row r="49" spans="2:14" x14ac:dyDescent="0.3">
      <c r="B49" s="58">
        <v>45362</v>
      </c>
      <c r="C49" s="60">
        <v>11043.35</v>
      </c>
      <c r="D49" s="49">
        <f t="shared" si="0"/>
        <v>-9.1918031904393294E-3</v>
      </c>
      <c r="E49" s="422"/>
      <c r="F49" s="58">
        <v>45362</v>
      </c>
      <c r="G49" s="60">
        <v>24148.2</v>
      </c>
      <c r="H49" s="49">
        <f t="shared" si="1"/>
        <v>-6.4247758117372822E-3</v>
      </c>
      <c r="J49" s="58" t="s">
        <v>1754</v>
      </c>
      <c r="K49" s="60">
        <v>12577</v>
      </c>
      <c r="L49" s="63" t="s">
        <v>590</v>
      </c>
      <c r="M49" s="90"/>
      <c r="N49" s="90">
        <v>512</v>
      </c>
    </row>
    <row r="50" spans="2:14" x14ac:dyDescent="0.3">
      <c r="B50" s="58" t="s">
        <v>376</v>
      </c>
      <c r="C50" s="60">
        <v>11145.8</v>
      </c>
      <c r="D50" s="49">
        <f t="shared" si="0"/>
        <v>1.3696885913853096E-2</v>
      </c>
      <c r="E50" s="422"/>
      <c r="F50" s="58" t="s">
        <v>376</v>
      </c>
      <c r="G50" s="60">
        <v>24304.35</v>
      </c>
      <c r="H50" s="49">
        <f t="shared" si="1"/>
        <v>5.1094256600276999E-3</v>
      </c>
      <c r="J50" s="58" t="s">
        <v>1755</v>
      </c>
      <c r="K50" s="60">
        <v>12498</v>
      </c>
      <c r="L50" s="63" t="s">
        <v>591</v>
      </c>
      <c r="M50" s="90"/>
      <c r="N50" s="90">
        <v>98</v>
      </c>
    </row>
    <row r="51" spans="2:14" x14ac:dyDescent="0.3">
      <c r="B51" s="58" t="s">
        <v>377</v>
      </c>
      <c r="C51" s="60">
        <v>10995.2</v>
      </c>
      <c r="D51" s="49">
        <f t="shared" si="0"/>
        <v>-6.6941902378649942E-3</v>
      </c>
      <c r="E51" s="422"/>
      <c r="F51" s="58" t="s">
        <v>377</v>
      </c>
      <c r="G51" s="60">
        <v>24180.799999999999</v>
      </c>
      <c r="H51" s="49">
        <f t="shared" si="1"/>
        <v>-2.7088140564616281E-2</v>
      </c>
      <c r="J51" s="58" t="s">
        <v>1756</v>
      </c>
      <c r="K51" s="60">
        <v>12495</v>
      </c>
      <c r="L51" s="63" t="s">
        <v>592</v>
      </c>
      <c r="M51" s="90"/>
      <c r="N51" s="90">
        <v>166</v>
      </c>
    </row>
    <row r="52" spans="2:14" x14ac:dyDescent="0.3">
      <c r="B52" s="58" t="s">
        <v>378</v>
      </c>
      <c r="C52" s="60">
        <v>11069.3</v>
      </c>
      <c r="D52" s="49">
        <f t="shared" si="0"/>
        <v>-3.0819608976211166E-2</v>
      </c>
      <c r="E52" s="422"/>
      <c r="F52" s="58" t="s">
        <v>378</v>
      </c>
      <c r="G52" s="60">
        <v>24854.05</v>
      </c>
      <c r="H52" s="49">
        <f t="shared" si="1"/>
        <v>-4.4143124668275524E-3</v>
      </c>
      <c r="J52" s="58" t="s">
        <v>1757</v>
      </c>
      <c r="K52" s="60">
        <v>12453</v>
      </c>
      <c r="L52" s="63" t="s">
        <v>593</v>
      </c>
      <c r="M52" s="90"/>
      <c r="N52" s="90">
        <v>156</v>
      </c>
    </row>
    <row r="53" spans="2:14" x14ac:dyDescent="0.3">
      <c r="B53" s="58">
        <v>45453</v>
      </c>
      <c r="C53" s="60">
        <v>11421.3</v>
      </c>
      <c r="D53" s="49">
        <f t="shared" si="0"/>
        <v>-2.5283290757844856E-3</v>
      </c>
      <c r="E53" s="422"/>
      <c r="F53" s="58">
        <v>45453</v>
      </c>
      <c r="G53" s="60">
        <v>24964.25</v>
      </c>
      <c r="H53" s="49">
        <f t="shared" si="1"/>
        <v>-2.0128245104857889E-3</v>
      </c>
      <c r="J53" s="58" t="s">
        <v>1758</v>
      </c>
      <c r="K53" s="60">
        <v>12502</v>
      </c>
      <c r="L53" s="63" t="s">
        <v>594</v>
      </c>
      <c r="M53" s="90"/>
      <c r="N53" s="90">
        <v>154</v>
      </c>
    </row>
    <row r="54" spans="2:14" x14ac:dyDescent="0.3">
      <c r="B54" s="58" t="s">
        <v>408</v>
      </c>
      <c r="C54" s="60">
        <v>11450.25</v>
      </c>
      <c r="D54" s="49">
        <f t="shared" si="0"/>
        <v>-4.20044677593433E-2</v>
      </c>
      <c r="E54" s="422">
        <v>45536</v>
      </c>
      <c r="F54" s="58" t="s">
        <v>408</v>
      </c>
      <c r="G54" s="60">
        <v>25014.6</v>
      </c>
      <c r="H54" s="49">
        <f t="shared" si="1"/>
        <v>-4.4476573735768743E-2</v>
      </c>
      <c r="J54" s="58" t="s">
        <v>1759</v>
      </c>
      <c r="K54" s="60">
        <v>12516</v>
      </c>
      <c r="L54" s="63" t="s">
        <v>595</v>
      </c>
      <c r="M54" s="90"/>
      <c r="N54" s="90">
        <v>278</v>
      </c>
    </row>
    <row r="55" spans="2:14" x14ac:dyDescent="0.3">
      <c r="B55" s="58" t="s">
        <v>409</v>
      </c>
      <c r="C55" s="60">
        <v>11952.3</v>
      </c>
      <c r="D55" s="49">
        <f t="shared" si="0"/>
        <v>1.3052727935380481E-2</v>
      </c>
      <c r="E55" s="422"/>
      <c r="F55" s="58" t="s">
        <v>409</v>
      </c>
      <c r="G55" s="60">
        <v>26178.95</v>
      </c>
      <c r="H55" s="49">
        <f t="shared" si="1"/>
        <v>1.5044036764834123E-2</v>
      </c>
      <c r="J55" s="58">
        <v>45968</v>
      </c>
      <c r="K55" s="60">
        <v>12495</v>
      </c>
      <c r="L55" s="63" t="s">
        <v>596</v>
      </c>
      <c r="M55" s="90"/>
      <c r="N55" s="90">
        <v>240</v>
      </c>
    </row>
    <row r="56" spans="2:14" x14ac:dyDescent="0.3">
      <c r="B56" s="58" t="s">
        <v>410</v>
      </c>
      <c r="C56" s="60">
        <v>11798.3</v>
      </c>
      <c r="D56" s="49">
        <f t="shared" si="0"/>
        <v>6.8570014379647493E-3</v>
      </c>
      <c r="E56" s="422"/>
      <c r="F56" s="58" t="s">
        <v>410</v>
      </c>
      <c r="G56" s="60">
        <v>25790.95</v>
      </c>
      <c r="H56" s="49">
        <f t="shared" si="1"/>
        <v>1.7133673811448702E-2</v>
      </c>
      <c r="J56" s="58">
        <v>45937</v>
      </c>
      <c r="K56" s="60">
        <v>12516</v>
      </c>
      <c r="L56" s="63" t="s">
        <v>597</v>
      </c>
      <c r="M56" s="90"/>
      <c r="N56" s="90">
        <v>269</v>
      </c>
    </row>
    <row r="57" spans="2:14" x14ac:dyDescent="0.3">
      <c r="B57" s="58">
        <v>45513</v>
      </c>
      <c r="C57" s="60">
        <v>11717.95</v>
      </c>
      <c r="D57" s="49">
        <f t="shared" si="0"/>
        <v>2.4936914242730479E-2</v>
      </c>
      <c r="E57" s="422"/>
      <c r="F57" s="58">
        <v>45513</v>
      </c>
      <c r="G57" s="60">
        <v>25356.5</v>
      </c>
      <c r="H57" s="49">
        <f t="shared" si="1"/>
        <v>2.0294018827344829E-2</v>
      </c>
      <c r="J57" s="58">
        <v>45907</v>
      </c>
      <c r="K57" s="60">
        <v>12562</v>
      </c>
      <c r="L57" s="63" t="s">
        <v>598</v>
      </c>
      <c r="M57" s="90"/>
      <c r="N57" s="90">
        <v>379</v>
      </c>
    </row>
    <row r="58" spans="2:14" x14ac:dyDescent="0.3">
      <c r="B58" s="58">
        <v>45300</v>
      </c>
      <c r="C58" s="60">
        <v>11432.85</v>
      </c>
      <c r="D58" s="49">
        <f t="shared" si="0"/>
        <v>1.1586547394685898E-2</v>
      </c>
      <c r="E58" s="422"/>
      <c r="F58" s="58">
        <v>45300</v>
      </c>
      <c r="G58" s="60">
        <v>24852.15</v>
      </c>
      <c r="H58" s="49">
        <f t="shared" si="1"/>
        <v>-1.5206511358818231E-2</v>
      </c>
      <c r="J58" s="58">
        <v>45876</v>
      </c>
      <c r="K58" s="60">
        <v>12445</v>
      </c>
      <c r="L58" s="63" t="s">
        <v>599</v>
      </c>
      <c r="M58" s="90"/>
      <c r="N58" s="90">
        <v>219</v>
      </c>
    </row>
    <row r="59" spans="2:14" x14ac:dyDescent="0.3">
      <c r="B59" s="58" t="s">
        <v>411</v>
      </c>
      <c r="C59" s="60">
        <v>11301.9</v>
      </c>
      <c r="D59" s="49">
        <f t="shared" si="0"/>
        <v>-3.5179601121514414E-3</v>
      </c>
      <c r="E59" s="422"/>
      <c r="F59" s="58" t="s">
        <v>411</v>
      </c>
      <c r="G59" s="60">
        <v>25235.9</v>
      </c>
      <c r="H59" s="49">
        <f t="shared" si="1"/>
        <v>1.6627623810837822E-2</v>
      </c>
      <c r="J59" s="58">
        <v>45845</v>
      </c>
      <c r="K59" s="60">
        <v>12345</v>
      </c>
      <c r="L59" s="63" t="s">
        <v>600</v>
      </c>
      <c r="M59" s="90"/>
      <c r="N59" s="90">
        <v>149</v>
      </c>
    </row>
    <row r="60" spans="2:14" x14ac:dyDescent="0.3">
      <c r="B60" s="58" t="s">
        <v>412</v>
      </c>
      <c r="C60" s="60">
        <v>11341.8</v>
      </c>
      <c r="D60" s="49">
        <f t="shared" si="0"/>
        <v>4.0811990403426535E-3</v>
      </c>
      <c r="E60" s="422"/>
      <c r="F60" s="58" t="s">
        <v>412</v>
      </c>
      <c r="G60" s="60">
        <v>24823.15</v>
      </c>
      <c r="H60" s="49">
        <f t="shared" si="1"/>
        <v>1.1490904052988471E-2</v>
      </c>
      <c r="J60" s="58">
        <v>45754</v>
      </c>
      <c r="K60" s="60">
        <v>12506</v>
      </c>
      <c r="L60" s="63" t="s">
        <v>601</v>
      </c>
      <c r="M60" s="90"/>
      <c r="N60" s="90">
        <v>191</v>
      </c>
    </row>
    <row r="61" spans="2:14" x14ac:dyDescent="0.3">
      <c r="B61" s="58">
        <v>45604</v>
      </c>
      <c r="C61" s="60">
        <v>11295.7</v>
      </c>
      <c r="D61" s="49">
        <f t="shared" si="0"/>
        <v>-4.1149167946119558E-4</v>
      </c>
      <c r="E61" s="422"/>
      <c r="F61" s="58">
        <v>45604</v>
      </c>
      <c r="G61" s="60">
        <v>24541.15</v>
      </c>
      <c r="H61" s="49">
        <f t="shared" si="1"/>
        <v>7.1262952703396998E-3</v>
      </c>
      <c r="J61" s="58">
        <v>45723</v>
      </c>
      <c r="K61" s="60">
        <v>12398</v>
      </c>
      <c r="L61" s="63" t="s">
        <v>602</v>
      </c>
      <c r="M61" s="90"/>
      <c r="N61" s="90">
        <v>275</v>
      </c>
    </row>
    <row r="62" spans="2:14" x14ac:dyDescent="0.3">
      <c r="B62" s="58">
        <v>45390</v>
      </c>
      <c r="C62" s="60">
        <v>11300.35</v>
      </c>
      <c r="D62" s="49">
        <f t="shared" si="0"/>
        <v>-3.9453440435207598E-2</v>
      </c>
      <c r="E62" s="422"/>
      <c r="F62" s="58">
        <v>45390</v>
      </c>
      <c r="G62" s="60">
        <v>24367.5</v>
      </c>
      <c r="H62" s="49">
        <f t="shared" si="1"/>
        <v>-1.4167984885325113E-2</v>
      </c>
      <c r="J62" s="58">
        <v>45695</v>
      </c>
      <c r="K62" s="60">
        <v>12436</v>
      </c>
      <c r="L62" s="63" t="s">
        <v>603</v>
      </c>
      <c r="M62" s="90"/>
      <c r="N62" s="90">
        <v>445</v>
      </c>
    </row>
    <row r="63" spans="2:14" x14ac:dyDescent="0.3">
      <c r="B63" s="58" t="s">
        <v>413</v>
      </c>
      <c r="C63" s="60">
        <v>11764.5</v>
      </c>
      <c r="D63" s="49">
        <f t="shared" si="0"/>
        <v>7.8342849555173011E-3</v>
      </c>
      <c r="E63" s="422"/>
      <c r="F63" s="58" t="s">
        <v>413</v>
      </c>
      <c r="G63" s="60">
        <v>24717.7</v>
      </c>
      <c r="H63" s="49">
        <f t="shared" si="1"/>
        <v>-4.7171615693268887E-3</v>
      </c>
      <c r="J63" s="58">
        <v>45664</v>
      </c>
      <c r="K63" s="60">
        <v>12210</v>
      </c>
      <c r="L63" s="63" t="s">
        <v>604</v>
      </c>
      <c r="M63" s="90"/>
      <c r="N63" s="90">
        <v>207</v>
      </c>
    </row>
    <row r="64" spans="2:14" x14ac:dyDescent="0.3">
      <c r="B64" s="58" t="s">
        <v>414</v>
      </c>
      <c r="C64" s="60">
        <v>11673.05</v>
      </c>
      <c r="D64" s="49">
        <f t="shared" si="0"/>
        <v>3.6839487311583374E-2</v>
      </c>
      <c r="E64" s="422"/>
      <c r="F64" s="58" t="s">
        <v>414</v>
      </c>
      <c r="G64" s="60">
        <v>24834.85</v>
      </c>
      <c r="H64" s="49">
        <f t="shared" si="1"/>
        <v>1.2390495252925682E-2</v>
      </c>
      <c r="J64" s="58" t="s">
        <v>1760</v>
      </c>
      <c r="K64" s="60">
        <v>12093</v>
      </c>
      <c r="L64" s="63" t="s">
        <v>605</v>
      </c>
      <c r="M64" s="90"/>
      <c r="N64" s="90">
        <v>333</v>
      </c>
    </row>
    <row r="65" spans="2:14" x14ac:dyDescent="0.3">
      <c r="B65" s="58" t="s">
        <v>415</v>
      </c>
      <c r="C65" s="60">
        <v>11258.3</v>
      </c>
      <c r="D65" s="49">
        <f t="shared" si="0"/>
        <v>-2.9649293674530064E-2</v>
      </c>
      <c r="E65" s="422"/>
      <c r="F65" s="58" t="s">
        <v>415</v>
      </c>
      <c r="G65" s="60">
        <v>24530.9</v>
      </c>
      <c r="H65" s="49">
        <f t="shared" si="1"/>
        <v>1.1733664188653403E-3</v>
      </c>
      <c r="J65" s="58" t="s">
        <v>1761</v>
      </c>
      <c r="K65" s="60">
        <v>12213</v>
      </c>
      <c r="L65" s="63" t="s">
        <v>606</v>
      </c>
      <c r="M65" s="90"/>
      <c r="N65" s="90">
        <v>501</v>
      </c>
    </row>
    <row r="66" spans="2:14" x14ac:dyDescent="0.3">
      <c r="B66" s="58">
        <v>45480</v>
      </c>
      <c r="C66" s="60">
        <v>11602.3</v>
      </c>
      <c r="D66" s="49">
        <f t="shared" si="0"/>
        <v>-7.5148736329303523E-3</v>
      </c>
      <c r="E66" s="422"/>
      <c r="F66" s="58">
        <v>45480</v>
      </c>
      <c r="G66" s="60">
        <v>24502.15</v>
      </c>
      <c r="H66" s="49">
        <f t="shared" si="1"/>
        <v>7.3302540510651326E-3</v>
      </c>
      <c r="J66" s="58" t="s">
        <v>1762</v>
      </c>
      <c r="K66" s="60">
        <v>11951</v>
      </c>
      <c r="L66" s="63" t="s">
        <v>607</v>
      </c>
      <c r="M66" s="90"/>
      <c r="N66" s="90">
        <v>506</v>
      </c>
    </row>
    <row r="67" spans="2:14" x14ac:dyDescent="0.3">
      <c r="B67" s="58" t="s">
        <v>416</v>
      </c>
      <c r="C67" s="60">
        <v>11690.15</v>
      </c>
      <c r="D67" s="49">
        <f t="shared" si="0"/>
        <v>1.9069412662089391E-3</v>
      </c>
      <c r="E67" s="422">
        <v>45444</v>
      </c>
      <c r="F67" s="58" t="s">
        <v>416</v>
      </c>
      <c r="G67" s="60">
        <v>24323.85</v>
      </c>
      <c r="H67" s="49">
        <f t="shared" si="1"/>
        <v>1.3046321208133094E-2</v>
      </c>
      <c r="J67" s="58" t="s">
        <v>1763</v>
      </c>
      <c r="K67" s="60">
        <v>11733</v>
      </c>
      <c r="L67" s="63" t="s">
        <v>608</v>
      </c>
      <c r="M67" s="90"/>
      <c r="N67" s="90">
        <v>253</v>
      </c>
    </row>
    <row r="68" spans="2:14" x14ac:dyDescent="0.3">
      <c r="B68" s="58" t="s">
        <v>417</v>
      </c>
      <c r="C68" s="60">
        <v>11667.9</v>
      </c>
      <c r="D68" s="49">
        <f t="shared" si="0"/>
        <v>9.4303346338535432E-2</v>
      </c>
      <c r="E68" s="422"/>
      <c r="F68" s="58" t="s">
        <v>417</v>
      </c>
      <c r="G68" s="60">
        <v>24010.6</v>
      </c>
      <c r="H68" s="49">
        <f t="shared" si="1"/>
        <v>2.1679836262983532E-2</v>
      </c>
      <c r="J68" s="58" t="s">
        <v>1764</v>
      </c>
      <c r="K68" s="60">
        <v>11579</v>
      </c>
      <c r="L68" s="63" t="s">
        <v>609</v>
      </c>
      <c r="M68" s="90"/>
      <c r="N68" s="90">
        <v>735</v>
      </c>
    </row>
    <row r="69" spans="2:14" x14ac:dyDescent="0.3">
      <c r="B69" s="58" t="s">
        <v>418</v>
      </c>
      <c r="C69" s="60">
        <v>10662.4</v>
      </c>
      <c r="D69" s="49">
        <f t="shared" si="0"/>
        <v>-5.162415056747427E-2</v>
      </c>
      <c r="E69" s="422"/>
      <c r="F69" s="58" t="s">
        <v>418</v>
      </c>
      <c r="G69" s="60">
        <v>23501.1</v>
      </c>
      <c r="H69" s="49">
        <f t="shared" si="1"/>
        <v>1.5128528569481325E-3</v>
      </c>
      <c r="J69" s="58" t="s">
        <v>1765</v>
      </c>
      <c r="K69" s="60">
        <v>11449</v>
      </c>
      <c r="L69" s="63" t="s">
        <v>610</v>
      </c>
      <c r="M69" s="90"/>
      <c r="N69" s="90">
        <v>304</v>
      </c>
    </row>
    <row r="70" spans="2:14" x14ac:dyDescent="0.3">
      <c r="B70" s="58">
        <v>45541</v>
      </c>
      <c r="C70" s="60">
        <v>11242.8</v>
      </c>
      <c r="D70" s="49">
        <f t="shared" ref="D70:D107" si="2">(C70/C71)-1</f>
        <v>7.4513889220741314E-2</v>
      </c>
      <c r="E70" s="422"/>
      <c r="F70" s="58">
        <v>45541</v>
      </c>
      <c r="G70" s="60">
        <v>23465.599999999999</v>
      </c>
      <c r="H70" s="49">
        <f t="shared" ref="H70:H107" si="3">(G70/G71)-1</f>
        <v>7.5332275661599279E-3</v>
      </c>
      <c r="J70" s="58" t="s">
        <v>1766</v>
      </c>
      <c r="K70" s="60">
        <v>11458</v>
      </c>
      <c r="L70" s="63" t="s">
        <v>611</v>
      </c>
      <c r="M70" s="90"/>
      <c r="N70" s="90">
        <v>629</v>
      </c>
    </row>
    <row r="71" spans="2:14" x14ac:dyDescent="0.3">
      <c r="B71" s="58">
        <v>45328</v>
      </c>
      <c r="C71" s="60">
        <v>10463.15</v>
      </c>
      <c r="D71" s="49">
        <f t="shared" si="2"/>
        <v>5.5231707932025476E-2</v>
      </c>
      <c r="E71" s="422"/>
      <c r="F71" s="58">
        <v>45328</v>
      </c>
      <c r="G71" s="60">
        <v>23290.15</v>
      </c>
      <c r="H71" s="49">
        <f t="shared" si="3"/>
        <v>3.3707341538434354E-2</v>
      </c>
      <c r="J71" s="58" t="s">
        <v>1767</v>
      </c>
      <c r="K71" s="60">
        <v>11420</v>
      </c>
      <c r="L71" s="63" t="s">
        <v>612</v>
      </c>
      <c r="M71" s="90"/>
      <c r="N71" s="90">
        <v>157</v>
      </c>
    </row>
    <row r="72" spans="2:14" x14ac:dyDescent="0.3">
      <c r="B72" s="58" t="s">
        <v>419</v>
      </c>
      <c r="C72" s="60">
        <v>9915.5</v>
      </c>
      <c r="D72" s="49">
        <f t="shared" si="2"/>
        <v>-3.0847122987753051E-2</v>
      </c>
      <c r="E72" s="422"/>
      <c r="F72" s="58" t="s">
        <v>419</v>
      </c>
      <c r="G72" s="60">
        <v>22530.7</v>
      </c>
      <c r="H72" s="49">
        <f t="shared" si="3"/>
        <v>-1.8573774562117951E-2</v>
      </c>
      <c r="J72" s="58" t="s">
        <v>1768</v>
      </c>
      <c r="K72" s="60">
        <v>11406</v>
      </c>
      <c r="L72" s="63" t="s">
        <v>613</v>
      </c>
      <c r="M72" s="90"/>
      <c r="N72" s="90">
        <v>156</v>
      </c>
    </row>
    <row r="73" spans="2:14" x14ac:dyDescent="0.3">
      <c r="B73" s="58" t="s">
        <v>420</v>
      </c>
      <c r="C73" s="60">
        <v>10231.1</v>
      </c>
      <c r="D73" s="49">
        <f t="shared" si="2"/>
        <v>3.4452774674303743E-2</v>
      </c>
      <c r="E73" s="422"/>
      <c r="F73" s="58" t="s">
        <v>420</v>
      </c>
      <c r="G73" s="60">
        <v>22957.1</v>
      </c>
      <c r="H73" s="49">
        <f t="shared" si="3"/>
        <v>2.1855150649200406E-2</v>
      </c>
      <c r="J73" s="58" t="s">
        <v>1769</v>
      </c>
      <c r="K73" s="60">
        <v>11383</v>
      </c>
      <c r="L73" s="63" t="s">
        <v>614</v>
      </c>
      <c r="M73" s="90"/>
      <c r="N73" s="90">
        <v>121</v>
      </c>
    </row>
    <row r="74" spans="2:14" x14ac:dyDescent="0.3">
      <c r="B74" s="58">
        <v>45631</v>
      </c>
      <c r="C74" s="60">
        <v>9890.35</v>
      </c>
      <c r="D74" s="49">
        <f t="shared" si="2"/>
        <v>4.1999852502712764E-2</v>
      </c>
      <c r="E74" s="422"/>
      <c r="F74" s="58">
        <v>45631</v>
      </c>
      <c r="G74" s="60">
        <v>22466.1</v>
      </c>
      <c r="H74" s="49">
        <f t="shared" si="3"/>
        <v>1.8630527041241907E-2</v>
      </c>
      <c r="J74" s="58" t="s">
        <v>1770</v>
      </c>
      <c r="K74" s="60">
        <v>11495</v>
      </c>
      <c r="L74" s="63" t="s">
        <v>615</v>
      </c>
      <c r="M74" s="90"/>
      <c r="N74" s="90">
        <v>401</v>
      </c>
    </row>
    <row r="75" spans="2:14" x14ac:dyDescent="0.3">
      <c r="B75" s="58">
        <v>45417</v>
      </c>
      <c r="C75" s="60">
        <v>9491.7000000000007</v>
      </c>
      <c r="D75" s="49">
        <f t="shared" si="2"/>
        <v>-3.3067449038843399E-2</v>
      </c>
      <c r="E75" s="422"/>
      <c r="F75" s="58">
        <v>45417</v>
      </c>
      <c r="G75" s="60">
        <v>22055.200000000001</v>
      </c>
      <c r="H75" s="49">
        <f t="shared" si="3"/>
        <v>-1.8715643679771743E-2</v>
      </c>
      <c r="J75" s="58" t="s">
        <v>1771</v>
      </c>
      <c r="K75" s="60">
        <v>11224</v>
      </c>
      <c r="L75" s="63" t="s">
        <v>616</v>
      </c>
      <c r="M75" s="90"/>
      <c r="N75" s="90">
        <v>181</v>
      </c>
    </row>
    <row r="76" spans="2:14" x14ac:dyDescent="0.3">
      <c r="B76" s="58" t="s">
        <v>421</v>
      </c>
      <c r="C76" s="60">
        <v>9816.2999999999993</v>
      </c>
      <c r="D76" s="49">
        <f t="shared" si="2"/>
        <v>1.1895803482151024E-2</v>
      </c>
      <c r="E76" s="422"/>
      <c r="F76" s="58" t="s">
        <v>421</v>
      </c>
      <c r="G76" s="60">
        <v>22475.85</v>
      </c>
      <c r="H76" s="49">
        <f t="shared" si="3"/>
        <v>2.4933151055197555E-3</v>
      </c>
      <c r="J76" s="58">
        <v>45997</v>
      </c>
      <c r="K76" s="60">
        <v>11323</v>
      </c>
      <c r="L76" s="63" t="s">
        <v>617</v>
      </c>
      <c r="M76" s="90"/>
      <c r="N76" s="90">
        <v>262</v>
      </c>
    </row>
    <row r="77" spans="2:14" x14ac:dyDescent="0.3">
      <c r="B77" s="58" t="s">
        <v>422</v>
      </c>
      <c r="C77" s="60">
        <v>9700.9</v>
      </c>
      <c r="D77" s="49">
        <f t="shared" si="2"/>
        <v>3.5983746175492159E-2</v>
      </c>
      <c r="E77" s="422"/>
      <c r="F77" s="58" t="s">
        <v>422</v>
      </c>
      <c r="G77" s="60">
        <v>22419.95</v>
      </c>
      <c r="H77" s="49">
        <f t="shared" si="3"/>
        <v>1.2324468325281002E-2</v>
      </c>
      <c r="J77" s="58">
        <v>45967</v>
      </c>
      <c r="K77" s="60">
        <v>11464</v>
      </c>
      <c r="L77" s="63" t="s">
        <v>618</v>
      </c>
      <c r="M77" s="90"/>
      <c r="N77" s="90">
        <v>237</v>
      </c>
    </row>
    <row r="78" spans="2:14" x14ac:dyDescent="0.3">
      <c r="B78" s="58" t="s">
        <v>423</v>
      </c>
      <c r="C78" s="60">
        <v>9363.9500000000007</v>
      </c>
      <c r="D78" s="49">
        <f t="shared" si="2"/>
        <v>-2.9898835022869497E-2</v>
      </c>
      <c r="E78" s="422"/>
      <c r="F78" s="58" t="s">
        <v>423</v>
      </c>
      <c r="G78" s="60">
        <v>22147</v>
      </c>
      <c r="H78" s="49">
        <f t="shared" si="3"/>
        <v>-1.6536852669254087E-2</v>
      </c>
      <c r="J78" s="58">
        <v>45936</v>
      </c>
      <c r="K78" s="60">
        <v>11391</v>
      </c>
      <c r="L78" s="63" t="s">
        <v>619</v>
      </c>
      <c r="M78" s="90"/>
      <c r="N78" s="90">
        <v>279</v>
      </c>
    </row>
    <row r="79" spans="2:14" x14ac:dyDescent="0.3">
      <c r="B79" s="58">
        <v>45477</v>
      </c>
      <c r="C79" s="60">
        <v>9652.5499999999993</v>
      </c>
      <c r="D79" s="49">
        <f t="shared" si="2"/>
        <v>-1.7412150331854059E-2</v>
      </c>
      <c r="E79" s="422"/>
      <c r="F79" s="58">
        <v>45477</v>
      </c>
      <c r="G79" s="60">
        <v>22519.4</v>
      </c>
      <c r="H79" s="49">
        <f t="shared" si="3"/>
        <v>2.5317917534661838E-4</v>
      </c>
      <c r="J79" s="58">
        <v>45906</v>
      </c>
      <c r="K79" s="60">
        <v>11260</v>
      </c>
      <c r="L79" s="63" t="s">
        <v>620</v>
      </c>
      <c r="M79" s="90"/>
      <c r="N79" s="90">
        <v>209</v>
      </c>
    </row>
    <row r="80" spans="2:14" x14ac:dyDescent="0.3">
      <c r="B80" s="58" t="s">
        <v>424</v>
      </c>
      <c r="C80" s="60">
        <v>9823.6</v>
      </c>
      <c r="D80" s="49">
        <f t="shared" si="2"/>
        <v>7.6365631875601192E-3</v>
      </c>
      <c r="E80" s="422">
        <v>45352</v>
      </c>
      <c r="F80" s="58" t="s">
        <v>424</v>
      </c>
      <c r="G80" s="60">
        <v>22513.7</v>
      </c>
      <c r="H80" s="49">
        <f t="shared" si="3"/>
        <v>8.3665891816597782E-3</v>
      </c>
      <c r="J80" s="58">
        <v>45814</v>
      </c>
      <c r="K80" s="60">
        <v>11253</v>
      </c>
      <c r="L80" s="63" t="s">
        <v>621</v>
      </c>
      <c r="M80" s="90"/>
      <c r="N80" s="90">
        <v>143</v>
      </c>
    </row>
    <row r="81" spans="2:14" x14ac:dyDescent="0.3">
      <c r="B81" s="58" t="s">
        <v>425</v>
      </c>
      <c r="C81" s="60">
        <v>9749.15</v>
      </c>
      <c r="D81" s="49">
        <f t="shared" si="2"/>
        <v>6.961551372427488E-3</v>
      </c>
      <c r="E81" s="60"/>
      <c r="F81" s="58" t="s">
        <v>425</v>
      </c>
      <c r="G81" s="60">
        <v>22326.9</v>
      </c>
      <c r="H81" s="49">
        <f t="shared" si="3"/>
        <v>1.0415558849152129E-2</v>
      </c>
      <c r="J81" s="58">
        <v>45783</v>
      </c>
      <c r="K81" s="60">
        <v>11159</v>
      </c>
      <c r="L81" s="63" t="s">
        <v>622</v>
      </c>
      <c r="M81" s="90"/>
      <c r="N81" s="90">
        <v>191</v>
      </c>
    </row>
    <row r="82" spans="2:14" x14ac:dyDescent="0.3">
      <c r="B82" s="58" t="s">
        <v>426</v>
      </c>
      <c r="C82" s="60">
        <v>9681.75</v>
      </c>
      <c r="D82" s="49">
        <f t="shared" si="2"/>
        <v>5.0659455307044965E-3</v>
      </c>
      <c r="E82" s="60"/>
      <c r="F82" s="58" t="s">
        <v>426</v>
      </c>
      <c r="G82" s="60">
        <v>22096.75</v>
      </c>
      <c r="H82" s="49">
        <f t="shared" si="3"/>
        <v>3.3328262957270649E-3</v>
      </c>
      <c r="J82" s="58">
        <v>45753</v>
      </c>
      <c r="K82" s="60">
        <v>11033</v>
      </c>
      <c r="L82" s="63" t="s">
        <v>623</v>
      </c>
      <c r="M82" s="90"/>
      <c r="N82" s="90">
        <v>345</v>
      </c>
    </row>
    <row r="83" spans="2:14" x14ac:dyDescent="0.3">
      <c r="B83" s="58">
        <v>45568</v>
      </c>
      <c r="C83" s="60">
        <v>9632.9500000000007</v>
      </c>
      <c r="D83" s="49">
        <f t="shared" si="2"/>
        <v>-4.1558334151748921E-3</v>
      </c>
      <c r="E83" s="60"/>
      <c r="F83" s="58">
        <v>45568</v>
      </c>
      <c r="G83" s="60">
        <v>22023.35</v>
      </c>
      <c r="H83" s="49">
        <f t="shared" si="3"/>
        <v>-2.0903770191899484E-2</v>
      </c>
      <c r="J83" s="58">
        <v>45722</v>
      </c>
      <c r="K83" s="60">
        <v>11035</v>
      </c>
      <c r="L83" s="63" t="s">
        <v>624</v>
      </c>
      <c r="M83" s="90"/>
      <c r="N83" s="90">
        <v>349</v>
      </c>
    </row>
    <row r="84" spans="2:14" x14ac:dyDescent="0.3">
      <c r="B84" s="58">
        <v>45354</v>
      </c>
      <c r="C84" s="60">
        <v>9673.15</v>
      </c>
      <c r="D84" s="49">
        <f t="shared" si="2"/>
        <v>-4.5616891125252912E-2</v>
      </c>
      <c r="E84" s="60"/>
      <c r="F84" s="58">
        <v>45354</v>
      </c>
      <c r="G84" s="60">
        <v>22493.55</v>
      </c>
      <c r="H84" s="49">
        <f t="shared" si="3"/>
        <v>6.929662581836471E-3</v>
      </c>
      <c r="J84" s="58">
        <v>45694</v>
      </c>
      <c r="K84" s="60">
        <v>11195</v>
      </c>
      <c r="L84" s="63" t="s">
        <v>625</v>
      </c>
      <c r="M84" s="90"/>
      <c r="N84" s="90">
        <v>314</v>
      </c>
    </row>
    <row r="85" spans="2:14" x14ac:dyDescent="0.3">
      <c r="B85" s="58" t="s">
        <v>427</v>
      </c>
      <c r="C85" s="60">
        <v>10135.5</v>
      </c>
      <c r="D85" s="49">
        <f t="shared" si="2"/>
        <v>1.3458788709016289E-2</v>
      </c>
      <c r="E85" s="60"/>
      <c r="F85" s="58" t="s">
        <v>427</v>
      </c>
      <c r="G85" s="60">
        <v>22338.75</v>
      </c>
      <c r="H85" s="49">
        <f t="shared" si="3"/>
        <v>5.6746816010659895E-3</v>
      </c>
      <c r="J85" s="58" t="s">
        <v>1772</v>
      </c>
      <c r="K85" s="60">
        <v>11210</v>
      </c>
      <c r="L85" s="63" t="s">
        <v>626</v>
      </c>
      <c r="M85" s="90"/>
      <c r="N85" s="90">
        <v>394</v>
      </c>
    </row>
    <row r="86" spans="2:14" x14ac:dyDescent="0.3">
      <c r="B86" s="58" t="s">
        <v>428</v>
      </c>
      <c r="C86" s="60">
        <v>10000.9</v>
      </c>
      <c r="D86" s="49">
        <f t="shared" si="2"/>
        <v>8.5415784272200312E-3</v>
      </c>
      <c r="E86" s="60"/>
      <c r="F86" s="58" t="s">
        <v>428</v>
      </c>
      <c r="G86" s="60">
        <v>22212.7</v>
      </c>
      <c r="H86" s="49">
        <f t="shared" si="3"/>
        <v>7.8037448901351336E-3</v>
      </c>
      <c r="J86" s="58" t="s">
        <v>1773</v>
      </c>
      <c r="K86" s="60">
        <v>11269</v>
      </c>
      <c r="L86" s="63" t="s">
        <v>627</v>
      </c>
      <c r="M86" s="90"/>
      <c r="N86" s="90">
        <v>350</v>
      </c>
    </row>
    <row r="87" spans="2:14" x14ac:dyDescent="0.3">
      <c r="B87" s="58">
        <v>45598</v>
      </c>
      <c r="C87" s="60">
        <v>9916.2000000000007</v>
      </c>
      <c r="D87" s="49">
        <f t="shared" si="2"/>
        <v>-2.9711183168689148E-3</v>
      </c>
      <c r="E87" s="60"/>
      <c r="F87" s="58">
        <v>45598</v>
      </c>
      <c r="G87" s="60">
        <v>22040.7</v>
      </c>
      <c r="H87" s="49">
        <f t="shared" si="3"/>
        <v>1.1853552163433978E-2</v>
      </c>
      <c r="J87" s="58" t="s">
        <v>1774</v>
      </c>
      <c r="K87" s="60">
        <v>11238</v>
      </c>
      <c r="L87" s="63" t="s">
        <v>628</v>
      </c>
      <c r="M87" s="90"/>
      <c r="N87" s="90">
        <v>201</v>
      </c>
    </row>
    <row r="88" spans="2:14" x14ac:dyDescent="0.3">
      <c r="B88" s="58">
        <v>45384</v>
      </c>
      <c r="C88" s="60">
        <v>9945.75</v>
      </c>
      <c r="D88" s="49">
        <f t="shared" si="2"/>
        <v>-1.5130885127072613E-2</v>
      </c>
      <c r="E88" s="60"/>
      <c r="F88" s="58">
        <v>45384</v>
      </c>
      <c r="G88" s="60">
        <v>21782.5</v>
      </c>
      <c r="H88" s="49">
        <f t="shared" si="3"/>
        <v>-3.2625904876955047E-3</v>
      </c>
      <c r="J88" s="58" t="s">
        <v>1775</v>
      </c>
      <c r="K88" s="60">
        <v>11421</v>
      </c>
      <c r="L88" s="63" t="s">
        <v>629</v>
      </c>
      <c r="M88" s="90"/>
      <c r="N88" s="90">
        <v>478</v>
      </c>
    </row>
    <row r="89" spans="2:14" x14ac:dyDescent="0.3">
      <c r="B89" s="58" t="s">
        <v>429</v>
      </c>
      <c r="C89" s="60">
        <v>10098.549999999999</v>
      </c>
      <c r="D89" s="49">
        <f t="shared" si="2"/>
        <v>1.2959721546540015E-2</v>
      </c>
      <c r="E89" s="60"/>
      <c r="F89" s="58" t="s">
        <v>429</v>
      </c>
      <c r="G89" s="60">
        <v>21853.8</v>
      </c>
      <c r="H89" s="49">
        <f t="shared" si="3"/>
        <v>2.3472551352060167E-2</v>
      </c>
      <c r="J89" s="58" t="s">
        <v>1776</v>
      </c>
      <c r="K89" s="60">
        <v>11689</v>
      </c>
      <c r="L89" s="63" t="s">
        <v>630</v>
      </c>
      <c r="M89" s="90"/>
      <c r="N89" s="90">
        <v>198</v>
      </c>
    </row>
    <row r="90" spans="2:14" x14ac:dyDescent="0.3">
      <c r="B90" s="58" t="s">
        <v>430</v>
      </c>
      <c r="C90" s="60">
        <v>9969.35</v>
      </c>
      <c r="D90" s="49">
        <f t="shared" si="2"/>
        <v>-1.2319565669675181E-2</v>
      </c>
      <c r="E90" s="60"/>
      <c r="F90" s="58" t="s">
        <v>430</v>
      </c>
      <c r="G90" s="60">
        <v>21352.6</v>
      </c>
      <c r="H90" s="49">
        <f t="shared" si="3"/>
        <v>-1.2477800799171379E-2</v>
      </c>
      <c r="J90" s="58" t="s">
        <v>1777</v>
      </c>
      <c r="K90" s="60">
        <v>11746</v>
      </c>
      <c r="L90" s="63" t="s">
        <v>631</v>
      </c>
      <c r="M90" s="90"/>
      <c r="N90" s="90">
        <v>181</v>
      </c>
    </row>
    <row r="91" spans="2:14" x14ac:dyDescent="0.3">
      <c r="B91" s="58" t="s">
        <v>431</v>
      </c>
      <c r="C91" s="60">
        <v>10093.700000000001</v>
      </c>
      <c r="D91" s="49">
        <f t="shared" si="2"/>
        <v>2.9082066993255884E-2</v>
      </c>
      <c r="E91" s="60"/>
      <c r="F91" s="58" t="s">
        <v>431</v>
      </c>
      <c r="G91" s="60">
        <v>21622.400000000001</v>
      </c>
      <c r="H91" s="49">
        <f t="shared" si="3"/>
        <v>-1.2430033958222397E-2</v>
      </c>
      <c r="J91" s="58" t="s">
        <v>1778</v>
      </c>
      <c r="K91" s="60">
        <v>11680</v>
      </c>
      <c r="L91" s="63" t="s">
        <v>632</v>
      </c>
      <c r="M91" s="90"/>
      <c r="N91" s="90">
        <v>175</v>
      </c>
    </row>
    <row r="92" spans="2:14" x14ac:dyDescent="0.3">
      <c r="B92" s="58">
        <v>45474</v>
      </c>
      <c r="C92" s="60">
        <v>9808.4500000000007</v>
      </c>
      <c r="D92" s="49">
        <f t="shared" si="2"/>
        <v>-2.0726733592583813E-2</v>
      </c>
      <c r="E92" s="60"/>
      <c r="F92" s="58">
        <v>45474</v>
      </c>
      <c r="G92" s="60">
        <v>21894.55</v>
      </c>
      <c r="H92" s="49">
        <f t="shared" si="3"/>
        <v>8.4635296718684749E-3</v>
      </c>
      <c r="J92" s="58" t="s">
        <v>1779</v>
      </c>
      <c r="K92" s="60">
        <v>11666</v>
      </c>
      <c r="L92" s="63" t="s">
        <v>633</v>
      </c>
      <c r="M92" s="90"/>
      <c r="N92" s="90">
        <v>173</v>
      </c>
    </row>
    <row r="93" spans="2:14" x14ac:dyDescent="0.3">
      <c r="B93" s="58" t="s">
        <v>379</v>
      </c>
      <c r="C93" s="60">
        <v>10016.049999999999</v>
      </c>
      <c r="D93" s="49">
        <f t="shared" si="2"/>
        <v>-4.6367483730916259E-2</v>
      </c>
      <c r="E93" s="422">
        <v>45261</v>
      </c>
      <c r="F93" s="58" t="s">
        <v>379</v>
      </c>
      <c r="G93" s="60">
        <v>21710.799999999999</v>
      </c>
      <c r="H93" s="49">
        <f t="shared" si="3"/>
        <v>-9.479370864280412E-4</v>
      </c>
      <c r="J93" s="58" t="s">
        <v>1780</v>
      </c>
      <c r="K93" s="60">
        <v>11697</v>
      </c>
      <c r="L93" s="63" t="s">
        <v>634</v>
      </c>
      <c r="M93" s="90"/>
      <c r="N93" s="90">
        <v>158</v>
      </c>
    </row>
    <row r="94" spans="2:14" x14ac:dyDescent="0.3">
      <c r="B94" s="58" t="s">
        <v>380</v>
      </c>
      <c r="C94" s="60">
        <v>10503.05</v>
      </c>
      <c r="D94" s="49">
        <f t="shared" si="2"/>
        <v>5.3571070317985692E-2</v>
      </c>
      <c r="E94" s="60"/>
      <c r="F94" s="58" t="s">
        <v>380</v>
      </c>
      <c r="G94" s="60">
        <v>21731.4</v>
      </c>
      <c r="H94" s="49">
        <f t="shared" si="3"/>
        <v>1.7892774504201459E-2</v>
      </c>
      <c r="J94" s="58" t="s">
        <v>1781</v>
      </c>
      <c r="K94" s="60">
        <v>11929</v>
      </c>
      <c r="L94" s="63" t="s">
        <v>635</v>
      </c>
      <c r="M94" s="90"/>
      <c r="N94" s="90">
        <v>128</v>
      </c>
    </row>
    <row r="95" spans="2:14" x14ac:dyDescent="0.3">
      <c r="B95" s="58" t="s">
        <v>381</v>
      </c>
      <c r="C95" s="60">
        <v>9969</v>
      </c>
      <c r="D95" s="49">
        <f t="shared" si="2"/>
        <v>-6.027249749487873E-3</v>
      </c>
      <c r="E95" s="60"/>
      <c r="F95" s="58" t="s">
        <v>381</v>
      </c>
      <c r="G95" s="60">
        <v>21349.4</v>
      </c>
      <c r="H95" s="49">
        <f t="shared" si="3"/>
        <v>-4.9984503638732525E-3</v>
      </c>
      <c r="J95" s="58" t="s">
        <v>1782</v>
      </c>
      <c r="K95" s="60">
        <v>11905</v>
      </c>
      <c r="L95" s="63" t="s">
        <v>636</v>
      </c>
      <c r="M95" s="90"/>
      <c r="N95" s="90">
        <v>209</v>
      </c>
    </row>
    <row r="96" spans="2:14" x14ac:dyDescent="0.3">
      <c r="B96" s="58">
        <v>45211</v>
      </c>
      <c r="C96" s="60">
        <v>10029.450000000001</v>
      </c>
      <c r="D96" s="49">
        <f t="shared" si="2"/>
        <v>6.5426964322705228E-2</v>
      </c>
      <c r="E96" s="60"/>
      <c r="F96" s="58">
        <v>45211</v>
      </c>
      <c r="G96" s="60">
        <v>21456.65</v>
      </c>
      <c r="H96" s="49">
        <f t="shared" si="3"/>
        <v>2.3236239472755438E-2</v>
      </c>
      <c r="J96" s="58" t="s">
        <v>1783</v>
      </c>
      <c r="K96" s="60">
        <v>11894</v>
      </c>
      <c r="L96" s="63" t="s">
        <v>637</v>
      </c>
      <c r="M96" s="90"/>
      <c r="N96" s="90">
        <v>371</v>
      </c>
    </row>
    <row r="97" spans="2:14" x14ac:dyDescent="0.3">
      <c r="B97" s="58">
        <v>44997</v>
      </c>
      <c r="C97" s="60">
        <v>9413.5499999999993</v>
      </c>
      <c r="D97" s="49">
        <f t="shared" si="2"/>
        <v>4.2030806356093908E-2</v>
      </c>
      <c r="E97" s="60"/>
      <c r="F97" s="58">
        <v>44997</v>
      </c>
      <c r="G97" s="60">
        <v>20969.400000000001</v>
      </c>
      <c r="H97" s="49">
        <f t="shared" si="3"/>
        <v>3.4611380557433069E-2</v>
      </c>
      <c r="J97" s="58" t="s">
        <v>1784</v>
      </c>
      <c r="K97" s="60">
        <v>11672</v>
      </c>
      <c r="L97" s="63" t="s">
        <v>638</v>
      </c>
      <c r="M97" s="90"/>
      <c r="N97" s="90">
        <v>179</v>
      </c>
    </row>
    <row r="98" spans="2:14" x14ac:dyDescent="0.3">
      <c r="B98" s="58" t="s">
        <v>382</v>
      </c>
      <c r="C98" s="60">
        <v>9033.85</v>
      </c>
      <c r="D98" s="49">
        <f t="shared" si="2"/>
        <v>5.5825015778032228E-2</v>
      </c>
      <c r="E98" s="60"/>
      <c r="F98" s="58" t="s">
        <v>382</v>
      </c>
      <c r="G98" s="60">
        <v>20267.900000000001</v>
      </c>
      <c r="H98" s="49">
        <f t="shared" si="3"/>
        <v>2.3905388816198414E-2</v>
      </c>
      <c r="J98" s="58" t="s">
        <v>1785</v>
      </c>
      <c r="K98" s="60">
        <v>11661</v>
      </c>
      <c r="L98" s="63" t="s">
        <v>639</v>
      </c>
      <c r="M98" s="90"/>
      <c r="N98" s="90">
        <v>307</v>
      </c>
    </row>
    <row r="99" spans="2:14" x14ac:dyDescent="0.3">
      <c r="B99" s="58" t="s">
        <v>383</v>
      </c>
      <c r="C99" s="60">
        <v>8556.2000000000007</v>
      </c>
      <c r="D99" s="49">
        <f t="shared" si="2"/>
        <v>-2.6703598587183408E-2</v>
      </c>
      <c r="E99" s="60"/>
      <c r="F99" s="58" t="s">
        <v>383</v>
      </c>
      <c r="G99" s="60">
        <v>19794.7</v>
      </c>
      <c r="H99" s="49">
        <f t="shared" si="3"/>
        <v>3.1877476966115648E-3</v>
      </c>
      <c r="J99" s="58">
        <v>45996</v>
      </c>
      <c r="K99" s="60">
        <v>11736</v>
      </c>
      <c r="L99" s="63" t="s">
        <v>640</v>
      </c>
      <c r="M99" s="90"/>
      <c r="N99" s="90">
        <v>182</v>
      </c>
    </row>
    <row r="100" spans="2:14" x14ac:dyDescent="0.3">
      <c r="B100" s="58">
        <v>45271</v>
      </c>
      <c r="C100" s="60">
        <v>8790.9500000000007</v>
      </c>
      <c r="D100" s="49">
        <f t="shared" si="2"/>
        <v>9.1954286895079562E-3</v>
      </c>
      <c r="E100" s="60"/>
      <c r="F100" s="58">
        <v>45271</v>
      </c>
      <c r="G100" s="60">
        <v>19731.8</v>
      </c>
      <c r="H100" s="49">
        <f t="shared" si="3"/>
        <v>1.5775777527818002E-2</v>
      </c>
      <c r="J100" s="58">
        <v>45905</v>
      </c>
      <c r="K100" s="60">
        <v>11364</v>
      </c>
      <c r="L100" s="63" t="s">
        <v>641</v>
      </c>
      <c r="M100" s="90"/>
      <c r="N100" s="90">
        <v>200</v>
      </c>
    </row>
    <row r="101" spans="2:14" x14ac:dyDescent="0.3">
      <c r="B101" s="58">
        <v>45057</v>
      </c>
      <c r="C101" s="60">
        <v>8710.85</v>
      </c>
      <c r="D101" s="49">
        <f t="shared" si="2"/>
        <v>2.2088329852392397E-2</v>
      </c>
      <c r="E101" s="60"/>
      <c r="F101" s="58">
        <v>45057</v>
      </c>
      <c r="G101" s="60">
        <v>19425.349999999999</v>
      </c>
      <c r="H101" s="49">
        <f t="shared" si="3"/>
        <v>1.0127089118384225E-2</v>
      </c>
      <c r="J101" s="58">
        <v>45874</v>
      </c>
      <c r="K101" s="60">
        <v>11631</v>
      </c>
      <c r="L101" s="63" t="s">
        <v>642</v>
      </c>
      <c r="M101" s="90"/>
      <c r="N101" s="90">
        <v>388</v>
      </c>
    </row>
    <row r="102" spans="2:14" x14ac:dyDescent="0.3">
      <c r="B102" s="58" t="s">
        <v>384</v>
      </c>
      <c r="C102" s="60">
        <v>8522.6</v>
      </c>
      <c r="D102" s="49">
        <f t="shared" si="2"/>
        <v>3.8056551950938822E-2</v>
      </c>
      <c r="E102" s="60"/>
      <c r="F102" s="58" t="s">
        <v>384</v>
      </c>
      <c r="G102" s="60">
        <v>19230.599999999999</v>
      </c>
      <c r="H102" s="49">
        <f t="shared" si="3"/>
        <v>9.6260615049414966E-3</v>
      </c>
      <c r="J102" s="58">
        <v>45843</v>
      </c>
      <c r="K102" s="60">
        <v>11658</v>
      </c>
      <c r="L102" s="63" t="s">
        <v>643</v>
      </c>
      <c r="M102" s="90"/>
      <c r="N102" s="90">
        <v>217</v>
      </c>
    </row>
    <row r="103" spans="2:14" x14ac:dyDescent="0.3">
      <c r="B103" s="58" t="s">
        <v>385</v>
      </c>
      <c r="C103" s="60">
        <v>8210.15</v>
      </c>
      <c r="D103" s="49">
        <f t="shared" si="2"/>
        <v>-2.9653529999231765E-2</v>
      </c>
      <c r="E103" s="60"/>
      <c r="F103" s="58" t="s">
        <v>385</v>
      </c>
      <c r="G103" s="60">
        <v>19047.25</v>
      </c>
      <c r="H103" s="49">
        <f t="shared" si="3"/>
        <v>-2.5349683896503383E-2</v>
      </c>
      <c r="J103" s="58">
        <v>45813</v>
      </c>
      <c r="K103" s="60">
        <v>11693</v>
      </c>
      <c r="L103" s="63" t="s">
        <v>644</v>
      </c>
      <c r="M103" s="90"/>
      <c r="N103" s="90">
        <v>273</v>
      </c>
    </row>
    <row r="104" spans="2:14" x14ac:dyDescent="0.3">
      <c r="B104" s="58" t="s">
        <v>386</v>
      </c>
      <c r="C104" s="60">
        <v>8461.0499999999993</v>
      </c>
      <c r="D104" s="49">
        <f t="shared" si="2"/>
        <v>1.0998924602700466E-2</v>
      </c>
      <c r="E104" s="60"/>
      <c r="F104" s="58" t="s">
        <v>386</v>
      </c>
      <c r="G104" s="60">
        <v>19542.650000000001</v>
      </c>
      <c r="H104" s="49">
        <f t="shared" si="3"/>
        <v>-1.0551337776978809E-2</v>
      </c>
      <c r="J104" s="58">
        <v>45782</v>
      </c>
      <c r="K104" s="60">
        <v>11670</v>
      </c>
      <c r="L104" s="63" t="s">
        <v>645</v>
      </c>
      <c r="M104" s="90"/>
      <c r="N104" s="90">
        <v>145</v>
      </c>
    </row>
    <row r="105" spans="2:14" x14ac:dyDescent="0.3">
      <c r="B105" s="58">
        <v>45148</v>
      </c>
      <c r="C105" s="60">
        <v>8369</v>
      </c>
      <c r="D105" s="49">
        <f t="shared" si="2"/>
        <v>2.1176384457229247E-2</v>
      </c>
      <c r="E105" s="60"/>
      <c r="F105" s="58">
        <v>45148</v>
      </c>
      <c r="G105" s="60">
        <v>19751.05</v>
      </c>
      <c r="H105" s="49">
        <f t="shared" si="3"/>
        <v>4.9634925076957881E-3</v>
      </c>
      <c r="J105" s="58">
        <v>45693</v>
      </c>
      <c r="K105" s="60">
        <v>11644</v>
      </c>
      <c r="L105" s="63" t="s">
        <v>646</v>
      </c>
      <c r="M105" s="90"/>
      <c r="N105" s="90">
        <v>255</v>
      </c>
    </row>
    <row r="106" spans="2:14" x14ac:dyDescent="0.3">
      <c r="B106" s="58">
        <v>44936</v>
      </c>
      <c r="C106" s="60">
        <v>8195.4500000000007</v>
      </c>
      <c r="D106" s="49">
        <f t="shared" si="2"/>
        <v>-7.1957697595957937E-3</v>
      </c>
      <c r="E106" s="60"/>
      <c r="F106" s="58">
        <v>44936</v>
      </c>
      <c r="G106" s="60">
        <v>19653.5</v>
      </c>
      <c r="H106" s="49">
        <f t="shared" si="3"/>
        <v>7.7399774929598486E-4</v>
      </c>
      <c r="J106" s="58" t="s">
        <v>1786</v>
      </c>
      <c r="K106" s="60">
        <v>11641</v>
      </c>
      <c r="L106" s="63" t="s">
        <v>647</v>
      </c>
      <c r="M106" s="90"/>
      <c r="N106" s="90">
        <v>630</v>
      </c>
    </row>
    <row r="107" spans="2:14" x14ac:dyDescent="0.3">
      <c r="B107" s="58" t="s">
        <v>432</v>
      </c>
      <c r="C107" s="60">
        <v>8254.85</v>
      </c>
      <c r="D107" s="49">
        <f t="shared" si="2"/>
        <v>8.2382685590054461E-3</v>
      </c>
      <c r="E107" s="60"/>
      <c r="F107" s="58" t="s">
        <v>432</v>
      </c>
      <c r="G107" s="60">
        <v>19638.3</v>
      </c>
      <c r="H107" s="49">
        <f t="shared" si="3"/>
        <v>-1.8272615220402688E-3</v>
      </c>
      <c r="J107" s="58" t="s">
        <v>1787</v>
      </c>
      <c r="K107" s="60">
        <v>11869</v>
      </c>
      <c r="L107" s="63" t="s">
        <v>648</v>
      </c>
      <c r="M107" s="90"/>
      <c r="N107" s="90">
        <v>516</v>
      </c>
    </row>
    <row r="108" spans="2:14" x14ac:dyDescent="0.3">
      <c r="B108" s="58" t="s">
        <v>433</v>
      </c>
      <c r="C108" s="60">
        <v>8187.4</v>
      </c>
      <c r="D108" s="49">
        <f>(C108/C109)-1</f>
        <v>-6.1976203978988065E-2</v>
      </c>
      <c r="F108" s="58" t="s">
        <v>433</v>
      </c>
      <c r="G108" s="60">
        <v>19674.25</v>
      </c>
      <c r="H108" s="49">
        <f>(G108/G109)-1</f>
        <v>-2.5658231954180599E-2</v>
      </c>
      <c r="J108" s="58" t="s">
        <v>1788</v>
      </c>
      <c r="K108" s="60">
        <v>12114</v>
      </c>
      <c r="L108" s="63" t="s">
        <v>649</v>
      </c>
      <c r="M108" s="90"/>
      <c r="N108" s="90">
        <v>516</v>
      </c>
    </row>
    <row r="109" spans="2:14" ht="15" thickBot="1" x14ac:dyDescent="0.35">
      <c r="B109" s="139">
        <v>45208</v>
      </c>
      <c r="C109" s="140">
        <v>8728.35</v>
      </c>
      <c r="D109" s="140"/>
      <c r="F109" s="139">
        <v>45208</v>
      </c>
      <c r="G109" s="140">
        <v>20192.349999999999</v>
      </c>
      <c r="H109" s="141"/>
      <c r="J109" s="58" t="s">
        <v>1789</v>
      </c>
      <c r="K109" s="60">
        <v>12237</v>
      </c>
      <c r="L109" s="63" t="s">
        <v>650</v>
      </c>
      <c r="M109" s="90"/>
      <c r="N109" s="90">
        <v>412</v>
      </c>
    </row>
    <row r="110" spans="2:14" ht="15" thickTop="1" x14ac:dyDescent="0.3">
      <c r="J110" s="58" t="s">
        <v>1790</v>
      </c>
      <c r="K110" s="60">
        <v>12159</v>
      </c>
      <c r="L110" s="63" t="s">
        <v>651</v>
      </c>
      <c r="M110" s="90"/>
      <c r="N110" s="90">
        <v>339</v>
      </c>
    </row>
    <row r="111" spans="2:14" x14ac:dyDescent="0.3">
      <c r="B111" s="137" t="s">
        <v>481</v>
      </c>
      <c r="J111" s="58" t="s">
        <v>1791</v>
      </c>
      <c r="K111" s="60">
        <v>11949</v>
      </c>
      <c r="L111" s="63" t="s">
        <v>652</v>
      </c>
      <c r="M111" s="90"/>
      <c r="N111" s="90">
        <v>267</v>
      </c>
    </row>
    <row r="112" spans="2:14" x14ac:dyDescent="0.3">
      <c r="J112" s="58" t="s">
        <v>1792</v>
      </c>
      <c r="K112" s="60">
        <v>11959</v>
      </c>
      <c r="L112" s="63" t="s">
        <v>653</v>
      </c>
      <c r="M112" s="90"/>
      <c r="N112" s="90">
        <v>334</v>
      </c>
    </row>
    <row r="113" spans="2:14" x14ac:dyDescent="0.3">
      <c r="B113" s="134" t="s">
        <v>97</v>
      </c>
      <c r="C113" s="133" t="s">
        <v>98</v>
      </c>
      <c r="D113" s="136" t="s">
        <v>99</v>
      </c>
      <c r="J113" s="58" t="s">
        <v>1793</v>
      </c>
      <c r="K113" s="60">
        <v>11934</v>
      </c>
      <c r="L113" s="63" t="s">
        <v>654</v>
      </c>
      <c r="M113" s="90"/>
      <c r="N113" s="90">
        <v>230</v>
      </c>
    </row>
    <row r="114" spans="2:14" x14ac:dyDescent="0.3">
      <c r="B114" s="58" t="s">
        <v>387</v>
      </c>
      <c r="C114" s="60">
        <v>1069.8</v>
      </c>
      <c r="D114" s="49">
        <f t="shared" ref="D114:D177" si="4">(C114/C115)-1</f>
        <v>2.1971723347344208E-2</v>
      </c>
      <c r="J114" s="58" t="s">
        <v>1794</v>
      </c>
      <c r="K114" s="60">
        <v>11901</v>
      </c>
      <c r="L114" s="63" t="s">
        <v>655</v>
      </c>
      <c r="M114" s="90"/>
      <c r="N114" s="90">
        <v>290</v>
      </c>
    </row>
    <row r="115" spans="2:14" x14ac:dyDescent="0.3">
      <c r="B115" s="58" t="s">
        <v>388</v>
      </c>
      <c r="C115" s="60">
        <v>1046.8</v>
      </c>
      <c r="D115" s="49">
        <f t="shared" si="4"/>
        <v>-2.469020777042763E-2</v>
      </c>
      <c r="J115" s="58" t="s">
        <v>1795</v>
      </c>
      <c r="K115" s="60">
        <v>11728</v>
      </c>
      <c r="L115" s="63" t="s">
        <v>656</v>
      </c>
      <c r="M115" s="90"/>
      <c r="N115" s="90">
        <v>268</v>
      </c>
    </row>
    <row r="116" spans="2:14" x14ac:dyDescent="0.3">
      <c r="B116" s="58" t="s">
        <v>389</v>
      </c>
      <c r="C116" s="60">
        <v>1073.3</v>
      </c>
      <c r="D116" s="49">
        <f t="shared" si="4"/>
        <v>6.1873066466671123E-3</v>
      </c>
      <c r="J116" s="58" t="s">
        <v>1796</v>
      </c>
      <c r="K116" s="60">
        <v>11719</v>
      </c>
      <c r="L116" s="63" t="s">
        <v>657</v>
      </c>
      <c r="M116" s="90"/>
      <c r="N116" s="90">
        <v>345</v>
      </c>
    </row>
    <row r="117" spans="2:14" x14ac:dyDescent="0.3">
      <c r="B117" s="58">
        <v>45938</v>
      </c>
      <c r="C117" s="60">
        <v>1066.7</v>
      </c>
      <c r="D117" s="49">
        <f t="shared" si="4"/>
        <v>-4.7583504385145803E-3</v>
      </c>
      <c r="J117" s="58">
        <v>45965</v>
      </c>
      <c r="K117" s="60">
        <v>11502.65</v>
      </c>
      <c r="L117" s="63" t="s">
        <v>658</v>
      </c>
      <c r="M117" s="90"/>
      <c r="N117" s="90">
        <v>351</v>
      </c>
    </row>
    <row r="118" spans="2:14" x14ac:dyDescent="0.3">
      <c r="B118" s="58">
        <v>45724</v>
      </c>
      <c r="C118" s="60">
        <v>1071.8</v>
      </c>
      <c r="D118" s="49">
        <f t="shared" si="4"/>
        <v>-6.8890626357397289E-2</v>
      </c>
      <c r="J118" s="58">
        <v>45904</v>
      </c>
      <c r="K118" s="60">
        <v>11397.05</v>
      </c>
      <c r="L118" s="63" t="s">
        <v>659</v>
      </c>
      <c r="M118" s="90"/>
      <c r="N118" s="90">
        <v>230</v>
      </c>
    </row>
    <row r="119" spans="2:14" x14ac:dyDescent="0.3">
      <c r="B119" s="58" t="s">
        <v>390</v>
      </c>
      <c r="C119" s="60">
        <v>1151.0999999999999</v>
      </c>
      <c r="D119" s="49">
        <f t="shared" si="4"/>
        <v>6.1183462984004677E-3</v>
      </c>
      <c r="J119" s="58">
        <v>45873</v>
      </c>
      <c r="K119" s="60">
        <v>11270.45</v>
      </c>
      <c r="L119" s="63" t="s">
        <v>660</v>
      </c>
      <c r="M119" s="90"/>
      <c r="N119" s="90">
        <v>602</v>
      </c>
    </row>
    <row r="120" spans="2:14" x14ac:dyDescent="0.3">
      <c r="B120" s="58" t="s">
        <v>391</v>
      </c>
      <c r="C120" s="60">
        <v>1144.0999999999999</v>
      </c>
      <c r="D120" s="49">
        <f t="shared" si="4"/>
        <v>-9.0940585484150516E-3</v>
      </c>
      <c r="J120" s="58">
        <v>45842</v>
      </c>
      <c r="K120" s="60">
        <v>11191.6</v>
      </c>
      <c r="L120" s="63" t="s">
        <v>661</v>
      </c>
      <c r="M120" s="90"/>
      <c r="N120" s="90">
        <v>484</v>
      </c>
    </row>
    <row r="121" spans="2:14" x14ac:dyDescent="0.3">
      <c r="B121" s="58" t="s">
        <v>392</v>
      </c>
      <c r="C121" s="60">
        <v>1154.5999999999999</v>
      </c>
      <c r="D121" s="49">
        <f t="shared" si="4"/>
        <v>1.2274241627213689E-2</v>
      </c>
      <c r="J121" s="58">
        <v>45751</v>
      </c>
      <c r="K121" s="60">
        <v>11498.65</v>
      </c>
      <c r="L121" s="63" t="s">
        <v>662</v>
      </c>
      <c r="M121" s="90"/>
      <c r="N121" s="90">
        <v>222</v>
      </c>
    </row>
    <row r="122" spans="2:14" x14ac:dyDescent="0.3">
      <c r="B122" s="58">
        <v>45815</v>
      </c>
      <c r="C122" s="60">
        <v>1140.5999999999999</v>
      </c>
      <c r="D122" s="49">
        <f t="shared" si="4"/>
        <v>4.4123031856462713E-2</v>
      </c>
      <c r="J122" s="58">
        <v>45720</v>
      </c>
      <c r="K122" s="60">
        <v>11606.6</v>
      </c>
      <c r="L122" s="63" t="s">
        <v>663</v>
      </c>
      <c r="M122" s="90"/>
      <c r="N122" s="90">
        <v>361</v>
      </c>
    </row>
    <row r="123" spans="2:14" x14ac:dyDescent="0.3">
      <c r="B123" s="58" t="s">
        <v>393</v>
      </c>
      <c r="C123" s="60">
        <v>1092.4000000000001</v>
      </c>
      <c r="D123" s="49">
        <f t="shared" si="4"/>
        <v>3.5450236966824811E-2</v>
      </c>
      <c r="J123" s="58">
        <v>45692</v>
      </c>
      <c r="K123" s="60">
        <v>11250.95</v>
      </c>
      <c r="L123" s="63" t="s">
        <v>664</v>
      </c>
      <c r="M123" s="90"/>
      <c r="N123" s="90">
        <v>376</v>
      </c>
    </row>
    <row r="124" spans="2:14" x14ac:dyDescent="0.3">
      <c r="B124" s="58" t="s">
        <v>394</v>
      </c>
      <c r="C124" s="60">
        <v>1055</v>
      </c>
      <c r="D124" s="49">
        <f t="shared" si="4"/>
        <v>4.238711589763855E-2</v>
      </c>
      <c r="J124" s="58">
        <v>45661</v>
      </c>
      <c r="K124" s="60">
        <v>11378.65</v>
      </c>
      <c r="L124" s="63" t="s">
        <v>665</v>
      </c>
      <c r="M124" s="90"/>
      <c r="N124" s="90">
        <v>263</v>
      </c>
    </row>
    <row r="125" spans="2:14" x14ac:dyDescent="0.3">
      <c r="B125" s="58" t="s">
        <v>395</v>
      </c>
      <c r="C125" s="60">
        <v>1012.1</v>
      </c>
      <c r="D125" s="49">
        <f t="shared" si="4"/>
        <v>-4.7480118582654884E-2</v>
      </c>
      <c r="J125" s="58" t="s">
        <v>1797</v>
      </c>
      <c r="K125" s="60">
        <v>11509.55</v>
      </c>
      <c r="L125" s="63" t="s">
        <v>666</v>
      </c>
      <c r="M125" s="90"/>
      <c r="N125" s="90">
        <v>280</v>
      </c>
    </row>
    <row r="126" spans="2:14" x14ac:dyDescent="0.3">
      <c r="B126" s="58">
        <v>45875</v>
      </c>
      <c r="C126" s="60">
        <v>1062.55</v>
      </c>
      <c r="D126" s="49">
        <f t="shared" si="4"/>
        <v>5.7211084025670322E-2</v>
      </c>
      <c r="J126" s="58" t="s">
        <v>1798</v>
      </c>
      <c r="K126" s="60">
        <v>11599.6</v>
      </c>
      <c r="L126" s="63" t="s">
        <v>667</v>
      </c>
      <c r="M126" s="90"/>
      <c r="N126" s="90">
        <v>406</v>
      </c>
    </row>
    <row r="127" spans="2:14" x14ac:dyDescent="0.3">
      <c r="B127" s="58">
        <v>45663</v>
      </c>
      <c r="C127" s="60">
        <v>1005.05</v>
      </c>
      <c r="D127" s="49">
        <f t="shared" si="4"/>
        <v>2.9817101285926517E-2</v>
      </c>
      <c r="J127" s="58" t="s">
        <v>1799</v>
      </c>
      <c r="K127" s="60">
        <v>11402.1</v>
      </c>
      <c r="L127" s="63" t="s">
        <v>668</v>
      </c>
      <c r="M127" s="90"/>
      <c r="N127" s="90">
        <v>401</v>
      </c>
    </row>
    <row r="128" spans="2:14" x14ac:dyDescent="0.3">
      <c r="B128" s="58" t="s">
        <v>396</v>
      </c>
      <c r="C128" s="53">
        <v>975.95</v>
      </c>
      <c r="D128" s="49">
        <f t="shared" si="4"/>
        <v>-2.9967200079514922E-2</v>
      </c>
      <c r="J128" s="58" t="s">
        <v>1800</v>
      </c>
      <c r="K128" s="60">
        <v>11421.2</v>
      </c>
      <c r="L128" s="63" t="s">
        <v>669</v>
      </c>
      <c r="M128" s="90"/>
      <c r="N128" s="90">
        <v>754</v>
      </c>
    </row>
    <row r="129" spans="2:14" x14ac:dyDescent="0.3">
      <c r="B129" s="58" t="s">
        <v>397</v>
      </c>
      <c r="C129" s="60">
        <v>1006.1</v>
      </c>
      <c r="D129" s="49">
        <f t="shared" si="4"/>
        <v>1.9419409450780467E-3</v>
      </c>
      <c r="J129" s="58" t="s">
        <v>1801</v>
      </c>
      <c r="K129" s="60">
        <v>11051.2</v>
      </c>
      <c r="L129" s="63" t="s">
        <v>670</v>
      </c>
      <c r="M129" s="90"/>
      <c r="N129" s="90">
        <v>294</v>
      </c>
    </row>
    <row r="130" spans="2:14" x14ac:dyDescent="0.3">
      <c r="B130" s="58">
        <v>45966</v>
      </c>
      <c r="C130" s="60">
        <v>1004.15</v>
      </c>
      <c r="D130" s="49">
        <f t="shared" si="4"/>
        <v>6.8870083559529505E-2</v>
      </c>
      <c r="J130" s="58" t="s">
        <v>1802</v>
      </c>
      <c r="K130" s="60">
        <v>10976.75</v>
      </c>
      <c r="L130" s="63" t="s">
        <v>671</v>
      </c>
      <c r="M130" s="90"/>
      <c r="N130" s="90">
        <v>656</v>
      </c>
    </row>
    <row r="131" spans="2:14" x14ac:dyDescent="0.3">
      <c r="B131" s="58">
        <v>45752</v>
      </c>
      <c r="C131" s="53">
        <v>939.45</v>
      </c>
      <c r="D131" s="49">
        <f t="shared" si="4"/>
        <v>-2.3892959541255143E-3</v>
      </c>
      <c r="J131" s="58" t="s">
        <v>1803</v>
      </c>
      <c r="K131" s="60">
        <v>10948.15</v>
      </c>
      <c r="L131" s="63" t="s">
        <v>672</v>
      </c>
      <c r="M131" s="90"/>
      <c r="N131" s="90">
        <v>549</v>
      </c>
    </row>
    <row r="132" spans="2:14" x14ac:dyDescent="0.3">
      <c r="B132" s="58" t="s">
        <v>398</v>
      </c>
      <c r="C132" s="53">
        <v>941.7</v>
      </c>
      <c r="D132" s="49">
        <f t="shared" si="4"/>
        <v>-2.7822226810509387E-2</v>
      </c>
      <c r="J132" s="58" t="s">
        <v>1804</v>
      </c>
      <c r="K132" s="60">
        <v>10933.25</v>
      </c>
      <c r="L132" s="63" t="s">
        <v>673</v>
      </c>
      <c r="M132" s="90"/>
      <c r="N132" s="90">
        <v>269</v>
      </c>
    </row>
    <row r="133" spans="2:14" x14ac:dyDescent="0.3">
      <c r="B133" s="58" t="s">
        <v>399</v>
      </c>
      <c r="C133" s="53">
        <v>968.65</v>
      </c>
      <c r="D133" s="49">
        <f t="shared" si="4"/>
        <v>1.3438776037628664E-3</v>
      </c>
      <c r="J133" s="58" t="s">
        <v>1805</v>
      </c>
      <c r="K133" s="60">
        <v>10698.1</v>
      </c>
      <c r="L133" s="63" t="s">
        <v>674</v>
      </c>
      <c r="M133" s="90"/>
      <c r="N133" s="90">
        <v>354</v>
      </c>
    </row>
    <row r="134" spans="2:14" x14ac:dyDescent="0.3">
      <c r="B134" s="58" t="s">
        <v>400</v>
      </c>
      <c r="C134" s="53">
        <v>967.35</v>
      </c>
      <c r="D134" s="49">
        <f t="shared" si="4"/>
        <v>3.2555905427763321E-2</v>
      </c>
      <c r="J134" s="58" t="s">
        <v>1806</v>
      </c>
      <c r="K134" s="60">
        <v>10547.1</v>
      </c>
      <c r="L134" s="63" t="s">
        <v>675</v>
      </c>
      <c r="M134" s="90"/>
      <c r="N134" s="90">
        <v>212</v>
      </c>
    </row>
    <row r="135" spans="2:14" x14ac:dyDescent="0.3">
      <c r="B135" s="58">
        <v>45812</v>
      </c>
      <c r="C135" s="53">
        <v>936.85</v>
      </c>
      <c r="D135" s="49">
        <f t="shared" si="4"/>
        <v>-4.9917688917210379E-3</v>
      </c>
      <c r="J135" s="58" t="s">
        <v>1807</v>
      </c>
      <c r="K135" s="60">
        <v>10452.1</v>
      </c>
      <c r="L135" s="63" t="s">
        <v>676</v>
      </c>
      <c r="M135" s="90"/>
      <c r="N135" s="90">
        <v>219</v>
      </c>
    </row>
    <row r="136" spans="2:14" x14ac:dyDescent="0.3">
      <c r="B136" s="58" t="s">
        <v>401</v>
      </c>
      <c r="C136" s="53">
        <v>941.55</v>
      </c>
      <c r="D136" s="49">
        <f t="shared" si="4"/>
        <v>4.9958182325062772E-2</v>
      </c>
      <c r="J136" s="58">
        <v>45994</v>
      </c>
      <c r="K136" s="60">
        <v>10520.4</v>
      </c>
      <c r="L136" s="63" t="s">
        <v>677</v>
      </c>
      <c r="M136" s="90"/>
      <c r="N136" s="90">
        <v>299</v>
      </c>
    </row>
    <row r="137" spans="2:14" x14ac:dyDescent="0.3">
      <c r="B137" s="58" t="s">
        <v>402</v>
      </c>
      <c r="C137" s="53">
        <v>896.75</v>
      </c>
      <c r="D137" s="49">
        <f t="shared" si="4"/>
        <v>4.7788748028275929E-2</v>
      </c>
      <c r="J137" s="58">
        <v>45964</v>
      </c>
      <c r="K137" s="60">
        <v>10439.25</v>
      </c>
      <c r="L137" s="63" t="s">
        <v>678</v>
      </c>
      <c r="M137" s="90"/>
      <c r="N137" s="90">
        <v>180</v>
      </c>
    </row>
    <row r="138" spans="2:14" x14ac:dyDescent="0.3">
      <c r="B138" s="58" t="s">
        <v>403</v>
      </c>
      <c r="C138" s="53">
        <v>855.85</v>
      </c>
      <c r="D138" s="49">
        <f t="shared" si="4"/>
        <v>6.7743746491173429E-2</v>
      </c>
      <c r="J138" s="58">
        <v>45933</v>
      </c>
      <c r="K138" s="60">
        <v>10520.1</v>
      </c>
      <c r="L138" s="63" t="s">
        <v>679</v>
      </c>
      <c r="M138" s="90"/>
      <c r="N138" s="90">
        <v>165</v>
      </c>
    </row>
    <row r="139" spans="2:14" x14ac:dyDescent="0.3">
      <c r="B139" s="58">
        <v>45903</v>
      </c>
      <c r="C139" s="53">
        <v>801.55</v>
      </c>
      <c r="D139" s="49">
        <f t="shared" si="4"/>
        <v>-8.0422187804738199E-2</v>
      </c>
      <c r="J139" s="58">
        <v>45841</v>
      </c>
      <c r="K139" s="60">
        <v>10582.4</v>
      </c>
      <c r="L139" s="63" t="s">
        <v>680</v>
      </c>
      <c r="M139" s="90"/>
      <c r="N139" s="90">
        <v>302</v>
      </c>
    </row>
    <row r="140" spans="2:14" x14ac:dyDescent="0.3">
      <c r="B140" s="58">
        <v>45691</v>
      </c>
      <c r="C140" s="53">
        <v>871.65</v>
      </c>
      <c r="D140" s="49">
        <f t="shared" si="4"/>
        <v>5.1447527141133875E-2</v>
      </c>
      <c r="J140" s="58">
        <v>45811</v>
      </c>
      <c r="K140" s="60">
        <v>10493.5</v>
      </c>
      <c r="L140" s="63" t="s">
        <v>681</v>
      </c>
      <c r="M140" s="90"/>
      <c r="N140" s="90">
        <v>365</v>
      </c>
    </row>
    <row r="141" spans="2:14" x14ac:dyDescent="0.3">
      <c r="B141" s="58" t="s">
        <v>404</v>
      </c>
      <c r="C141" s="53">
        <v>829</v>
      </c>
      <c r="D141" s="49">
        <f t="shared" si="4"/>
        <v>-2.7394849533642351E-2</v>
      </c>
      <c r="J141" s="58">
        <v>45780</v>
      </c>
      <c r="K141" s="60">
        <v>10464.200000000001</v>
      </c>
      <c r="L141" s="63" t="s">
        <v>682</v>
      </c>
      <c r="M141" s="90"/>
      <c r="N141" s="90">
        <v>310</v>
      </c>
    </row>
    <row r="142" spans="2:14" x14ac:dyDescent="0.3">
      <c r="B142" s="58" t="s">
        <v>405</v>
      </c>
      <c r="C142" s="53">
        <v>852.35</v>
      </c>
      <c r="D142" s="49">
        <f t="shared" si="4"/>
        <v>9.1162019771504621E-3</v>
      </c>
      <c r="J142" s="58">
        <v>45750</v>
      </c>
      <c r="K142" s="60">
        <v>10370.1</v>
      </c>
      <c r="L142" s="63" t="s">
        <v>683</v>
      </c>
      <c r="M142" s="90"/>
      <c r="N142" s="90">
        <v>352</v>
      </c>
    </row>
    <row r="143" spans="2:14" x14ac:dyDescent="0.3">
      <c r="B143" s="58">
        <v>45902</v>
      </c>
      <c r="C143" s="53">
        <v>844.65</v>
      </c>
      <c r="D143" s="49">
        <f t="shared" si="4"/>
        <v>-5.6046043808672286E-2</v>
      </c>
      <c r="J143" s="58">
        <v>45719</v>
      </c>
      <c r="K143" s="60">
        <v>10340.799999999999</v>
      </c>
      <c r="L143" s="63" t="s">
        <v>684</v>
      </c>
      <c r="M143" s="90"/>
      <c r="N143" s="90">
        <v>835</v>
      </c>
    </row>
    <row r="144" spans="2:14" x14ac:dyDescent="0.3">
      <c r="B144" s="58">
        <v>45690</v>
      </c>
      <c r="C144" s="53">
        <v>894.8</v>
      </c>
      <c r="D144" s="49">
        <f t="shared" si="4"/>
        <v>-2.474114441416897E-2</v>
      </c>
      <c r="J144" s="58" t="s">
        <v>1808</v>
      </c>
      <c r="K144" s="60">
        <v>10128.450000000001</v>
      </c>
      <c r="L144" s="63">
        <v>1000</v>
      </c>
      <c r="M144" s="90"/>
      <c r="N144" s="90">
        <v>1000</v>
      </c>
    </row>
    <row r="145" spans="2:14" x14ac:dyDescent="0.3">
      <c r="B145" s="58" t="s">
        <v>406</v>
      </c>
      <c r="C145" s="53">
        <v>917.5</v>
      </c>
      <c r="D145" s="49">
        <f t="shared" si="4"/>
        <v>3.234880450070321E-2</v>
      </c>
      <c r="J145" s="58" t="s">
        <v>1809</v>
      </c>
      <c r="K145" s="60">
        <v>10447.65</v>
      </c>
      <c r="L145" s="63">
        <v>1500</v>
      </c>
      <c r="M145" s="90"/>
      <c r="N145" s="90">
        <v>1500</v>
      </c>
    </row>
    <row r="146" spans="2:14" x14ac:dyDescent="0.3">
      <c r="B146" s="58" t="s">
        <v>407</v>
      </c>
      <c r="C146" s="53">
        <v>888.75</v>
      </c>
      <c r="D146" s="49">
        <f t="shared" si="4"/>
        <v>5.4301713897844106E-3</v>
      </c>
      <c r="J146" s="58" t="s">
        <v>1810</v>
      </c>
      <c r="K146" s="60">
        <v>10964.15</v>
      </c>
      <c r="L146" s="63" t="s">
        <v>685</v>
      </c>
      <c r="M146" s="90"/>
      <c r="N146" s="90">
        <v>296</v>
      </c>
    </row>
    <row r="147" spans="2:14" x14ac:dyDescent="0.3">
      <c r="B147" s="58">
        <v>45992</v>
      </c>
      <c r="C147" s="53">
        <v>883.95</v>
      </c>
      <c r="D147" s="49">
        <f t="shared" si="4"/>
        <v>-3.5252387448840294E-2</v>
      </c>
      <c r="J147" s="58" t="s">
        <v>1811</v>
      </c>
      <c r="K147" s="60">
        <v>11042.65</v>
      </c>
      <c r="L147" s="63" t="s">
        <v>686</v>
      </c>
      <c r="M147" s="90"/>
      <c r="N147" s="90">
        <v>175</v>
      </c>
    </row>
    <row r="148" spans="2:14" x14ac:dyDescent="0.3">
      <c r="B148" s="58">
        <v>45778</v>
      </c>
      <c r="C148" s="53">
        <v>916.25</v>
      </c>
      <c r="D148" s="49">
        <f t="shared" si="4"/>
        <v>-7.0457542862940037E-2</v>
      </c>
      <c r="J148" s="58" t="s">
        <v>1812</v>
      </c>
      <c r="K148" s="60">
        <v>11157.25</v>
      </c>
      <c r="L148" s="63" t="s">
        <v>687</v>
      </c>
      <c r="M148" s="90"/>
      <c r="N148" s="90">
        <v>320</v>
      </c>
    </row>
    <row r="149" spans="2:14" x14ac:dyDescent="0.3">
      <c r="B149" s="58" t="s">
        <v>371</v>
      </c>
      <c r="C149" s="53">
        <v>985.7</v>
      </c>
      <c r="D149" s="49">
        <f t="shared" si="4"/>
        <v>2.0657520062127954E-2</v>
      </c>
      <c r="J149" s="58" t="s">
        <v>1813</v>
      </c>
      <c r="K149" s="60">
        <v>11287.6</v>
      </c>
      <c r="L149" s="63" t="s">
        <v>688</v>
      </c>
      <c r="M149" s="90"/>
      <c r="N149" s="90">
        <v>142</v>
      </c>
    </row>
    <row r="150" spans="2:14" x14ac:dyDescent="0.3">
      <c r="B150" s="58" t="s">
        <v>372</v>
      </c>
      <c r="C150" s="53">
        <v>965.75</v>
      </c>
      <c r="D150" s="49">
        <f t="shared" si="4"/>
        <v>-2.063685224622247E-2</v>
      </c>
      <c r="J150" s="58" t="s">
        <v>1814</v>
      </c>
      <c r="K150" s="60">
        <v>11291.55</v>
      </c>
      <c r="L150" s="63" t="s">
        <v>689</v>
      </c>
      <c r="M150" s="90"/>
      <c r="N150" s="90">
        <v>157</v>
      </c>
    </row>
    <row r="151" spans="2:14" x14ac:dyDescent="0.3">
      <c r="B151" s="58" t="s">
        <v>373</v>
      </c>
      <c r="C151" s="53">
        <v>986.1</v>
      </c>
      <c r="D151" s="49">
        <f t="shared" si="4"/>
        <v>-5.2464687229749174E-2</v>
      </c>
      <c r="J151" s="58" t="s">
        <v>1815</v>
      </c>
      <c r="K151" s="60">
        <v>11308.9</v>
      </c>
      <c r="L151" s="63" t="s">
        <v>690</v>
      </c>
      <c r="M151" s="90"/>
      <c r="N151" s="90">
        <v>268</v>
      </c>
    </row>
    <row r="152" spans="2:14" x14ac:dyDescent="0.3">
      <c r="B152" s="58">
        <v>45516</v>
      </c>
      <c r="C152" s="60">
        <v>1040.7</v>
      </c>
      <c r="D152" s="49">
        <f t="shared" si="4"/>
        <v>2.7293815705049296E-2</v>
      </c>
      <c r="J152" s="58" t="s">
        <v>1816</v>
      </c>
      <c r="K152" s="60">
        <v>11490.1</v>
      </c>
      <c r="L152" s="63" t="s">
        <v>691</v>
      </c>
      <c r="M152" s="90"/>
      <c r="N152" s="90">
        <v>166</v>
      </c>
    </row>
    <row r="153" spans="2:14" x14ac:dyDescent="0.3">
      <c r="B153" s="58">
        <v>45303</v>
      </c>
      <c r="C153" s="60">
        <v>1013.05</v>
      </c>
      <c r="D153" s="49">
        <f t="shared" si="4"/>
        <v>-1.7244777296019365E-3</v>
      </c>
      <c r="J153" s="58" t="s">
        <v>1817</v>
      </c>
      <c r="K153" s="60">
        <v>11263.85</v>
      </c>
      <c r="L153" s="63" t="s">
        <v>692</v>
      </c>
      <c r="M153" s="90"/>
      <c r="N153" s="90">
        <v>279</v>
      </c>
    </row>
    <row r="154" spans="2:14" x14ac:dyDescent="0.3">
      <c r="B154" s="58" t="s">
        <v>374</v>
      </c>
      <c r="C154" s="60">
        <v>1014.8</v>
      </c>
      <c r="D154" s="49">
        <f t="shared" si="4"/>
        <v>7.391925498703622E-2</v>
      </c>
      <c r="J154" s="58" t="s">
        <v>1818</v>
      </c>
      <c r="K154" s="60">
        <v>11546.45</v>
      </c>
      <c r="L154" s="63" t="s">
        <v>693</v>
      </c>
      <c r="M154" s="90"/>
      <c r="N154" s="90">
        <v>336</v>
      </c>
    </row>
    <row r="155" spans="2:14" x14ac:dyDescent="0.3">
      <c r="B155" s="58" t="s">
        <v>375</v>
      </c>
      <c r="C155" s="53">
        <v>944.95</v>
      </c>
      <c r="D155" s="49">
        <f t="shared" si="4"/>
        <v>4.7210062614284842E-2</v>
      </c>
      <c r="J155" s="58">
        <v>45993</v>
      </c>
      <c r="K155" s="60">
        <v>11478.5</v>
      </c>
      <c r="L155" s="63" t="s">
        <v>694</v>
      </c>
      <c r="M155" s="90"/>
      <c r="N155" s="90">
        <v>347</v>
      </c>
    </row>
    <row r="156" spans="2:14" x14ac:dyDescent="0.3">
      <c r="B156" s="58">
        <v>45576</v>
      </c>
      <c r="C156" s="53">
        <v>902.35</v>
      </c>
      <c r="D156" s="49">
        <f t="shared" si="4"/>
        <v>4.2215292215292299E-2</v>
      </c>
      <c r="J156" s="58">
        <v>45963</v>
      </c>
      <c r="K156" s="60">
        <v>11300.2</v>
      </c>
      <c r="L156" s="63" t="s">
        <v>695</v>
      </c>
      <c r="M156" s="90"/>
      <c r="N156" s="90">
        <v>301</v>
      </c>
    </row>
    <row r="157" spans="2:14" x14ac:dyDescent="0.3">
      <c r="B157" s="58">
        <v>45362</v>
      </c>
      <c r="C157" s="53">
        <v>865.8</v>
      </c>
      <c r="D157" s="49">
        <f t="shared" si="4"/>
        <v>-2.9807261317794764E-2</v>
      </c>
      <c r="J157" s="58">
        <v>45932</v>
      </c>
      <c r="K157" s="60">
        <v>11532.3</v>
      </c>
      <c r="L157" s="63" t="s">
        <v>696</v>
      </c>
      <c r="M157" s="90"/>
      <c r="N157" s="90">
        <v>262</v>
      </c>
    </row>
    <row r="158" spans="2:14" x14ac:dyDescent="0.3">
      <c r="B158" s="58" t="s">
        <v>376</v>
      </c>
      <c r="C158" s="53">
        <v>892.4</v>
      </c>
      <c r="D158" s="49">
        <f t="shared" si="4"/>
        <v>4.6128597385850734E-2</v>
      </c>
      <c r="J158" s="58">
        <v>45840</v>
      </c>
      <c r="K158" s="60">
        <v>11640.6</v>
      </c>
      <c r="L158" s="63" t="s">
        <v>697</v>
      </c>
      <c r="M158" s="90"/>
      <c r="N158" s="90">
        <v>310</v>
      </c>
    </row>
    <row r="159" spans="2:14" x14ac:dyDescent="0.3">
      <c r="B159" s="58" t="s">
        <v>377</v>
      </c>
      <c r="C159" s="53">
        <v>853.05</v>
      </c>
      <c r="D159" s="49">
        <f t="shared" si="4"/>
        <v>2.055679548925271E-3</v>
      </c>
      <c r="J159" s="58">
        <v>45810</v>
      </c>
      <c r="K159" s="60">
        <v>11477.35</v>
      </c>
      <c r="L159" s="63" t="s">
        <v>698</v>
      </c>
      <c r="M159" s="90"/>
      <c r="N159" s="90">
        <v>308</v>
      </c>
    </row>
    <row r="160" spans="2:14" x14ac:dyDescent="0.3">
      <c r="B160" s="58" t="s">
        <v>378</v>
      </c>
      <c r="C160" s="53">
        <v>851.3</v>
      </c>
      <c r="D160" s="49">
        <f t="shared" si="4"/>
        <v>-1.1897162091579094E-2</v>
      </c>
      <c r="J160" s="58">
        <v>45779</v>
      </c>
      <c r="K160" s="60">
        <v>11585.7</v>
      </c>
      <c r="L160" s="63" t="s">
        <v>699</v>
      </c>
      <c r="M160" s="90"/>
      <c r="N160" s="90">
        <v>236</v>
      </c>
    </row>
    <row r="161" spans="2:14" x14ac:dyDescent="0.3">
      <c r="B161" s="58">
        <v>45453</v>
      </c>
      <c r="C161" s="53">
        <v>861.55</v>
      </c>
      <c r="D161" s="49">
        <f t="shared" si="4"/>
        <v>-7.9451897057978282E-3</v>
      </c>
      <c r="J161" s="58">
        <v>45749</v>
      </c>
      <c r="K161" s="60">
        <v>11519.15</v>
      </c>
      <c r="L161" s="63" t="s">
        <v>700</v>
      </c>
      <c r="M161" s="90"/>
      <c r="N161" s="90">
        <v>314</v>
      </c>
    </row>
    <row r="162" spans="2:14" x14ac:dyDescent="0.3">
      <c r="B162" s="58" t="s">
        <v>408</v>
      </c>
      <c r="C162" s="53">
        <v>868.45</v>
      </c>
      <c r="D162" s="49">
        <f t="shared" si="4"/>
        <v>5.9072218683038358E-3</v>
      </c>
      <c r="J162" s="58">
        <v>45718</v>
      </c>
      <c r="K162" s="60">
        <v>11174.65</v>
      </c>
      <c r="L162" s="63" t="s">
        <v>701</v>
      </c>
      <c r="M162" s="90"/>
      <c r="N162" s="90">
        <v>450</v>
      </c>
    </row>
    <row r="163" spans="2:14" x14ac:dyDescent="0.3">
      <c r="B163" s="58" t="s">
        <v>409</v>
      </c>
      <c r="C163" s="53">
        <v>863.35</v>
      </c>
      <c r="D163" s="49">
        <f t="shared" si="4"/>
        <v>3.3518884299994056E-2</v>
      </c>
      <c r="J163" s="58">
        <v>45659</v>
      </c>
      <c r="K163" s="60">
        <v>11259.15</v>
      </c>
      <c r="L163" s="63" t="s">
        <v>702</v>
      </c>
      <c r="M163" s="90"/>
      <c r="N163" s="90">
        <v>513</v>
      </c>
    </row>
    <row r="164" spans="2:14" x14ac:dyDescent="0.3">
      <c r="B164" s="58" t="s">
        <v>410</v>
      </c>
      <c r="C164" s="53">
        <v>835.35</v>
      </c>
      <c r="D164" s="49">
        <f t="shared" si="4"/>
        <v>-1.7466478475652858E-2</v>
      </c>
      <c r="J164" s="58" t="s">
        <v>1819</v>
      </c>
      <c r="K164" s="60">
        <v>11487.45</v>
      </c>
      <c r="L164" s="63" t="s">
        <v>703</v>
      </c>
      <c r="M164" s="90"/>
      <c r="N164" s="90">
        <v>361</v>
      </c>
    </row>
    <row r="165" spans="2:14" x14ac:dyDescent="0.3">
      <c r="B165" s="58">
        <v>45513</v>
      </c>
      <c r="C165" s="53">
        <v>850.2</v>
      </c>
      <c r="D165" s="49">
        <f t="shared" si="4"/>
        <v>2.4460778407036976E-2</v>
      </c>
      <c r="J165" s="58" t="s">
        <v>1820</v>
      </c>
      <c r="K165" s="60">
        <v>11479.4</v>
      </c>
      <c r="L165" s="63" t="s">
        <v>704</v>
      </c>
      <c r="M165" s="90"/>
      <c r="N165" s="90">
        <v>274</v>
      </c>
    </row>
    <row r="166" spans="2:14" x14ac:dyDescent="0.3">
      <c r="B166" s="58">
        <v>45300</v>
      </c>
      <c r="C166" s="53">
        <v>829.9</v>
      </c>
      <c r="D166" s="49">
        <f t="shared" si="4"/>
        <v>-1.6240601503759722E-3</v>
      </c>
      <c r="J166" s="58" t="s">
        <v>1821</v>
      </c>
      <c r="K166" s="60">
        <v>11544.85</v>
      </c>
      <c r="L166" s="63" t="s">
        <v>705</v>
      </c>
      <c r="M166" s="90"/>
      <c r="N166" s="90">
        <v>377</v>
      </c>
    </row>
    <row r="167" spans="2:14" x14ac:dyDescent="0.3">
      <c r="B167" s="58" t="s">
        <v>411</v>
      </c>
      <c r="C167" s="53">
        <v>831.25</v>
      </c>
      <c r="D167" s="49">
        <f t="shared" si="4"/>
        <v>1.3966821175896538E-2</v>
      </c>
      <c r="J167" s="58" t="s">
        <v>1822</v>
      </c>
      <c r="K167" s="60">
        <v>11296.35</v>
      </c>
      <c r="L167" s="63" t="s">
        <v>706</v>
      </c>
      <c r="M167" s="90"/>
      <c r="N167" s="90">
        <v>436</v>
      </c>
    </row>
    <row r="168" spans="2:14" x14ac:dyDescent="0.3">
      <c r="B168" s="58" t="s">
        <v>412</v>
      </c>
      <c r="C168" s="53">
        <v>819.8</v>
      </c>
      <c r="D168" s="49">
        <f t="shared" si="4"/>
        <v>1.8448350829243898E-2</v>
      </c>
      <c r="J168" s="58" t="s">
        <v>1823</v>
      </c>
      <c r="K168" s="60">
        <v>11239.5</v>
      </c>
      <c r="L168" s="63" t="s">
        <v>707</v>
      </c>
      <c r="M168" s="90"/>
      <c r="N168" s="90">
        <v>414</v>
      </c>
    </row>
    <row r="169" spans="2:14" x14ac:dyDescent="0.3">
      <c r="B169" s="58">
        <v>45604</v>
      </c>
      <c r="C169" s="53">
        <v>804.95</v>
      </c>
      <c r="D169" s="49">
        <f t="shared" si="4"/>
        <v>6.5020318849640102E-3</v>
      </c>
      <c r="J169" s="58" t="s">
        <v>1824</v>
      </c>
      <c r="K169" s="60">
        <v>11285.85</v>
      </c>
      <c r="L169" s="63" t="s">
        <v>708</v>
      </c>
      <c r="M169" s="90"/>
      <c r="N169" s="90">
        <v>545</v>
      </c>
    </row>
    <row r="170" spans="2:14" x14ac:dyDescent="0.3">
      <c r="B170" s="58">
        <v>45390</v>
      </c>
      <c r="C170" s="53">
        <v>799.75</v>
      </c>
      <c r="D170" s="49">
        <f t="shared" si="4"/>
        <v>-3.3826638477801318E-2</v>
      </c>
      <c r="J170" s="58" t="s">
        <v>1825</v>
      </c>
      <c r="K170" s="60">
        <v>11420.9</v>
      </c>
      <c r="L170" s="63">
        <v>1500</v>
      </c>
      <c r="M170" s="90"/>
      <c r="N170" s="90">
        <v>1500</v>
      </c>
    </row>
    <row r="171" spans="2:14" x14ac:dyDescent="0.3">
      <c r="B171" s="58" t="s">
        <v>413</v>
      </c>
      <c r="C171" s="53">
        <v>827.75</v>
      </c>
      <c r="D171" s="49">
        <f t="shared" si="4"/>
        <v>-4.8300428666303574E-4</v>
      </c>
      <c r="J171" s="58" t="s">
        <v>1826</v>
      </c>
      <c r="K171" s="60">
        <v>10693.75</v>
      </c>
      <c r="L171" s="63" t="s">
        <v>709</v>
      </c>
      <c r="M171" s="90"/>
      <c r="N171" s="90">
        <v>249</v>
      </c>
    </row>
    <row r="172" spans="2:14" x14ac:dyDescent="0.3">
      <c r="B172" s="58" t="s">
        <v>414</v>
      </c>
      <c r="C172" s="53">
        <v>828.15</v>
      </c>
      <c r="D172" s="49">
        <f t="shared" si="4"/>
        <v>6.4733864746721492E-2</v>
      </c>
      <c r="J172" s="58" t="s">
        <v>1827</v>
      </c>
      <c r="K172" s="60">
        <v>10667.8</v>
      </c>
      <c r="L172" s="63" t="s">
        <v>710</v>
      </c>
      <c r="M172" s="90"/>
      <c r="N172" s="90">
        <v>593</v>
      </c>
    </row>
    <row r="173" spans="2:14" x14ac:dyDescent="0.3">
      <c r="B173" s="58" t="s">
        <v>415</v>
      </c>
      <c r="C173" s="53">
        <v>777.8</v>
      </c>
      <c r="D173" s="49">
        <f t="shared" si="4"/>
        <v>-2.0279632195490671E-2</v>
      </c>
      <c r="J173" s="58" t="s">
        <v>1828</v>
      </c>
      <c r="K173" s="60">
        <v>10624.45</v>
      </c>
      <c r="L173" s="63" t="s">
        <v>711</v>
      </c>
      <c r="M173" s="90"/>
      <c r="N173" s="90">
        <v>332</v>
      </c>
    </row>
    <row r="174" spans="2:14" x14ac:dyDescent="0.3">
      <c r="B174" s="58">
        <v>45480</v>
      </c>
      <c r="C174" s="53">
        <v>793.9</v>
      </c>
      <c r="D174" s="49">
        <f t="shared" si="4"/>
        <v>-1.7632865185918445E-2</v>
      </c>
      <c r="J174" s="58" t="s">
        <v>1829</v>
      </c>
      <c r="K174" s="60">
        <v>10580</v>
      </c>
      <c r="L174" s="63" t="s">
        <v>712</v>
      </c>
      <c r="M174" s="90"/>
      <c r="N174" s="90">
        <v>297</v>
      </c>
    </row>
    <row r="175" spans="2:14" x14ac:dyDescent="0.3">
      <c r="B175" s="58" t="s">
        <v>416</v>
      </c>
      <c r="C175" s="53">
        <v>808.15</v>
      </c>
      <c r="D175" s="49">
        <f t="shared" si="4"/>
        <v>-3.3833462848945062E-2</v>
      </c>
      <c r="J175" s="58" t="s">
        <v>1830</v>
      </c>
      <c r="K175" s="60">
        <v>10636.2</v>
      </c>
      <c r="L175" s="63" t="s">
        <v>713</v>
      </c>
      <c r="M175" s="90"/>
      <c r="N175" s="90">
        <v>375</v>
      </c>
    </row>
    <row r="176" spans="2:14" x14ac:dyDescent="0.3">
      <c r="B176" s="58" t="s">
        <v>417</v>
      </c>
      <c r="C176" s="53">
        <v>836.45</v>
      </c>
      <c r="D176" s="49">
        <f t="shared" si="4"/>
        <v>-1.0703725606150183E-2</v>
      </c>
      <c r="J176" s="58" t="s">
        <v>1831</v>
      </c>
      <c r="K176" s="60">
        <v>10521.65</v>
      </c>
      <c r="L176" s="63" t="s">
        <v>714</v>
      </c>
      <c r="M176" s="90"/>
      <c r="N176" s="90">
        <v>371</v>
      </c>
    </row>
    <row r="177" spans="2:14" x14ac:dyDescent="0.3">
      <c r="B177" s="58" t="s">
        <v>418</v>
      </c>
      <c r="C177" s="53">
        <v>845.5</v>
      </c>
      <c r="D177" s="49">
        <f t="shared" si="4"/>
        <v>-2.7434289986771776E-2</v>
      </c>
      <c r="J177" s="58" t="s">
        <v>1832</v>
      </c>
      <c r="K177" s="60">
        <v>10483.75</v>
      </c>
      <c r="L177" s="63" t="s">
        <v>715</v>
      </c>
      <c r="M177" s="90"/>
      <c r="N177" s="90">
        <v>344</v>
      </c>
    </row>
    <row r="178" spans="2:14" x14ac:dyDescent="0.3">
      <c r="B178" s="58">
        <v>45541</v>
      </c>
      <c r="C178" s="53">
        <v>869.35</v>
      </c>
      <c r="D178" s="49">
        <f t="shared" ref="D178:D215" si="5">(C178/C179)-1</f>
        <v>4.5143063236354974E-2</v>
      </c>
      <c r="J178" s="58" t="s">
        <v>1833</v>
      </c>
      <c r="K178" s="60">
        <v>10615.15</v>
      </c>
      <c r="L178" s="63" t="s">
        <v>716</v>
      </c>
      <c r="M178" s="90"/>
      <c r="N178" s="90">
        <v>225</v>
      </c>
    </row>
    <row r="179" spans="2:14" x14ac:dyDescent="0.3">
      <c r="B179" s="58">
        <v>45328</v>
      </c>
      <c r="C179" s="53">
        <v>831.8</v>
      </c>
      <c r="D179" s="49">
        <f t="shared" si="5"/>
        <v>0.12125092673721083</v>
      </c>
      <c r="J179" s="58">
        <v>45931</v>
      </c>
      <c r="K179" s="60">
        <v>10865.2</v>
      </c>
      <c r="L179" s="63" t="s">
        <v>717</v>
      </c>
      <c r="M179" s="90"/>
      <c r="N179" s="90">
        <v>228</v>
      </c>
    </row>
    <row r="180" spans="2:14" x14ac:dyDescent="0.3">
      <c r="B180" s="58" t="s">
        <v>419</v>
      </c>
      <c r="C180" s="53">
        <v>741.85</v>
      </c>
      <c r="D180" s="49">
        <f t="shared" si="5"/>
        <v>-4.6587842179668382E-2</v>
      </c>
      <c r="J180" s="58">
        <v>45901</v>
      </c>
      <c r="K180" s="60">
        <v>11259.8</v>
      </c>
      <c r="L180" s="63" t="s">
        <v>718</v>
      </c>
      <c r="M180" s="90"/>
      <c r="N180" s="90">
        <v>196</v>
      </c>
    </row>
    <row r="181" spans="2:14" x14ac:dyDescent="0.3">
      <c r="B181" s="58" t="s">
        <v>420</v>
      </c>
      <c r="C181" s="53">
        <v>778.1</v>
      </c>
      <c r="D181" s="49">
        <f t="shared" si="5"/>
        <v>1.286835671084896E-3</v>
      </c>
      <c r="J181" s="58">
        <v>45870</v>
      </c>
      <c r="K181" s="60">
        <v>11403.55</v>
      </c>
      <c r="L181" s="63" t="s">
        <v>719</v>
      </c>
      <c r="M181" s="90"/>
      <c r="N181" s="90">
        <v>159</v>
      </c>
    </row>
    <row r="182" spans="2:14" x14ac:dyDescent="0.3">
      <c r="B182" s="58">
        <v>45631</v>
      </c>
      <c r="C182" s="53">
        <v>777.1</v>
      </c>
      <c r="D182" s="49">
        <f t="shared" si="5"/>
        <v>2.2230991844251591E-2</v>
      </c>
      <c r="J182" s="58">
        <v>45839</v>
      </c>
      <c r="K182" s="60">
        <v>11618.55</v>
      </c>
      <c r="L182" s="63" t="s">
        <v>720</v>
      </c>
      <c r="M182" s="90"/>
      <c r="N182" s="90">
        <v>197</v>
      </c>
    </row>
    <row r="183" spans="2:14" x14ac:dyDescent="0.3">
      <c r="B183" s="58">
        <v>45417</v>
      </c>
      <c r="C183" s="53">
        <v>760.2</v>
      </c>
      <c r="D183" s="49">
        <f t="shared" si="5"/>
        <v>-1.5667486727955371E-2</v>
      </c>
      <c r="J183" s="58">
        <v>45809</v>
      </c>
      <c r="K183" s="60">
        <v>11503.6</v>
      </c>
      <c r="L183" s="63" t="s">
        <v>721</v>
      </c>
      <c r="M183" s="90"/>
      <c r="N183" s="90">
        <v>139</v>
      </c>
    </row>
    <row r="184" spans="2:14" x14ac:dyDescent="0.3">
      <c r="B184" s="58" t="s">
        <v>421</v>
      </c>
      <c r="C184" s="53">
        <v>772.3</v>
      </c>
      <c r="D184" s="49">
        <f t="shared" si="5"/>
        <v>-3.1720160481444437E-2</v>
      </c>
      <c r="J184" s="58">
        <v>45717</v>
      </c>
      <c r="K184" s="60">
        <v>11786</v>
      </c>
      <c r="L184" s="63" t="s">
        <v>722</v>
      </c>
      <c r="M184" s="90"/>
      <c r="N184" s="90">
        <v>237</v>
      </c>
    </row>
    <row r="185" spans="2:14" x14ac:dyDescent="0.3">
      <c r="B185" s="58" t="s">
        <v>422</v>
      </c>
      <c r="C185" s="53">
        <v>797.6</v>
      </c>
      <c r="D185" s="49">
        <f t="shared" si="5"/>
        <v>-3.1869024557894532E-3</v>
      </c>
      <c r="J185" s="58">
        <v>45689</v>
      </c>
      <c r="K185" s="60">
        <v>11797.7</v>
      </c>
      <c r="L185" s="63" t="s">
        <v>723</v>
      </c>
      <c r="M185" s="90"/>
      <c r="N185" s="90">
        <v>267</v>
      </c>
    </row>
    <row r="186" spans="2:14" x14ac:dyDescent="0.3">
      <c r="B186" s="58" t="s">
        <v>423</v>
      </c>
      <c r="C186" s="53">
        <v>800.15</v>
      </c>
      <c r="D186" s="49">
        <f t="shared" si="5"/>
        <v>-4.431173484622275E-2</v>
      </c>
      <c r="J186" s="58">
        <v>45658</v>
      </c>
      <c r="K186" s="60">
        <v>11447</v>
      </c>
      <c r="L186" s="63" t="s">
        <v>724</v>
      </c>
      <c r="M186" s="90"/>
      <c r="N186" s="90">
        <v>107</v>
      </c>
    </row>
    <row r="187" spans="2:14" x14ac:dyDescent="0.3">
      <c r="B187" s="58">
        <v>45477</v>
      </c>
      <c r="C187" s="53">
        <v>837.25</v>
      </c>
      <c r="D187" s="49">
        <f t="shared" si="5"/>
        <v>-2.7395628610564771E-3</v>
      </c>
      <c r="J187" s="58" t="s">
        <v>1834</v>
      </c>
      <c r="K187" s="60">
        <v>11426.35</v>
      </c>
      <c r="L187" s="63" t="s">
        <v>725</v>
      </c>
      <c r="M187" s="90">
        <v>2024</v>
      </c>
      <c r="N187" s="90">
        <v>241</v>
      </c>
    </row>
    <row r="188" spans="2:14" x14ac:dyDescent="0.3">
      <c r="B188" s="58" t="s">
        <v>424</v>
      </c>
      <c r="C188" s="53">
        <v>839.55</v>
      </c>
      <c r="D188" s="49">
        <f t="shared" si="5"/>
        <v>3.5778175313059046E-2</v>
      </c>
      <c r="J188" s="58" t="s">
        <v>1835</v>
      </c>
      <c r="K188" s="60">
        <v>11288.35</v>
      </c>
      <c r="L188" s="63" t="s">
        <v>726</v>
      </c>
      <c r="M188" s="90"/>
      <c r="N188" s="90">
        <v>164</v>
      </c>
    </row>
    <row r="189" spans="2:14" x14ac:dyDescent="0.3">
      <c r="B189" s="58" t="s">
        <v>425</v>
      </c>
      <c r="C189" s="53">
        <v>810.55</v>
      </c>
      <c r="D189" s="49">
        <f t="shared" si="5"/>
        <v>5.084010168020292E-3</v>
      </c>
      <c r="J189" s="58" t="s">
        <v>1836</v>
      </c>
      <c r="K189" s="60">
        <v>11406.55</v>
      </c>
      <c r="L189" s="63" t="s">
        <v>727</v>
      </c>
      <c r="M189" s="90"/>
      <c r="N189" s="90">
        <v>118</v>
      </c>
    </row>
    <row r="190" spans="2:14" x14ac:dyDescent="0.3">
      <c r="B190" s="58" t="s">
        <v>426</v>
      </c>
      <c r="C190" s="53">
        <v>806.45</v>
      </c>
      <c r="D190" s="49">
        <f t="shared" si="5"/>
        <v>-3.7186241090791938E-4</v>
      </c>
      <c r="J190" s="58" t="s">
        <v>1837</v>
      </c>
      <c r="K190" s="60">
        <v>11460.65</v>
      </c>
      <c r="L190" s="63" t="s">
        <v>728</v>
      </c>
      <c r="M190" s="90"/>
      <c r="N190" s="90">
        <v>144</v>
      </c>
    </row>
    <row r="191" spans="2:14" x14ac:dyDescent="0.3">
      <c r="B191" s="58">
        <v>45568</v>
      </c>
      <c r="C191" s="53">
        <v>806.75</v>
      </c>
      <c r="D191" s="49">
        <f t="shared" si="5"/>
        <v>-4.9950666008879985E-3</v>
      </c>
      <c r="J191" s="58" t="s">
        <v>1838</v>
      </c>
      <c r="K191" s="60">
        <v>11390.35</v>
      </c>
      <c r="L191" s="63" t="s">
        <v>729</v>
      </c>
      <c r="M191" s="90"/>
      <c r="N191" s="90">
        <v>108</v>
      </c>
    </row>
    <row r="192" spans="2:14" x14ac:dyDescent="0.3">
      <c r="B192" s="58">
        <v>45354</v>
      </c>
      <c r="C192" s="53">
        <v>810.8</v>
      </c>
      <c r="D192" s="49">
        <f t="shared" si="5"/>
        <v>-3.5852309887627221E-2</v>
      </c>
      <c r="J192" s="58" t="s">
        <v>1839</v>
      </c>
      <c r="K192" s="60">
        <v>11472.6</v>
      </c>
      <c r="L192" s="63" t="s">
        <v>730</v>
      </c>
      <c r="M192" s="90"/>
      <c r="N192" s="90">
        <v>149</v>
      </c>
    </row>
    <row r="193" spans="2:14" x14ac:dyDescent="0.3">
      <c r="B193" s="58" t="s">
        <v>427</v>
      </c>
      <c r="C193" s="53">
        <v>840.95</v>
      </c>
      <c r="D193" s="49">
        <f t="shared" si="5"/>
        <v>-3.0437539632213073E-2</v>
      </c>
      <c r="J193" s="58" t="s">
        <v>1840</v>
      </c>
      <c r="K193" s="60">
        <v>11422.8</v>
      </c>
      <c r="L193" s="63" t="s">
        <v>731</v>
      </c>
      <c r="M193" s="90"/>
      <c r="N193" s="90">
        <v>299</v>
      </c>
    </row>
    <row r="194" spans="2:14" x14ac:dyDescent="0.3">
      <c r="B194" s="58" t="s">
        <v>428</v>
      </c>
      <c r="C194" s="53">
        <v>867.35</v>
      </c>
      <c r="D194" s="49">
        <f t="shared" si="5"/>
        <v>-1.4965751453404064E-3</v>
      </c>
      <c r="J194" s="58" t="s">
        <v>1841</v>
      </c>
      <c r="K194" s="60">
        <v>11670.8</v>
      </c>
      <c r="L194" s="63" t="s">
        <v>732</v>
      </c>
      <c r="M194" s="90"/>
      <c r="N194" s="90">
        <v>162</v>
      </c>
    </row>
    <row r="195" spans="2:14" x14ac:dyDescent="0.3">
      <c r="B195" s="58">
        <v>45598</v>
      </c>
      <c r="C195" s="53">
        <v>868.65</v>
      </c>
      <c r="D195" s="49">
        <f t="shared" si="5"/>
        <v>-3.6706404214028265E-2</v>
      </c>
      <c r="J195" s="58" t="s">
        <v>1842</v>
      </c>
      <c r="K195" s="60">
        <v>11763.95</v>
      </c>
      <c r="L195" s="63" t="s">
        <v>733</v>
      </c>
      <c r="M195" s="90"/>
      <c r="N195" s="90">
        <v>222</v>
      </c>
    </row>
    <row r="196" spans="2:14" x14ac:dyDescent="0.3">
      <c r="B196" s="58">
        <v>45384</v>
      </c>
      <c r="C196" s="53">
        <v>901.75</v>
      </c>
      <c r="D196" s="49">
        <f t="shared" si="5"/>
        <v>-9.1938975882382534E-2</v>
      </c>
      <c r="J196" s="58" t="s">
        <v>1843</v>
      </c>
      <c r="K196" s="60">
        <v>11774.95</v>
      </c>
      <c r="L196" s="63" t="s">
        <v>734</v>
      </c>
      <c r="M196" s="90"/>
      <c r="N196" s="90">
        <v>244</v>
      </c>
    </row>
    <row r="197" spans="2:14" x14ac:dyDescent="0.3">
      <c r="B197" s="58" t="s">
        <v>429</v>
      </c>
      <c r="C197" s="53">
        <v>993.05</v>
      </c>
      <c r="D197" s="49">
        <f t="shared" si="5"/>
        <v>2.4978066780203312E-2</v>
      </c>
      <c r="J197" s="58" t="s">
        <v>1844</v>
      </c>
      <c r="K197" s="60">
        <v>11942.5</v>
      </c>
      <c r="L197" s="63" t="s">
        <v>735</v>
      </c>
      <c r="M197" s="90"/>
      <c r="N197" s="90">
        <v>214</v>
      </c>
    </row>
    <row r="198" spans="2:14" x14ac:dyDescent="0.3">
      <c r="B198" s="58" t="s">
        <v>430</v>
      </c>
      <c r="C198" s="53">
        <v>968.85</v>
      </c>
      <c r="D198" s="49">
        <f t="shared" si="5"/>
        <v>1.1748120300751896E-2</v>
      </c>
      <c r="J198" s="58" t="s">
        <v>1845</v>
      </c>
      <c r="K198" s="60">
        <v>12083.9</v>
      </c>
      <c r="L198" s="63" t="s">
        <v>736</v>
      </c>
      <c r="M198" s="90"/>
      <c r="N198" s="90">
        <v>408</v>
      </c>
    </row>
    <row r="199" spans="2:14" x14ac:dyDescent="0.3">
      <c r="B199" s="58" t="s">
        <v>431</v>
      </c>
      <c r="C199" s="53">
        <v>957.6</v>
      </c>
      <c r="D199" s="49">
        <f t="shared" si="5"/>
        <v>-3.6280380415639302E-2</v>
      </c>
      <c r="J199" s="58">
        <v>45638</v>
      </c>
      <c r="K199" s="60">
        <v>11856.95</v>
      </c>
      <c r="L199" s="63" t="s">
        <v>737</v>
      </c>
      <c r="M199" s="90"/>
      <c r="N199" s="90">
        <v>247</v>
      </c>
    </row>
    <row r="200" spans="2:14" x14ac:dyDescent="0.3">
      <c r="B200" s="58">
        <v>45474</v>
      </c>
      <c r="C200" s="53">
        <v>993.65</v>
      </c>
      <c r="D200" s="49">
        <f t="shared" si="5"/>
        <v>-3.3508413578445584E-2</v>
      </c>
      <c r="J200" s="58">
        <v>45608</v>
      </c>
      <c r="K200" s="60">
        <v>11898.5</v>
      </c>
      <c r="L200" s="63" t="s">
        <v>738</v>
      </c>
      <c r="M200" s="90"/>
      <c r="N200" s="90">
        <v>527</v>
      </c>
    </row>
    <row r="201" spans="2:14" x14ac:dyDescent="0.3">
      <c r="B201" s="58" t="s">
        <v>379</v>
      </c>
      <c r="C201" s="60">
        <v>1028.0999999999999</v>
      </c>
      <c r="D201" s="49">
        <f t="shared" si="5"/>
        <v>7.59543293967746E-3</v>
      </c>
      <c r="J201" s="58">
        <v>45577</v>
      </c>
      <c r="K201" s="60">
        <v>11745.8</v>
      </c>
      <c r="L201" s="63" t="s">
        <v>739</v>
      </c>
      <c r="M201" s="90"/>
      <c r="N201" s="90">
        <v>232</v>
      </c>
    </row>
    <row r="202" spans="2:14" x14ac:dyDescent="0.3">
      <c r="B202" s="58" t="s">
        <v>380</v>
      </c>
      <c r="C202" s="60">
        <v>1020.35</v>
      </c>
      <c r="D202" s="49">
        <f t="shared" si="5"/>
        <v>4.1439142638428184E-2</v>
      </c>
      <c r="J202" s="58">
        <v>45547</v>
      </c>
      <c r="K202" s="60">
        <v>11814.8</v>
      </c>
      <c r="L202" s="63" t="s">
        <v>740</v>
      </c>
      <c r="M202" s="90"/>
      <c r="N202" s="90">
        <v>268</v>
      </c>
    </row>
    <row r="203" spans="2:14" x14ac:dyDescent="0.3">
      <c r="B203" s="58" t="s">
        <v>381</v>
      </c>
      <c r="C203" s="53">
        <v>979.75</v>
      </c>
      <c r="D203" s="49">
        <f t="shared" si="5"/>
        <v>-5.3427370658422291E-2</v>
      </c>
      <c r="J203" s="58">
        <v>45455</v>
      </c>
      <c r="K203" s="60">
        <v>11848.5</v>
      </c>
      <c r="L203" s="63" t="s">
        <v>741</v>
      </c>
      <c r="M203" s="90"/>
      <c r="N203" s="90">
        <v>193</v>
      </c>
    </row>
    <row r="204" spans="2:14" x14ac:dyDescent="0.3">
      <c r="B204" s="58">
        <v>45211</v>
      </c>
      <c r="C204" s="60">
        <v>1035.05</v>
      </c>
      <c r="D204" s="49">
        <f t="shared" si="5"/>
        <v>1.575073601570165E-2</v>
      </c>
      <c r="J204" s="58">
        <v>45424</v>
      </c>
      <c r="K204" s="60">
        <v>11932.8</v>
      </c>
      <c r="L204" s="63" t="s">
        <v>742</v>
      </c>
      <c r="M204" s="90"/>
      <c r="N204" s="90">
        <v>436</v>
      </c>
    </row>
    <row r="205" spans="2:14" x14ac:dyDescent="0.3">
      <c r="B205" s="58">
        <v>44997</v>
      </c>
      <c r="C205" s="60">
        <v>1019</v>
      </c>
      <c r="D205" s="49">
        <f t="shared" si="5"/>
        <v>1.3224619667892901E-2</v>
      </c>
      <c r="J205" s="58">
        <v>45394</v>
      </c>
      <c r="K205" s="60">
        <v>11766.8</v>
      </c>
      <c r="L205" s="63" t="s">
        <v>743</v>
      </c>
      <c r="M205" s="90"/>
      <c r="N205" s="90">
        <v>306</v>
      </c>
    </row>
    <row r="206" spans="2:14" x14ac:dyDescent="0.3">
      <c r="B206" s="58" t="s">
        <v>382</v>
      </c>
      <c r="C206" s="60">
        <v>1005.7</v>
      </c>
      <c r="D206" s="49">
        <f t="shared" si="5"/>
        <v>4.558922908977503E-2</v>
      </c>
      <c r="J206" s="58">
        <v>45363</v>
      </c>
      <c r="K206" s="60">
        <v>11852.35</v>
      </c>
      <c r="L206" s="63" t="s">
        <v>744</v>
      </c>
      <c r="M206" s="90"/>
      <c r="N206" s="90">
        <v>501</v>
      </c>
    </row>
    <row r="207" spans="2:14" x14ac:dyDescent="0.3">
      <c r="B207" s="58" t="s">
        <v>383</v>
      </c>
      <c r="C207" s="53">
        <v>961.85</v>
      </c>
      <c r="D207" s="49">
        <f t="shared" si="5"/>
        <v>-4.4409120262281943E-2</v>
      </c>
      <c r="J207" s="58">
        <v>45334</v>
      </c>
      <c r="K207" s="60">
        <v>11648.55</v>
      </c>
      <c r="L207" s="63" t="s">
        <v>745</v>
      </c>
      <c r="M207" s="90"/>
      <c r="N207" s="90">
        <v>633</v>
      </c>
    </row>
    <row r="208" spans="2:14" x14ac:dyDescent="0.3">
      <c r="B208" s="58">
        <v>45271</v>
      </c>
      <c r="C208" s="60">
        <v>1006.55</v>
      </c>
      <c r="D208" s="49">
        <f t="shared" si="5"/>
        <v>2.0634759683634041E-2</v>
      </c>
      <c r="J208" s="58" t="s">
        <v>1846</v>
      </c>
      <c r="K208" s="60">
        <v>11202.15</v>
      </c>
      <c r="L208" s="63" t="s">
        <v>746</v>
      </c>
      <c r="M208" s="90"/>
      <c r="N208" s="90">
        <v>367</v>
      </c>
    </row>
    <row r="209" spans="2:14" x14ac:dyDescent="0.3">
      <c r="B209" s="58">
        <v>45057</v>
      </c>
      <c r="C209" s="53">
        <v>986.2</v>
      </c>
      <c r="D209" s="49">
        <f t="shared" si="5"/>
        <v>2.6433509556731405E-3</v>
      </c>
      <c r="J209" s="58" t="s">
        <v>1847</v>
      </c>
      <c r="K209" s="60">
        <v>10997.8</v>
      </c>
      <c r="L209" s="63" t="s">
        <v>747</v>
      </c>
      <c r="M209" s="90"/>
      <c r="N209" s="90">
        <v>326</v>
      </c>
    </row>
    <row r="210" spans="2:14" x14ac:dyDescent="0.3">
      <c r="B210" s="58" t="s">
        <v>384</v>
      </c>
      <c r="C210" s="53">
        <v>983.6</v>
      </c>
      <c r="D210" s="49">
        <f t="shared" si="5"/>
        <v>1.1257903665244484E-2</v>
      </c>
      <c r="J210" s="58" t="s">
        <v>1848</v>
      </c>
      <c r="K210" s="60">
        <v>11139.9</v>
      </c>
      <c r="L210" s="63" t="s">
        <v>748</v>
      </c>
      <c r="M210" s="90"/>
      <c r="N210" s="90">
        <v>330</v>
      </c>
    </row>
    <row r="211" spans="2:14" x14ac:dyDescent="0.3">
      <c r="B211" s="58" t="s">
        <v>385</v>
      </c>
      <c r="C211" s="53">
        <v>972.65</v>
      </c>
      <c r="D211" s="49">
        <f t="shared" si="5"/>
        <v>-2.1774112440913207E-2</v>
      </c>
      <c r="J211" s="58" t="s">
        <v>1849</v>
      </c>
      <c r="K211" s="60">
        <v>11121.05</v>
      </c>
      <c r="L211" s="63" t="s">
        <v>749</v>
      </c>
      <c r="M211" s="90"/>
      <c r="N211" s="90">
        <v>243</v>
      </c>
    </row>
    <row r="212" spans="2:14" x14ac:dyDescent="0.3">
      <c r="B212" s="58" t="s">
        <v>386</v>
      </c>
      <c r="C212" s="53">
        <v>994.3</v>
      </c>
      <c r="D212" s="49">
        <f t="shared" si="5"/>
        <v>-1.8070474851923368E-3</v>
      </c>
      <c r="J212" s="58" t="s">
        <v>1850</v>
      </c>
      <c r="K212" s="60">
        <v>11457.45</v>
      </c>
      <c r="L212" s="63" t="s">
        <v>750</v>
      </c>
      <c r="M212" s="90"/>
      <c r="N212" s="90">
        <v>465</v>
      </c>
    </row>
    <row r="213" spans="2:14" x14ac:dyDescent="0.3">
      <c r="B213" s="58">
        <v>45148</v>
      </c>
      <c r="C213" s="53">
        <v>996.1</v>
      </c>
      <c r="D213" s="49">
        <f t="shared" si="5"/>
        <v>4.8857533958091892E-2</v>
      </c>
      <c r="J213" s="58" t="s">
        <v>1851</v>
      </c>
      <c r="K213" s="60">
        <v>11375.3</v>
      </c>
      <c r="L213" s="63" t="s">
        <v>751</v>
      </c>
      <c r="M213" s="90"/>
      <c r="N213" s="90">
        <v>328</v>
      </c>
    </row>
    <row r="214" spans="2:14" x14ac:dyDescent="0.3">
      <c r="B214" s="58">
        <v>44936</v>
      </c>
      <c r="C214" s="53">
        <v>949.7</v>
      </c>
      <c r="D214" s="49">
        <f t="shared" si="5"/>
        <v>4.3397055592177436E-2</v>
      </c>
      <c r="J214" s="58" t="s">
        <v>1852</v>
      </c>
      <c r="K214" s="60">
        <v>10954.85</v>
      </c>
      <c r="L214" s="63" t="s">
        <v>752</v>
      </c>
      <c r="M214" s="90"/>
      <c r="N214" s="90">
        <v>256</v>
      </c>
    </row>
    <row r="215" spans="2:14" x14ac:dyDescent="0.3">
      <c r="B215" s="58" t="s">
        <v>432</v>
      </c>
      <c r="C215" s="53">
        <v>910.2</v>
      </c>
      <c r="D215" s="49">
        <f t="shared" si="5"/>
        <v>5.9974379876557515E-2</v>
      </c>
      <c r="J215" s="58" t="s">
        <v>1853</v>
      </c>
      <c r="K215" s="60">
        <v>10769.55</v>
      </c>
      <c r="L215" s="63" t="s">
        <v>753</v>
      </c>
      <c r="M215" s="90"/>
      <c r="N215" s="90">
        <v>220</v>
      </c>
    </row>
    <row r="216" spans="2:14" x14ac:dyDescent="0.3">
      <c r="B216" s="58" t="s">
        <v>433</v>
      </c>
      <c r="C216" s="53">
        <v>858.7</v>
      </c>
      <c r="D216" s="49">
        <f>(C216/C217)-1</f>
        <v>-4.0397832038889137E-2</v>
      </c>
      <c r="J216" s="58" t="s">
        <v>1854</v>
      </c>
      <c r="K216" s="60">
        <v>10630.9</v>
      </c>
      <c r="L216" s="63" t="s">
        <v>754</v>
      </c>
      <c r="M216" s="90"/>
      <c r="N216" s="90">
        <v>424</v>
      </c>
    </row>
    <row r="217" spans="2:14" ht="15" thickBot="1" x14ac:dyDescent="0.35">
      <c r="B217" s="139">
        <v>45208</v>
      </c>
      <c r="C217" s="153">
        <v>894.85</v>
      </c>
      <c r="D217" s="153"/>
      <c r="J217" s="58" t="s">
        <v>1855</v>
      </c>
      <c r="K217" s="60">
        <v>10728.5</v>
      </c>
      <c r="L217" s="63" t="s">
        <v>755</v>
      </c>
      <c r="M217" s="90"/>
      <c r="N217" s="90">
        <v>297</v>
      </c>
    </row>
    <row r="218" spans="2:14" ht="15" thickTop="1" x14ac:dyDescent="0.3">
      <c r="J218" s="58" t="s">
        <v>1856</v>
      </c>
      <c r="K218" s="60">
        <v>10782.2</v>
      </c>
      <c r="L218" s="63" t="s">
        <v>756</v>
      </c>
      <c r="M218" s="90"/>
      <c r="N218" s="90">
        <v>216</v>
      </c>
    </row>
    <row r="219" spans="2:14" x14ac:dyDescent="0.3">
      <c r="B219" s="137" t="s">
        <v>436</v>
      </c>
      <c r="J219" s="58">
        <v>45637</v>
      </c>
      <c r="K219" s="60">
        <v>10892</v>
      </c>
      <c r="L219" s="63" t="s">
        <v>757</v>
      </c>
      <c r="M219" s="90"/>
      <c r="N219" s="90">
        <v>166</v>
      </c>
    </row>
    <row r="220" spans="2:14" x14ac:dyDescent="0.3">
      <c r="J220" s="58">
        <v>45607</v>
      </c>
      <c r="K220" s="60">
        <v>10970.45</v>
      </c>
      <c r="L220" s="63" t="s">
        <v>758</v>
      </c>
      <c r="M220" s="90"/>
      <c r="N220" s="90">
        <v>107</v>
      </c>
    </row>
    <row r="221" spans="2:14" x14ac:dyDescent="0.3">
      <c r="B221" s="134" t="s">
        <v>97</v>
      </c>
      <c r="C221" s="133" t="s">
        <v>98</v>
      </c>
      <c r="D221" s="136" t="s">
        <v>99</v>
      </c>
      <c r="J221" s="58">
        <v>45515</v>
      </c>
      <c r="K221" s="60">
        <v>11043.35</v>
      </c>
      <c r="L221" s="63" t="s">
        <v>759</v>
      </c>
      <c r="M221" s="90"/>
      <c r="N221" s="90">
        <v>155</v>
      </c>
    </row>
    <row r="222" spans="2:14" x14ac:dyDescent="0.3">
      <c r="B222" s="58" t="s">
        <v>387</v>
      </c>
      <c r="C222" s="53">
        <v>567.95000000000005</v>
      </c>
      <c r="D222" s="49">
        <f t="shared" ref="D222:D285" si="6">(C222/C223)-1</f>
        <v>8.4339488636364646E-3</v>
      </c>
      <c r="J222" s="58">
        <v>45484</v>
      </c>
      <c r="K222" s="60">
        <v>11050.8</v>
      </c>
      <c r="L222" s="63" t="s">
        <v>760</v>
      </c>
      <c r="M222" s="90"/>
      <c r="N222" s="90">
        <v>326</v>
      </c>
    </row>
    <row r="223" spans="2:14" x14ac:dyDescent="0.3">
      <c r="B223" s="58" t="s">
        <v>388</v>
      </c>
      <c r="C223" s="53">
        <v>563.20000000000005</v>
      </c>
      <c r="D223" s="49">
        <f t="shared" si="6"/>
        <v>-2.4170492939443733E-2</v>
      </c>
      <c r="J223" s="58">
        <v>45454</v>
      </c>
      <c r="K223" s="60">
        <v>11274.4</v>
      </c>
      <c r="L223" s="63" t="s">
        <v>761</v>
      </c>
      <c r="M223" s="90"/>
      <c r="N223" s="90">
        <v>282</v>
      </c>
    </row>
    <row r="224" spans="2:14" x14ac:dyDescent="0.3">
      <c r="B224" s="58" t="s">
        <v>389</v>
      </c>
      <c r="C224" s="53">
        <v>577.15</v>
      </c>
      <c r="D224" s="49">
        <f t="shared" si="6"/>
        <v>-1.5569587405933616E-3</v>
      </c>
      <c r="J224" s="58">
        <v>45423</v>
      </c>
      <c r="K224" s="60">
        <v>11176.35</v>
      </c>
      <c r="L224" s="63" t="s">
        <v>762</v>
      </c>
      <c r="M224" s="90"/>
      <c r="N224" s="90">
        <v>274</v>
      </c>
    </row>
    <row r="225" spans="2:14" x14ac:dyDescent="0.3">
      <c r="B225" s="58">
        <v>45938</v>
      </c>
      <c r="C225" s="53">
        <v>578.04999999999995</v>
      </c>
      <c r="D225" s="49">
        <f t="shared" si="6"/>
        <v>-3.3620689655172731E-3</v>
      </c>
      <c r="J225" s="58">
        <v>45393</v>
      </c>
      <c r="K225" s="60">
        <v>11001.85</v>
      </c>
      <c r="L225" s="63" t="s">
        <v>763</v>
      </c>
      <c r="M225" s="90"/>
      <c r="N225" s="90">
        <v>276</v>
      </c>
    </row>
    <row r="226" spans="2:14" x14ac:dyDescent="0.3">
      <c r="B226" s="58">
        <v>45724</v>
      </c>
      <c r="C226" s="53">
        <v>580</v>
      </c>
      <c r="D226" s="49">
        <f t="shared" si="6"/>
        <v>-4.597417550785432E-2</v>
      </c>
      <c r="J226" s="58">
        <v>45302</v>
      </c>
      <c r="K226" s="60">
        <v>11145.8</v>
      </c>
      <c r="L226" s="63" t="s">
        <v>764</v>
      </c>
      <c r="M226" s="90"/>
      <c r="N226" s="90">
        <v>19</v>
      </c>
    </row>
    <row r="227" spans="2:14" x14ac:dyDescent="0.3">
      <c r="B227" s="58" t="s">
        <v>390</v>
      </c>
      <c r="C227" s="53">
        <v>607.95000000000005</v>
      </c>
      <c r="D227" s="49">
        <f t="shared" si="6"/>
        <v>-8.3999347577882189E-3</v>
      </c>
      <c r="J227" s="58" t="s">
        <v>1857</v>
      </c>
      <c r="K227" s="60">
        <v>11065.65</v>
      </c>
      <c r="L227" s="63" t="s">
        <v>765</v>
      </c>
      <c r="M227" s="90"/>
      <c r="N227" s="90">
        <v>423</v>
      </c>
    </row>
    <row r="228" spans="2:14" x14ac:dyDescent="0.3">
      <c r="B228" s="58" t="s">
        <v>391</v>
      </c>
      <c r="C228" s="53">
        <v>613.1</v>
      </c>
      <c r="D228" s="49">
        <f t="shared" si="6"/>
        <v>2.7484498072733343E-2</v>
      </c>
      <c r="J228" s="58" t="s">
        <v>1858</v>
      </c>
      <c r="K228" s="60">
        <v>11205.1</v>
      </c>
      <c r="L228" s="63" t="s">
        <v>766</v>
      </c>
      <c r="M228" s="90"/>
      <c r="N228" s="90">
        <v>239</v>
      </c>
    </row>
    <row r="229" spans="2:14" x14ac:dyDescent="0.3">
      <c r="B229" s="58" t="s">
        <v>392</v>
      </c>
      <c r="C229" s="53">
        <v>596.70000000000005</v>
      </c>
      <c r="D229" s="49">
        <f t="shared" si="6"/>
        <v>1.6265008941497072E-2</v>
      </c>
      <c r="J229" s="58" t="s">
        <v>1859</v>
      </c>
      <c r="K229" s="60">
        <v>11112.1</v>
      </c>
      <c r="L229" s="63" t="s">
        <v>767</v>
      </c>
      <c r="M229" s="90"/>
      <c r="N229" s="90">
        <v>266</v>
      </c>
    </row>
    <row r="230" spans="2:14" x14ac:dyDescent="0.3">
      <c r="B230" s="58">
        <v>45815</v>
      </c>
      <c r="C230" s="53">
        <v>587.15</v>
      </c>
      <c r="D230" s="49">
        <f t="shared" si="6"/>
        <v>-1.4435585396558981E-2</v>
      </c>
      <c r="J230" s="58" t="s">
        <v>1860</v>
      </c>
      <c r="K230" s="60">
        <v>11092.6</v>
      </c>
      <c r="L230" s="63" t="s">
        <v>768</v>
      </c>
      <c r="M230" s="90"/>
      <c r="N230" s="90">
        <v>229</v>
      </c>
    </row>
    <row r="231" spans="2:14" x14ac:dyDescent="0.3">
      <c r="B231" s="58" t="s">
        <v>393</v>
      </c>
      <c r="C231" s="53">
        <v>595.75</v>
      </c>
      <c r="D231" s="49">
        <f t="shared" si="6"/>
        <v>3.6177058874684587E-2</v>
      </c>
      <c r="J231" s="58" t="s">
        <v>1861</v>
      </c>
      <c r="K231" s="60">
        <v>10995.2</v>
      </c>
      <c r="L231" s="63" t="s">
        <v>769</v>
      </c>
      <c r="M231" s="90"/>
      <c r="N231" s="90">
        <v>519</v>
      </c>
    </row>
    <row r="232" spans="2:14" x14ac:dyDescent="0.3">
      <c r="B232" s="58" t="s">
        <v>394</v>
      </c>
      <c r="C232" s="53">
        <v>574.95000000000005</v>
      </c>
      <c r="D232" s="49">
        <f t="shared" si="6"/>
        <v>7.7795482238260272E-2</v>
      </c>
      <c r="J232" s="58" t="s">
        <v>1862</v>
      </c>
      <c r="K232" s="60">
        <v>11043.6</v>
      </c>
      <c r="L232" s="63" t="s">
        <v>770</v>
      </c>
      <c r="M232" s="90"/>
      <c r="N232" s="90">
        <v>341</v>
      </c>
    </row>
    <row r="233" spans="2:14" x14ac:dyDescent="0.3">
      <c r="B233" s="58" t="s">
        <v>395</v>
      </c>
      <c r="C233" s="53">
        <v>533.45000000000005</v>
      </c>
      <c r="D233" s="49">
        <f t="shared" si="6"/>
        <v>-1.6682027649769449E-2</v>
      </c>
      <c r="J233" s="58" t="s">
        <v>1863</v>
      </c>
      <c r="K233" s="60">
        <v>10753.05</v>
      </c>
      <c r="L233" s="63" t="s">
        <v>771</v>
      </c>
      <c r="M233" s="90"/>
      <c r="N233" s="90">
        <v>351</v>
      </c>
    </row>
    <row r="234" spans="2:14" x14ac:dyDescent="0.3">
      <c r="B234" s="58">
        <v>45875</v>
      </c>
      <c r="C234" s="53">
        <v>542.5</v>
      </c>
      <c r="D234" s="49">
        <f t="shared" si="6"/>
        <v>-2.2786634242997317E-2</v>
      </c>
      <c r="J234" s="58" t="s">
        <v>1864</v>
      </c>
      <c r="K234" s="60">
        <v>10825.15</v>
      </c>
      <c r="L234" s="63" t="s">
        <v>772</v>
      </c>
      <c r="M234" s="90"/>
      <c r="N234" s="90">
        <v>793</v>
      </c>
    </row>
    <row r="235" spans="2:14" x14ac:dyDescent="0.3">
      <c r="B235" s="58">
        <v>45663</v>
      </c>
      <c r="C235" s="53">
        <v>555.15</v>
      </c>
      <c r="D235" s="49">
        <f t="shared" si="6"/>
        <v>2.9810298102981303E-3</v>
      </c>
      <c r="J235" s="58" t="s">
        <v>1865</v>
      </c>
      <c r="K235" s="60">
        <v>10869.3</v>
      </c>
      <c r="L235" s="63" t="s">
        <v>773</v>
      </c>
      <c r="M235" s="90"/>
      <c r="N235" s="90">
        <v>566</v>
      </c>
    </row>
    <row r="236" spans="2:14" x14ac:dyDescent="0.3">
      <c r="B236" s="58" t="s">
        <v>396</v>
      </c>
      <c r="C236" s="53">
        <v>553.5</v>
      </c>
      <c r="D236" s="49">
        <f t="shared" si="6"/>
        <v>-3.0478192327903275E-2</v>
      </c>
      <c r="J236" s="58" t="s">
        <v>1866</v>
      </c>
      <c r="K236" s="60">
        <v>11069.3</v>
      </c>
      <c r="L236" s="63" t="s">
        <v>774</v>
      </c>
      <c r="M236" s="90"/>
      <c r="N236" s="90">
        <v>330</v>
      </c>
    </row>
    <row r="237" spans="2:14" x14ac:dyDescent="0.3">
      <c r="B237" s="58" t="s">
        <v>397</v>
      </c>
      <c r="C237" s="53">
        <v>570.9</v>
      </c>
      <c r="D237" s="49">
        <f t="shared" si="6"/>
        <v>1.3132209405501305E-2</v>
      </c>
      <c r="J237" s="58" t="s">
        <v>1867</v>
      </c>
      <c r="K237" s="60">
        <v>11017.3</v>
      </c>
      <c r="L237" s="63" t="s">
        <v>775</v>
      </c>
      <c r="M237" s="90"/>
      <c r="N237" s="90">
        <v>353</v>
      </c>
    </row>
    <row r="238" spans="2:14" x14ac:dyDescent="0.3">
      <c r="B238" s="58">
        <v>45966</v>
      </c>
      <c r="C238" s="53">
        <v>563.5</v>
      </c>
      <c r="D238" s="49">
        <f t="shared" si="6"/>
        <v>6.8347710683477114E-2</v>
      </c>
      <c r="J238" s="58" t="s">
        <v>1868</v>
      </c>
      <c r="K238" s="60">
        <v>11322.3</v>
      </c>
      <c r="L238" s="63" t="s">
        <v>776</v>
      </c>
      <c r="M238" s="90"/>
      <c r="N238" s="90">
        <v>276</v>
      </c>
    </row>
    <row r="239" spans="2:14" x14ac:dyDescent="0.3">
      <c r="B239" s="58">
        <v>45752</v>
      </c>
      <c r="C239" s="53">
        <v>527.45000000000005</v>
      </c>
      <c r="D239" s="49">
        <f t="shared" si="6"/>
        <v>-7.9932292646228698E-3</v>
      </c>
      <c r="J239" s="58" t="s">
        <v>1869</v>
      </c>
      <c r="K239" s="60">
        <v>11416.9</v>
      </c>
      <c r="L239" s="63" t="s">
        <v>777</v>
      </c>
      <c r="M239" s="90"/>
      <c r="N239" s="90">
        <v>182</v>
      </c>
    </row>
    <row r="240" spans="2:14" x14ac:dyDescent="0.3">
      <c r="B240" s="58" t="s">
        <v>398</v>
      </c>
      <c r="C240" s="53">
        <v>531.70000000000005</v>
      </c>
      <c r="D240" s="49">
        <f t="shared" si="6"/>
        <v>-3.0982321851649397E-2</v>
      </c>
      <c r="J240" s="58" t="s">
        <v>1870</v>
      </c>
      <c r="K240" s="60">
        <v>11300.3</v>
      </c>
      <c r="L240" s="63" t="s">
        <v>778</v>
      </c>
      <c r="M240" s="90"/>
      <c r="N240" s="90">
        <v>144</v>
      </c>
    </row>
    <row r="241" spans="2:14" x14ac:dyDescent="0.3">
      <c r="B241" s="58" t="s">
        <v>399</v>
      </c>
      <c r="C241" s="53">
        <v>548.70000000000005</v>
      </c>
      <c r="D241" s="49">
        <f t="shared" si="6"/>
        <v>-3.7030537030536825E-2</v>
      </c>
      <c r="J241" s="58">
        <v>45606</v>
      </c>
      <c r="K241" s="60">
        <v>11421.3</v>
      </c>
      <c r="L241" s="63" t="s">
        <v>779</v>
      </c>
      <c r="M241" s="90"/>
      <c r="N241" s="90">
        <v>120</v>
      </c>
    </row>
    <row r="242" spans="2:14" x14ac:dyDescent="0.3">
      <c r="B242" s="58" t="s">
        <v>400</v>
      </c>
      <c r="C242" s="53">
        <v>569.79999999999995</v>
      </c>
      <c r="D242" s="49">
        <f t="shared" si="6"/>
        <v>3.8549166135058766E-2</v>
      </c>
      <c r="J242" s="58">
        <v>45575</v>
      </c>
      <c r="K242" s="60">
        <v>11430.05</v>
      </c>
      <c r="L242" s="63" t="s">
        <v>780</v>
      </c>
      <c r="M242" s="90"/>
      <c r="N242" s="90">
        <v>180</v>
      </c>
    </row>
    <row r="243" spans="2:14" x14ac:dyDescent="0.3">
      <c r="B243" s="58">
        <v>45812</v>
      </c>
      <c r="C243" s="53">
        <v>548.65</v>
      </c>
      <c r="D243" s="49">
        <f t="shared" si="6"/>
        <v>3.8716395304808637E-2</v>
      </c>
      <c r="J243" s="58">
        <v>45545</v>
      </c>
      <c r="K243" s="60">
        <v>11350.15</v>
      </c>
      <c r="L243" s="63" t="s">
        <v>781</v>
      </c>
      <c r="M243" s="90"/>
      <c r="N243" s="90">
        <v>286</v>
      </c>
    </row>
    <row r="244" spans="2:14" x14ac:dyDescent="0.3">
      <c r="B244" s="58" t="s">
        <v>401</v>
      </c>
      <c r="C244" s="53">
        <v>528.20000000000005</v>
      </c>
      <c r="D244" s="49">
        <f t="shared" si="6"/>
        <v>-1.8853905451843511E-2</v>
      </c>
      <c r="J244" s="58">
        <v>45514</v>
      </c>
      <c r="K244" s="60">
        <v>11389.8</v>
      </c>
      <c r="L244" s="63" t="s">
        <v>782</v>
      </c>
      <c r="M244" s="90"/>
      <c r="N244" s="90">
        <v>447</v>
      </c>
    </row>
    <row r="245" spans="2:14" x14ac:dyDescent="0.3">
      <c r="B245" s="58" t="s">
        <v>402</v>
      </c>
      <c r="C245" s="53">
        <v>538.35</v>
      </c>
      <c r="D245" s="49">
        <f t="shared" si="6"/>
        <v>4.6355685131195479E-2</v>
      </c>
      <c r="J245" s="58">
        <v>45483</v>
      </c>
      <c r="K245" s="60">
        <v>11230.35</v>
      </c>
      <c r="L245" s="63" t="s">
        <v>783</v>
      </c>
      <c r="M245" s="90"/>
      <c r="N245" s="90">
        <v>374</v>
      </c>
    </row>
    <row r="246" spans="2:14" x14ac:dyDescent="0.3">
      <c r="B246" s="58" t="s">
        <v>403</v>
      </c>
      <c r="C246" s="53">
        <v>514.5</v>
      </c>
      <c r="D246" s="49">
        <f t="shared" si="6"/>
        <v>5.907780979827093E-2</v>
      </c>
      <c r="J246" s="58">
        <v>45392</v>
      </c>
      <c r="K246" s="60">
        <v>11450.25</v>
      </c>
      <c r="L246" s="63" t="s">
        <v>784</v>
      </c>
      <c r="M246" s="90"/>
      <c r="N246" s="90">
        <v>357</v>
      </c>
    </row>
    <row r="247" spans="2:14" x14ac:dyDescent="0.3">
      <c r="B247" s="58">
        <v>45903</v>
      </c>
      <c r="C247" s="53">
        <v>485.8</v>
      </c>
      <c r="D247" s="49">
        <f t="shared" si="6"/>
        <v>-2.8011204481792729E-2</v>
      </c>
      <c r="J247" s="58">
        <v>45361</v>
      </c>
      <c r="K247" s="60">
        <v>11724.8</v>
      </c>
      <c r="L247" s="63" t="s">
        <v>785</v>
      </c>
      <c r="M247" s="90"/>
      <c r="N247" s="90">
        <v>304</v>
      </c>
    </row>
    <row r="248" spans="2:14" x14ac:dyDescent="0.3">
      <c r="B248" s="58">
        <v>45691</v>
      </c>
      <c r="C248" s="53">
        <v>499.8</v>
      </c>
      <c r="D248" s="49">
        <f t="shared" si="6"/>
        <v>7.4954296160877565E-2</v>
      </c>
      <c r="J248" s="58">
        <v>45301</v>
      </c>
      <c r="K248" s="60">
        <v>11837.15</v>
      </c>
      <c r="L248" s="63" t="s">
        <v>786</v>
      </c>
      <c r="M248" s="90"/>
      <c r="N248" s="90">
        <v>324</v>
      </c>
    </row>
    <row r="249" spans="2:14" x14ac:dyDescent="0.3">
      <c r="B249" s="58" t="s">
        <v>404</v>
      </c>
      <c r="C249" s="53">
        <v>464.95</v>
      </c>
      <c r="D249" s="49">
        <f t="shared" si="6"/>
        <v>-3.5273368606701938E-2</v>
      </c>
      <c r="J249" s="58" t="s">
        <v>1871</v>
      </c>
      <c r="K249" s="60">
        <v>11802</v>
      </c>
      <c r="L249" s="63" t="s">
        <v>787</v>
      </c>
      <c r="M249" s="90"/>
      <c r="N249" s="90">
        <v>405</v>
      </c>
    </row>
    <row r="250" spans="2:14" x14ac:dyDescent="0.3">
      <c r="B250" s="58" t="s">
        <v>405</v>
      </c>
      <c r="C250" s="53">
        <v>481.95</v>
      </c>
      <c r="D250" s="49">
        <f t="shared" si="6"/>
        <v>-1.5423901940755935E-2</v>
      </c>
      <c r="J250" s="58" t="s">
        <v>1872</v>
      </c>
      <c r="K250" s="60">
        <v>11952.3</v>
      </c>
      <c r="L250" s="63" t="s">
        <v>788</v>
      </c>
      <c r="M250" s="90"/>
      <c r="N250" s="90">
        <v>404</v>
      </c>
    </row>
    <row r="251" spans="2:14" x14ac:dyDescent="0.3">
      <c r="B251" s="58">
        <v>45902</v>
      </c>
      <c r="C251" s="53">
        <v>489.5</v>
      </c>
      <c r="D251" s="49">
        <f t="shared" si="6"/>
        <v>-4.534373476352993E-2</v>
      </c>
      <c r="J251" s="58" t="s">
        <v>1873</v>
      </c>
      <c r="K251" s="60">
        <v>12065</v>
      </c>
      <c r="L251" s="63" t="s">
        <v>789</v>
      </c>
      <c r="M251" s="90"/>
      <c r="N251" s="90">
        <v>277</v>
      </c>
    </row>
    <row r="252" spans="2:14" x14ac:dyDescent="0.3">
      <c r="B252" s="58">
        <v>45690</v>
      </c>
      <c r="C252" s="53">
        <v>512.75</v>
      </c>
      <c r="D252" s="49">
        <f t="shared" si="6"/>
        <v>-9.7503900155948564E-5</v>
      </c>
      <c r="J252" s="58" t="s">
        <v>1874</v>
      </c>
      <c r="K252" s="60">
        <v>11816.3</v>
      </c>
      <c r="L252" s="63" t="s">
        <v>790</v>
      </c>
      <c r="M252" s="90"/>
      <c r="N252" s="90">
        <v>196</v>
      </c>
    </row>
    <row r="253" spans="2:14" x14ac:dyDescent="0.3">
      <c r="B253" s="58" t="s">
        <v>406</v>
      </c>
      <c r="C253" s="53">
        <v>512.79999999999995</v>
      </c>
      <c r="D253" s="49">
        <f t="shared" si="6"/>
        <v>-7.0677781805001838E-2</v>
      </c>
      <c r="J253" s="58" t="s">
        <v>1875</v>
      </c>
      <c r="K253" s="60">
        <v>11761.65</v>
      </c>
      <c r="L253" s="63" t="s">
        <v>791</v>
      </c>
      <c r="M253" s="90"/>
      <c r="N253" s="90">
        <v>242</v>
      </c>
    </row>
    <row r="254" spans="2:14" x14ac:dyDescent="0.3">
      <c r="B254" s="58" t="s">
        <v>407</v>
      </c>
      <c r="C254" s="53">
        <v>551.79999999999995</v>
      </c>
      <c r="D254" s="49">
        <f t="shared" si="6"/>
        <v>2.8997668997668979E-2</v>
      </c>
      <c r="J254" s="58" t="s">
        <v>1876</v>
      </c>
      <c r="K254" s="60">
        <v>11962.05</v>
      </c>
      <c r="L254" s="63" t="s">
        <v>792</v>
      </c>
      <c r="M254" s="90"/>
      <c r="N254" s="90">
        <v>279</v>
      </c>
    </row>
    <row r="255" spans="2:14" x14ac:dyDescent="0.3">
      <c r="B255" s="58">
        <v>45992</v>
      </c>
      <c r="C255" s="53">
        <v>536.25</v>
      </c>
      <c r="D255" s="49">
        <f t="shared" si="6"/>
        <v>4.8899755501222497E-2</v>
      </c>
      <c r="J255" s="58" t="s">
        <v>1877</v>
      </c>
      <c r="K255" s="60">
        <v>11798.3</v>
      </c>
      <c r="L255" s="63" t="s">
        <v>793</v>
      </c>
      <c r="M255" s="90"/>
      <c r="N255" s="90">
        <v>608</v>
      </c>
    </row>
    <row r="256" spans="2:14" x14ac:dyDescent="0.3">
      <c r="B256" s="58">
        <v>45778</v>
      </c>
      <c r="C256" s="53">
        <v>511.25</v>
      </c>
      <c r="D256" s="49">
        <f t="shared" si="6"/>
        <v>-6.825223254966295E-2</v>
      </c>
      <c r="J256" s="58" t="s">
        <v>1878</v>
      </c>
      <c r="K256" s="60">
        <v>11627.5</v>
      </c>
      <c r="L256" s="63" t="s">
        <v>794</v>
      </c>
      <c r="M256" s="90"/>
      <c r="N256" s="90">
        <v>227</v>
      </c>
    </row>
    <row r="257" spans="2:14" x14ac:dyDescent="0.3">
      <c r="B257" s="58" t="s">
        <v>371</v>
      </c>
      <c r="C257" s="53">
        <v>548.70000000000005</v>
      </c>
      <c r="D257" s="49">
        <f t="shared" si="6"/>
        <v>1.3687380235423152E-3</v>
      </c>
      <c r="J257" s="58" t="s">
        <v>1879</v>
      </c>
      <c r="K257" s="60">
        <v>11630.9</v>
      </c>
      <c r="L257" s="63" t="s">
        <v>795</v>
      </c>
      <c r="M257" s="90"/>
      <c r="N257" s="90">
        <v>185</v>
      </c>
    </row>
    <row r="258" spans="2:14" x14ac:dyDescent="0.3">
      <c r="B258" s="58" t="s">
        <v>372</v>
      </c>
      <c r="C258" s="53">
        <v>547.95000000000005</v>
      </c>
      <c r="D258" s="49">
        <f t="shared" si="6"/>
        <v>-1.5488338192418682E-3</v>
      </c>
      <c r="J258" s="58" t="s">
        <v>1880</v>
      </c>
      <c r="K258" s="60">
        <v>11645.65</v>
      </c>
      <c r="L258" s="63" t="s">
        <v>796</v>
      </c>
      <c r="M258" s="90"/>
      <c r="N258" s="90">
        <v>202</v>
      </c>
    </row>
    <row r="259" spans="2:14" x14ac:dyDescent="0.3">
      <c r="B259" s="58" t="s">
        <v>373</v>
      </c>
      <c r="C259" s="53">
        <v>548.79999999999995</v>
      </c>
      <c r="D259" s="49">
        <f t="shared" si="6"/>
        <v>-4.1815800960279481E-2</v>
      </c>
      <c r="J259" s="58" t="s">
        <v>1881</v>
      </c>
      <c r="K259" s="60">
        <v>11642.65</v>
      </c>
      <c r="L259" s="63" t="s">
        <v>797</v>
      </c>
      <c r="M259" s="90"/>
      <c r="N259" s="90">
        <v>257</v>
      </c>
    </row>
    <row r="260" spans="2:14" x14ac:dyDescent="0.3">
      <c r="B260" s="58">
        <v>45516</v>
      </c>
      <c r="C260" s="53">
        <v>572.75</v>
      </c>
      <c r="D260" s="49">
        <f t="shared" si="6"/>
        <v>1.317884309216355E-2</v>
      </c>
      <c r="J260" s="58" t="s">
        <v>1882</v>
      </c>
      <c r="K260" s="60">
        <v>11717.95</v>
      </c>
      <c r="L260" s="63" t="s">
        <v>798</v>
      </c>
      <c r="M260" s="90"/>
      <c r="N260" s="90">
        <v>279</v>
      </c>
    </row>
    <row r="261" spans="2:14" x14ac:dyDescent="0.3">
      <c r="B261" s="58">
        <v>45303</v>
      </c>
      <c r="C261" s="53">
        <v>565.29999999999995</v>
      </c>
      <c r="D261" s="49">
        <f t="shared" si="6"/>
        <v>6.3593603010347888E-2</v>
      </c>
      <c r="J261" s="58">
        <v>45635</v>
      </c>
      <c r="K261" s="60">
        <v>11710.25</v>
      </c>
      <c r="L261" s="63" t="s">
        <v>799</v>
      </c>
      <c r="M261" s="90"/>
      <c r="N261" s="90">
        <v>455</v>
      </c>
    </row>
    <row r="262" spans="2:14" x14ac:dyDescent="0.3">
      <c r="B262" s="58" t="s">
        <v>374</v>
      </c>
      <c r="C262" s="53">
        <v>531.5</v>
      </c>
      <c r="D262" s="49">
        <f t="shared" si="6"/>
        <v>6.3318995698709468E-2</v>
      </c>
      <c r="J262" s="58">
        <v>45605</v>
      </c>
      <c r="K262" s="60">
        <v>11487.45</v>
      </c>
      <c r="L262" s="63" t="s">
        <v>800</v>
      </c>
      <c r="M262" s="90"/>
      <c r="N262" s="90">
        <v>141</v>
      </c>
    </row>
    <row r="263" spans="2:14" x14ac:dyDescent="0.3">
      <c r="B263" s="58" t="s">
        <v>375</v>
      </c>
      <c r="C263" s="53">
        <v>499.85</v>
      </c>
      <c r="D263" s="49">
        <f t="shared" si="6"/>
        <v>-8.2001836547291096E-2</v>
      </c>
      <c r="J263" s="58">
        <v>45574</v>
      </c>
      <c r="K263" s="60">
        <v>11541.05</v>
      </c>
      <c r="L263" s="63" t="s">
        <v>801</v>
      </c>
      <c r="M263" s="90"/>
      <c r="N263" s="90">
        <v>237</v>
      </c>
    </row>
    <row r="264" spans="2:14" x14ac:dyDescent="0.3">
      <c r="B264" s="58">
        <v>45576</v>
      </c>
      <c r="C264" s="53">
        <v>544.5</v>
      </c>
      <c r="D264" s="49">
        <f t="shared" si="6"/>
        <v>-3.6112586298459814E-2</v>
      </c>
      <c r="J264" s="58">
        <v>45544</v>
      </c>
      <c r="K264" s="60">
        <v>11494.35</v>
      </c>
      <c r="L264" s="63" t="s">
        <v>802</v>
      </c>
      <c r="M264" s="90"/>
      <c r="N264" s="90">
        <v>154</v>
      </c>
    </row>
    <row r="265" spans="2:14" x14ac:dyDescent="0.3">
      <c r="B265" s="58">
        <v>45362</v>
      </c>
      <c r="C265" s="53">
        <v>564.9</v>
      </c>
      <c r="D265" s="49">
        <f t="shared" si="6"/>
        <v>-3.0131341746072793E-2</v>
      </c>
      <c r="J265" s="58">
        <v>45452</v>
      </c>
      <c r="K265" s="60">
        <v>11432.85</v>
      </c>
      <c r="L265" s="63" t="s">
        <v>803</v>
      </c>
      <c r="M265" s="90"/>
      <c r="N265" s="90">
        <v>245</v>
      </c>
    </row>
    <row r="266" spans="2:14" x14ac:dyDescent="0.3">
      <c r="B266" s="58" t="s">
        <v>376</v>
      </c>
      <c r="C266" s="53">
        <v>582.45000000000005</v>
      </c>
      <c r="D266" s="49">
        <f t="shared" si="6"/>
        <v>5.3826669079066303E-2</v>
      </c>
      <c r="J266" s="58">
        <v>45421</v>
      </c>
      <c r="K266" s="60">
        <v>11542.65</v>
      </c>
      <c r="L266" s="63" t="s">
        <v>804</v>
      </c>
      <c r="M266" s="90"/>
      <c r="N266" s="90">
        <v>406</v>
      </c>
    </row>
    <row r="267" spans="2:14" x14ac:dyDescent="0.3">
      <c r="B267" s="58" t="s">
        <v>377</v>
      </c>
      <c r="C267" s="53">
        <v>552.70000000000005</v>
      </c>
      <c r="D267" s="49">
        <f t="shared" si="6"/>
        <v>-3.7024131021865969E-2</v>
      </c>
      <c r="J267" s="58">
        <v>45391</v>
      </c>
      <c r="K267" s="60">
        <v>11580.45</v>
      </c>
      <c r="L267" s="63" t="s">
        <v>805</v>
      </c>
      <c r="M267" s="90"/>
      <c r="N267" s="90">
        <v>198</v>
      </c>
    </row>
    <row r="268" spans="2:14" x14ac:dyDescent="0.3">
      <c r="B268" s="58" t="s">
        <v>378</v>
      </c>
      <c r="C268" s="53">
        <v>573.95000000000005</v>
      </c>
      <c r="D268" s="49">
        <f t="shared" si="6"/>
        <v>-1.922419685577581E-2</v>
      </c>
      <c r="J268" s="58">
        <v>45360</v>
      </c>
      <c r="K268" s="60">
        <v>11460.8</v>
      </c>
      <c r="L268" s="63" t="s">
        <v>806</v>
      </c>
      <c r="M268" s="90"/>
      <c r="N268" s="90">
        <v>181</v>
      </c>
    </row>
    <row r="269" spans="2:14" x14ac:dyDescent="0.3">
      <c r="B269" s="58">
        <v>45453</v>
      </c>
      <c r="C269" s="53">
        <v>585.20000000000005</v>
      </c>
      <c r="D269" s="49">
        <f t="shared" si="6"/>
        <v>-4.1755362698542631E-2</v>
      </c>
      <c r="J269" s="58">
        <v>45331</v>
      </c>
      <c r="K269" s="60">
        <v>11424.9</v>
      </c>
      <c r="L269" s="63" t="s">
        <v>807</v>
      </c>
      <c r="M269" s="90"/>
      <c r="N269" s="90">
        <v>248</v>
      </c>
    </row>
    <row r="270" spans="2:14" x14ac:dyDescent="0.3">
      <c r="B270" s="58" t="s">
        <v>408</v>
      </c>
      <c r="C270" s="53">
        <v>610.70000000000005</v>
      </c>
      <c r="D270" s="49">
        <f t="shared" si="6"/>
        <v>-3.6750788643533094E-2</v>
      </c>
      <c r="J270" s="58" t="s">
        <v>1883</v>
      </c>
      <c r="K270" s="60">
        <v>11301.9</v>
      </c>
      <c r="L270" s="63" t="s">
        <v>808</v>
      </c>
      <c r="M270" s="90"/>
      <c r="N270" s="90">
        <v>462</v>
      </c>
    </row>
    <row r="271" spans="2:14" x14ac:dyDescent="0.3">
      <c r="B271" s="58" t="s">
        <v>409</v>
      </c>
      <c r="C271" s="53">
        <v>634</v>
      </c>
      <c r="D271" s="49">
        <f t="shared" si="6"/>
        <v>2.8302651853053362E-2</v>
      </c>
      <c r="J271" s="58" t="s">
        <v>1884</v>
      </c>
      <c r="K271" s="60">
        <v>11222</v>
      </c>
      <c r="L271" s="63" t="s">
        <v>809</v>
      </c>
      <c r="M271" s="90"/>
      <c r="N271" s="90">
        <v>406</v>
      </c>
    </row>
    <row r="272" spans="2:14" x14ac:dyDescent="0.3">
      <c r="B272" s="58" t="s">
        <v>410</v>
      </c>
      <c r="C272" s="53">
        <v>616.54999999999995</v>
      </c>
      <c r="D272" s="49">
        <f t="shared" si="6"/>
        <v>-2.0727445997458793E-2</v>
      </c>
      <c r="J272" s="58" t="s">
        <v>1885</v>
      </c>
      <c r="K272" s="60">
        <v>11234.8</v>
      </c>
      <c r="L272" s="63" t="s">
        <v>810</v>
      </c>
      <c r="M272" s="90"/>
      <c r="N272" s="90">
        <v>201</v>
      </c>
    </row>
    <row r="273" spans="2:14" x14ac:dyDescent="0.3">
      <c r="B273" s="58">
        <v>45513</v>
      </c>
      <c r="C273" s="53">
        <v>629.6</v>
      </c>
      <c r="D273" s="49">
        <f t="shared" si="6"/>
        <v>1.0188527878058684E-2</v>
      </c>
      <c r="J273" s="58" t="s">
        <v>1886</v>
      </c>
      <c r="K273" s="60">
        <v>11300.35</v>
      </c>
      <c r="L273" s="63" t="s">
        <v>811</v>
      </c>
      <c r="M273" s="90"/>
      <c r="N273" s="90">
        <v>184</v>
      </c>
    </row>
    <row r="274" spans="2:14" x14ac:dyDescent="0.3">
      <c r="B274" s="58">
        <v>45300</v>
      </c>
      <c r="C274" s="53">
        <v>623.25</v>
      </c>
      <c r="D274" s="49">
        <f t="shared" si="6"/>
        <v>1.0047808119277191E-2</v>
      </c>
      <c r="J274" s="58" t="s">
        <v>1887</v>
      </c>
      <c r="K274" s="60">
        <v>11337.1</v>
      </c>
      <c r="L274" s="63" t="s">
        <v>812</v>
      </c>
      <c r="M274" s="90"/>
      <c r="N274" s="90">
        <v>234</v>
      </c>
    </row>
    <row r="275" spans="2:14" x14ac:dyDescent="0.3">
      <c r="B275" s="58" t="s">
        <v>411</v>
      </c>
      <c r="C275" s="53">
        <v>617.04999999999995</v>
      </c>
      <c r="D275" s="49">
        <f t="shared" si="6"/>
        <v>-2.6120580808080884E-2</v>
      </c>
      <c r="J275" s="58" t="s">
        <v>1888</v>
      </c>
      <c r="K275" s="60">
        <v>11341.8</v>
      </c>
      <c r="L275" s="63" t="s">
        <v>813</v>
      </c>
      <c r="M275" s="90"/>
      <c r="N275" s="90">
        <v>258</v>
      </c>
    </row>
    <row r="276" spans="2:14" x14ac:dyDescent="0.3">
      <c r="B276" s="58" t="s">
        <v>412</v>
      </c>
      <c r="C276" s="53">
        <v>633.6</v>
      </c>
      <c r="D276" s="49">
        <f t="shared" si="6"/>
        <v>-1.0772833723653341E-2</v>
      </c>
      <c r="J276" s="58" t="s">
        <v>1889</v>
      </c>
      <c r="K276" s="60">
        <v>11309.4</v>
      </c>
      <c r="L276" s="63" t="s">
        <v>814</v>
      </c>
      <c r="M276" s="90"/>
      <c r="N276" s="90">
        <v>305</v>
      </c>
    </row>
    <row r="277" spans="2:14" x14ac:dyDescent="0.3">
      <c r="B277" s="58">
        <v>45604</v>
      </c>
      <c r="C277" s="53">
        <v>640.5</v>
      </c>
      <c r="D277" s="49">
        <f t="shared" si="6"/>
        <v>1.3449367088607556E-2</v>
      </c>
      <c r="J277" s="58" t="s">
        <v>1890</v>
      </c>
      <c r="K277" s="60">
        <v>11200.9</v>
      </c>
      <c r="L277" s="63" t="s">
        <v>815</v>
      </c>
      <c r="M277" s="90"/>
      <c r="N277" s="90">
        <v>456</v>
      </c>
    </row>
    <row r="278" spans="2:14" x14ac:dyDescent="0.3">
      <c r="B278" s="58">
        <v>45390</v>
      </c>
      <c r="C278" s="53">
        <v>632</v>
      </c>
      <c r="D278" s="49">
        <f t="shared" si="6"/>
        <v>-3.1862745098039102E-2</v>
      </c>
      <c r="J278" s="58" t="s">
        <v>1891</v>
      </c>
      <c r="K278" s="60">
        <v>11349.7</v>
      </c>
      <c r="L278" s="63" t="s">
        <v>816</v>
      </c>
      <c r="M278" s="90"/>
      <c r="N278" s="90">
        <v>421</v>
      </c>
    </row>
    <row r="279" spans="2:14" x14ac:dyDescent="0.3">
      <c r="B279" s="58" t="s">
        <v>413</v>
      </c>
      <c r="C279" s="53">
        <v>652.79999999999995</v>
      </c>
      <c r="D279" s="49">
        <f t="shared" si="6"/>
        <v>-4.8951048951048959E-2</v>
      </c>
      <c r="J279" s="58" t="s">
        <v>1892</v>
      </c>
      <c r="K279" s="60">
        <v>11315.35</v>
      </c>
      <c r="L279" s="63" t="s">
        <v>817</v>
      </c>
      <c r="M279" s="90"/>
      <c r="N279" s="90">
        <v>244</v>
      </c>
    </row>
    <row r="280" spans="2:14" x14ac:dyDescent="0.3">
      <c r="B280" s="58" t="s">
        <v>414</v>
      </c>
      <c r="C280" s="53">
        <v>686.4</v>
      </c>
      <c r="D280" s="49">
        <f t="shared" si="6"/>
        <v>1.25387225254463E-2</v>
      </c>
      <c r="J280" s="58" t="s">
        <v>1893</v>
      </c>
      <c r="K280" s="60">
        <v>11295.7</v>
      </c>
      <c r="L280" s="63" t="s">
        <v>818</v>
      </c>
      <c r="M280" s="90"/>
      <c r="N280" s="90">
        <v>435</v>
      </c>
    </row>
    <row r="281" spans="2:14" x14ac:dyDescent="0.3">
      <c r="B281" s="58" t="s">
        <v>415</v>
      </c>
      <c r="C281" s="53">
        <v>677.9</v>
      </c>
      <c r="D281" s="49">
        <f t="shared" si="6"/>
        <v>2.0694752402068417E-3</v>
      </c>
      <c r="J281" s="58" t="s">
        <v>1894</v>
      </c>
      <c r="K281" s="60">
        <v>11002.6</v>
      </c>
      <c r="L281" s="63" t="s">
        <v>819</v>
      </c>
      <c r="M281" s="90"/>
      <c r="N281" s="90">
        <v>404</v>
      </c>
    </row>
    <row r="282" spans="2:14" x14ac:dyDescent="0.3">
      <c r="B282" s="58">
        <v>45480</v>
      </c>
      <c r="C282" s="53">
        <v>676.5</v>
      </c>
      <c r="D282" s="49">
        <f t="shared" si="6"/>
        <v>-1.3848396501457749E-2</v>
      </c>
      <c r="J282" s="58" t="s">
        <v>1895</v>
      </c>
      <c r="K282" s="60">
        <v>11271.2</v>
      </c>
      <c r="L282" s="63" t="s">
        <v>820</v>
      </c>
      <c r="M282" s="90"/>
      <c r="N282" s="90">
        <v>189</v>
      </c>
    </row>
    <row r="283" spans="2:14" x14ac:dyDescent="0.3">
      <c r="B283" s="58" t="s">
        <v>416</v>
      </c>
      <c r="C283" s="53">
        <v>686</v>
      </c>
      <c r="D283" s="49">
        <f t="shared" si="6"/>
        <v>2.3498694516971286E-2</v>
      </c>
      <c r="J283" s="58">
        <v>45634</v>
      </c>
      <c r="K283" s="60">
        <v>11302.85</v>
      </c>
      <c r="L283" s="63" t="s">
        <v>821</v>
      </c>
      <c r="M283" s="90"/>
      <c r="N283" s="90">
        <v>200</v>
      </c>
    </row>
    <row r="284" spans="2:14" x14ac:dyDescent="0.3">
      <c r="B284" s="58" t="s">
        <v>417</v>
      </c>
      <c r="C284" s="53">
        <v>670.25</v>
      </c>
      <c r="D284" s="49">
        <f t="shared" si="6"/>
        <v>1.9469161152939396E-2</v>
      </c>
      <c r="J284" s="58">
        <v>45543</v>
      </c>
      <c r="K284" s="60">
        <v>11300.35</v>
      </c>
      <c r="L284" s="63" t="s">
        <v>822</v>
      </c>
      <c r="M284" s="90"/>
      <c r="N284" s="90">
        <v>189</v>
      </c>
    </row>
    <row r="285" spans="2:14" x14ac:dyDescent="0.3">
      <c r="B285" s="58" t="s">
        <v>418</v>
      </c>
      <c r="C285" s="53">
        <v>657.45</v>
      </c>
      <c r="D285" s="49">
        <f t="shared" si="6"/>
        <v>-2.9164205552274058E-2</v>
      </c>
      <c r="J285" s="58">
        <v>45512</v>
      </c>
      <c r="K285" s="60">
        <v>11258</v>
      </c>
      <c r="L285" s="63" t="s">
        <v>823</v>
      </c>
      <c r="M285" s="90"/>
      <c r="N285" s="90">
        <v>290</v>
      </c>
    </row>
    <row r="286" spans="2:14" x14ac:dyDescent="0.3">
      <c r="B286" s="58">
        <v>45541</v>
      </c>
      <c r="C286" s="53">
        <v>677.2</v>
      </c>
      <c r="D286" s="49">
        <f t="shared" ref="D286:D323" si="7">(C286/C287)-1</f>
        <v>8.9972638017061124E-2</v>
      </c>
      <c r="J286" s="58">
        <v>45481</v>
      </c>
      <c r="K286" s="60">
        <v>11543.2</v>
      </c>
      <c r="L286" s="63" t="s">
        <v>824</v>
      </c>
      <c r="M286" s="90"/>
      <c r="N286" s="90">
        <v>230</v>
      </c>
    </row>
    <row r="287" spans="2:14" x14ac:dyDescent="0.3">
      <c r="B287" s="58">
        <v>45328</v>
      </c>
      <c r="C287" s="53">
        <v>621.29999999999995</v>
      </c>
      <c r="D287" s="49">
        <f t="shared" si="7"/>
        <v>-2.0108824225218869E-2</v>
      </c>
      <c r="J287" s="58">
        <v>45451</v>
      </c>
      <c r="K287" s="60">
        <v>11325.3</v>
      </c>
      <c r="L287" s="63" t="s">
        <v>825</v>
      </c>
      <c r="M287" s="90"/>
      <c r="N287" s="90">
        <v>368</v>
      </c>
    </row>
    <row r="288" spans="2:14" x14ac:dyDescent="0.3">
      <c r="B288" s="58" t="s">
        <v>419</v>
      </c>
      <c r="C288" s="53">
        <v>634.04999999999995</v>
      </c>
      <c r="D288" s="49">
        <f t="shared" si="7"/>
        <v>-1.9675743743113872E-3</v>
      </c>
      <c r="J288" s="58">
        <v>45420</v>
      </c>
      <c r="K288" s="60">
        <v>11417.25</v>
      </c>
      <c r="L288" s="63" t="s">
        <v>826</v>
      </c>
      <c r="M288" s="90"/>
      <c r="N288" s="90">
        <v>400</v>
      </c>
    </row>
    <row r="289" spans="2:14" x14ac:dyDescent="0.3">
      <c r="B289" s="58" t="s">
        <v>420</v>
      </c>
      <c r="C289" s="53">
        <v>635.29999999999995</v>
      </c>
      <c r="D289" s="49">
        <f t="shared" si="7"/>
        <v>2.3521830191718829E-2</v>
      </c>
      <c r="J289" s="58">
        <v>45330</v>
      </c>
      <c r="K289" s="60">
        <v>11764.5</v>
      </c>
      <c r="L289" s="63" t="s">
        <v>827</v>
      </c>
      <c r="M289" s="90"/>
      <c r="N289" s="90">
        <v>273</v>
      </c>
    </row>
    <row r="290" spans="2:14" x14ac:dyDescent="0.3">
      <c r="B290" s="58">
        <v>45631</v>
      </c>
      <c r="C290" s="53">
        <v>620.70000000000005</v>
      </c>
      <c r="D290" s="49">
        <f t="shared" si="7"/>
        <v>6.6861464420763239E-2</v>
      </c>
      <c r="J290" s="58">
        <v>45299</v>
      </c>
      <c r="K290" s="60">
        <v>11984.5</v>
      </c>
      <c r="L290" s="63" t="s">
        <v>828</v>
      </c>
      <c r="M290" s="90"/>
      <c r="N290" s="90">
        <v>250</v>
      </c>
    </row>
    <row r="291" spans="2:14" x14ac:dyDescent="0.3">
      <c r="B291" s="58">
        <v>45417</v>
      </c>
      <c r="C291" s="53">
        <v>581.79999999999995</v>
      </c>
      <c r="D291" s="49">
        <f t="shared" si="7"/>
        <v>-6.5306450317294651E-2</v>
      </c>
      <c r="J291" s="58" t="s">
        <v>1896</v>
      </c>
      <c r="K291" s="60">
        <v>11887.2</v>
      </c>
      <c r="L291" s="63" t="s">
        <v>829</v>
      </c>
      <c r="M291" s="90"/>
      <c r="N291" s="90">
        <v>322</v>
      </c>
    </row>
    <row r="292" spans="2:14" x14ac:dyDescent="0.3">
      <c r="B292" s="58" t="s">
        <v>421</v>
      </c>
      <c r="C292" s="53">
        <v>622.45000000000005</v>
      </c>
      <c r="D292" s="49">
        <f t="shared" si="7"/>
        <v>-1.5655886771566374E-2</v>
      </c>
      <c r="J292" s="58" t="s">
        <v>1897</v>
      </c>
      <c r="K292" s="60">
        <v>11806.45</v>
      </c>
      <c r="L292" s="63" t="s">
        <v>830</v>
      </c>
      <c r="M292" s="90"/>
      <c r="N292" s="90">
        <v>438</v>
      </c>
    </row>
    <row r="293" spans="2:14" x14ac:dyDescent="0.3">
      <c r="B293" s="58" t="s">
        <v>422</v>
      </c>
      <c r="C293" s="53">
        <v>632.35</v>
      </c>
      <c r="D293" s="49">
        <f t="shared" si="7"/>
        <v>3.7234478799311077E-2</v>
      </c>
      <c r="J293" s="58" t="s">
        <v>1898</v>
      </c>
      <c r="K293" s="60">
        <v>11873.8</v>
      </c>
      <c r="L293" s="63" t="s">
        <v>831</v>
      </c>
      <c r="M293" s="90"/>
      <c r="N293" s="90">
        <v>496</v>
      </c>
    </row>
    <row r="294" spans="2:14" x14ac:dyDescent="0.3">
      <c r="B294" s="58" t="s">
        <v>423</v>
      </c>
      <c r="C294" s="53">
        <v>609.65</v>
      </c>
      <c r="D294" s="49">
        <f t="shared" si="7"/>
        <v>1.3139525334646684E-3</v>
      </c>
      <c r="J294" s="58" t="s">
        <v>1899</v>
      </c>
      <c r="K294" s="60">
        <v>11673.05</v>
      </c>
      <c r="L294" s="63" t="s">
        <v>832</v>
      </c>
      <c r="M294" s="90"/>
      <c r="N294" s="90">
        <v>333</v>
      </c>
    </row>
    <row r="295" spans="2:14" x14ac:dyDescent="0.3">
      <c r="B295" s="58">
        <v>45477</v>
      </c>
      <c r="C295" s="53">
        <v>608.85</v>
      </c>
      <c r="D295" s="49">
        <f t="shared" si="7"/>
        <v>-2.9257015306122458E-2</v>
      </c>
      <c r="J295" s="58" t="s">
        <v>1900</v>
      </c>
      <c r="K295" s="60">
        <v>11441.5</v>
      </c>
      <c r="L295" s="63" t="s">
        <v>833</v>
      </c>
      <c r="M295" s="90"/>
      <c r="N295" s="90">
        <v>254</v>
      </c>
    </row>
    <row r="296" spans="2:14" x14ac:dyDescent="0.3">
      <c r="B296" s="58" t="s">
        <v>424</v>
      </c>
      <c r="C296" s="53">
        <v>627.20000000000005</v>
      </c>
      <c r="D296" s="49">
        <f t="shared" si="7"/>
        <v>2.4250836939658793E-2</v>
      </c>
      <c r="J296" s="58" t="s">
        <v>1901</v>
      </c>
      <c r="K296" s="60">
        <v>11453.4</v>
      </c>
      <c r="L296" s="63" t="s">
        <v>834</v>
      </c>
      <c r="M296" s="90"/>
      <c r="N296" s="90">
        <v>268</v>
      </c>
    </row>
    <row r="297" spans="2:14" x14ac:dyDescent="0.3">
      <c r="B297" s="58" t="s">
        <v>425</v>
      </c>
      <c r="C297" s="53">
        <v>612.35</v>
      </c>
      <c r="D297" s="49">
        <f t="shared" si="7"/>
        <v>3.9026045643505647E-2</v>
      </c>
      <c r="J297" s="58" t="s">
        <v>1902</v>
      </c>
      <c r="K297" s="60">
        <v>11545.8</v>
      </c>
      <c r="L297" s="63" t="s">
        <v>835</v>
      </c>
      <c r="M297" s="90"/>
      <c r="N297" s="90">
        <v>525</v>
      </c>
    </row>
    <row r="298" spans="2:14" x14ac:dyDescent="0.3">
      <c r="B298" s="58" t="s">
        <v>426</v>
      </c>
      <c r="C298" s="53">
        <v>589.35</v>
      </c>
      <c r="D298" s="49">
        <f t="shared" si="7"/>
        <v>-1.8976279650436911E-2</v>
      </c>
      <c r="J298" s="58" t="s">
        <v>1903</v>
      </c>
      <c r="K298" s="60">
        <v>11515.7</v>
      </c>
      <c r="L298" s="63" t="s">
        <v>836</v>
      </c>
      <c r="M298" s="90"/>
      <c r="N298" s="90">
        <v>573</v>
      </c>
    </row>
    <row r="299" spans="2:14" x14ac:dyDescent="0.3">
      <c r="B299" s="58">
        <v>45568</v>
      </c>
      <c r="C299" s="53">
        <v>600.75</v>
      </c>
      <c r="D299" s="49">
        <f t="shared" si="7"/>
        <v>-3.9791096742103349E-3</v>
      </c>
      <c r="J299" s="58" t="s">
        <v>1904</v>
      </c>
      <c r="K299" s="60">
        <v>11258.3</v>
      </c>
      <c r="L299" s="63" t="s">
        <v>837</v>
      </c>
      <c r="M299" s="90"/>
      <c r="N299" s="90">
        <v>514</v>
      </c>
    </row>
    <row r="300" spans="2:14" x14ac:dyDescent="0.3">
      <c r="B300" s="58">
        <v>45354</v>
      </c>
      <c r="C300" s="53">
        <v>603.15</v>
      </c>
      <c r="D300" s="49">
        <f t="shared" si="7"/>
        <v>-2.3397020725388629E-2</v>
      </c>
      <c r="J300" s="58" t="s">
        <v>1905</v>
      </c>
      <c r="K300" s="60">
        <v>11647.25</v>
      </c>
      <c r="L300" s="63" t="s">
        <v>838</v>
      </c>
      <c r="M300" s="90"/>
      <c r="N300" s="90">
        <v>731</v>
      </c>
    </row>
    <row r="301" spans="2:14" x14ac:dyDescent="0.3">
      <c r="B301" s="58" t="s">
        <v>427</v>
      </c>
      <c r="C301" s="53">
        <v>617.6</v>
      </c>
      <c r="D301" s="49">
        <f t="shared" si="7"/>
        <v>2.4297205406750066E-2</v>
      </c>
      <c r="J301" s="58" t="s">
        <v>1906</v>
      </c>
      <c r="K301" s="60">
        <v>11658.7</v>
      </c>
      <c r="L301" s="63" t="s">
        <v>839</v>
      </c>
      <c r="M301" s="90"/>
      <c r="N301" s="90">
        <v>556</v>
      </c>
    </row>
    <row r="302" spans="2:14" x14ac:dyDescent="0.3">
      <c r="B302" s="58" t="s">
        <v>428</v>
      </c>
      <c r="C302" s="53">
        <v>602.95000000000005</v>
      </c>
      <c r="D302" s="49">
        <f t="shared" si="7"/>
        <v>3.0507605537515081E-2</v>
      </c>
      <c r="J302" s="58" t="s">
        <v>1907</v>
      </c>
      <c r="K302" s="60">
        <v>11833.65</v>
      </c>
      <c r="L302" s="63" t="s">
        <v>840</v>
      </c>
      <c r="M302" s="90"/>
      <c r="N302" s="90">
        <v>394</v>
      </c>
    </row>
    <row r="303" spans="2:14" x14ac:dyDescent="0.3">
      <c r="B303" s="58">
        <v>45598</v>
      </c>
      <c r="C303" s="53">
        <v>585.1</v>
      </c>
      <c r="D303" s="49">
        <f t="shared" si="7"/>
        <v>1.5446025685525777E-2</v>
      </c>
      <c r="J303" s="58">
        <v>45633</v>
      </c>
      <c r="K303" s="60">
        <v>11602.3</v>
      </c>
      <c r="L303" s="63" t="s">
        <v>841</v>
      </c>
      <c r="M303" s="90"/>
      <c r="N303" s="90">
        <v>366</v>
      </c>
    </row>
    <row r="304" spans="2:14" x14ac:dyDescent="0.3">
      <c r="B304" s="58">
        <v>45384</v>
      </c>
      <c r="C304" s="53">
        <v>576.20000000000005</v>
      </c>
      <c r="D304" s="49">
        <f t="shared" si="7"/>
        <v>3.3728022963760429E-2</v>
      </c>
      <c r="J304" s="58">
        <v>45603</v>
      </c>
      <c r="K304" s="60">
        <v>11554.95</v>
      </c>
      <c r="L304" s="63" t="s">
        <v>842</v>
      </c>
      <c r="M304" s="90"/>
      <c r="N304" s="90">
        <v>366</v>
      </c>
    </row>
    <row r="305" spans="2:14" x14ac:dyDescent="0.3">
      <c r="B305" s="58" t="s">
        <v>429</v>
      </c>
      <c r="C305" s="53">
        <v>557.4</v>
      </c>
      <c r="D305" s="49">
        <f t="shared" si="7"/>
        <v>-4.9093992680532272E-3</v>
      </c>
      <c r="J305" s="58">
        <v>45572</v>
      </c>
      <c r="K305" s="60">
        <v>11634.25</v>
      </c>
      <c r="L305" s="63" t="s">
        <v>843</v>
      </c>
      <c r="M305" s="90"/>
      <c r="N305" s="90">
        <v>202</v>
      </c>
    </row>
    <row r="306" spans="2:14" x14ac:dyDescent="0.3">
      <c r="B306" s="58" t="s">
        <v>430</v>
      </c>
      <c r="C306" s="53">
        <v>560.15</v>
      </c>
      <c r="D306" s="49">
        <f t="shared" si="7"/>
        <v>4.2915658164215165E-2</v>
      </c>
      <c r="J306" s="58">
        <v>45542</v>
      </c>
      <c r="K306" s="60">
        <v>11679.8</v>
      </c>
      <c r="L306" s="63" t="s">
        <v>844</v>
      </c>
      <c r="M306" s="90"/>
      <c r="N306" s="90">
        <v>530</v>
      </c>
    </row>
    <row r="307" spans="2:14" x14ac:dyDescent="0.3">
      <c r="B307" s="58" t="s">
        <v>431</v>
      </c>
      <c r="C307" s="53">
        <v>537.1</v>
      </c>
      <c r="D307" s="49">
        <f t="shared" si="7"/>
        <v>8.8279489105935749E-3</v>
      </c>
      <c r="J307" s="58">
        <v>45511</v>
      </c>
      <c r="K307" s="60">
        <v>11582.9</v>
      </c>
      <c r="L307" s="63" t="s">
        <v>845</v>
      </c>
      <c r="M307" s="90"/>
      <c r="N307" s="90">
        <v>149</v>
      </c>
    </row>
    <row r="308" spans="2:14" x14ac:dyDescent="0.3">
      <c r="B308" s="58">
        <v>45474</v>
      </c>
      <c r="C308" s="53">
        <v>532.4</v>
      </c>
      <c r="D308" s="49">
        <f t="shared" si="7"/>
        <v>-1.8346086475523271E-2</v>
      </c>
      <c r="J308" s="58">
        <v>45419</v>
      </c>
      <c r="K308" s="60">
        <v>11690.15</v>
      </c>
      <c r="L308" s="63" t="s">
        <v>846</v>
      </c>
      <c r="M308" s="90"/>
      <c r="N308" s="90">
        <v>425</v>
      </c>
    </row>
    <row r="309" spans="2:14" x14ac:dyDescent="0.3">
      <c r="B309" s="58" t="s">
        <v>379</v>
      </c>
      <c r="C309" s="53">
        <v>542.35</v>
      </c>
      <c r="D309" s="49">
        <f t="shared" si="7"/>
        <v>4.1178729122672397E-2</v>
      </c>
      <c r="J309" s="58">
        <v>45389</v>
      </c>
      <c r="K309" s="60">
        <v>11760.05</v>
      </c>
      <c r="L309" s="63" t="s">
        <v>847</v>
      </c>
      <c r="M309" s="90"/>
      <c r="N309" s="90">
        <v>227</v>
      </c>
    </row>
    <row r="310" spans="2:14" x14ac:dyDescent="0.3">
      <c r="B310" s="58" t="s">
        <v>380</v>
      </c>
      <c r="C310" s="53">
        <v>520.9</v>
      </c>
      <c r="D310" s="49">
        <f t="shared" si="7"/>
        <v>3.3942040492258796E-2</v>
      </c>
      <c r="J310" s="58">
        <v>45358</v>
      </c>
      <c r="K310" s="60">
        <v>11872.1</v>
      </c>
      <c r="L310" s="63" t="s">
        <v>848</v>
      </c>
      <c r="M310" s="90"/>
      <c r="N310" s="90">
        <v>206</v>
      </c>
    </row>
    <row r="311" spans="2:14" x14ac:dyDescent="0.3">
      <c r="B311" s="58" t="s">
        <v>381</v>
      </c>
      <c r="C311" s="53">
        <v>503.8</v>
      </c>
      <c r="D311" s="49">
        <f t="shared" si="7"/>
        <v>-3.5604900459417999E-2</v>
      </c>
      <c r="J311" s="58">
        <v>45329</v>
      </c>
      <c r="K311" s="60">
        <v>11853.95</v>
      </c>
      <c r="L311" s="63" t="s">
        <v>849</v>
      </c>
      <c r="M311" s="90"/>
      <c r="N311" s="90">
        <v>422</v>
      </c>
    </row>
    <row r="312" spans="2:14" x14ac:dyDescent="0.3">
      <c r="B312" s="58">
        <v>45211</v>
      </c>
      <c r="C312" s="53">
        <v>522.4</v>
      </c>
      <c r="D312" s="49">
        <f t="shared" si="7"/>
        <v>5.6741175280671463E-2</v>
      </c>
      <c r="J312" s="58">
        <v>45298</v>
      </c>
      <c r="K312" s="60">
        <v>11904.65</v>
      </c>
      <c r="L312" s="63" t="s">
        <v>850</v>
      </c>
      <c r="M312" s="90"/>
      <c r="N312" s="90">
        <v>520</v>
      </c>
    </row>
    <row r="313" spans="2:14" x14ac:dyDescent="0.3">
      <c r="B313" s="58">
        <v>44997</v>
      </c>
      <c r="C313" s="53">
        <v>494.35</v>
      </c>
      <c r="D313" s="49">
        <f t="shared" si="7"/>
        <v>0.11843891402714934</v>
      </c>
      <c r="J313" s="58" t="s">
        <v>1908</v>
      </c>
      <c r="K313" s="60">
        <v>11667.9</v>
      </c>
      <c r="L313" s="63" t="s">
        <v>851</v>
      </c>
      <c r="M313" s="90"/>
      <c r="N313" s="90">
        <v>684</v>
      </c>
    </row>
    <row r="314" spans="2:14" x14ac:dyDescent="0.3">
      <c r="B314" s="58" t="s">
        <v>382</v>
      </c>
      <c r="C314" s="53">
        <v>442</v>
      </c>
      <c r="D314" s="49">
        <f t="shared" si="7"/>
        <v>6.6859763456432519E-2</v>
      </c>
      <c r="J314" s="58" t="s">
        <v>1909</v>
      </c>
      <c r="K314" s="60">
        <v>11716.7</v>
      </c>
      <c r="L314" s="63">
        <v>2300</v>
      </c>
      <c r="M314" s="90"/>
      <c r="N314" s="90">
        <v>2300</v>
      </c>
    </row>
    <row r="315" spans="2:14" x14ac:dyDescent="0.3">
      <c r="B315" s="58" t="s">
        <v>383</v>
      </c>
      <c r="C315" s="53">
        <v>414.3</v>
      </c>
      <c r="D315" s="49">
        <f t="shared" si="7"/>
        <v>-1.6148183329375509E-2</v>
      </c>
      <c r="J315" s="58" t="s">
        <v>1910</v>
      </c>
      <c r="K315" s="60">
        <v>11143.1</v>
      </c>
      <c r="L315" s="63" t="s">
        <v>852</v>
      </c>
      <c r="M315" s="90"/>
      <c r="N315" s="90">
        <v>793</v>
      </c>
    </row>
    <row r="316" spans="2:14" x14ac:dyDescent="0.3">
      <c r="B316" s="58">
        <v>45271</v>
      </c>
      <c r="C316" s="53">
        <v>421.1</v>
      </c>
      <c r="D316" s="49">
        <f t="shared" si="7"/>
        <v>7.1753169098300873E-3</v>
      </c>
      <c r="J316" s="58" t="s">
        <v>1911</v>
      </c>
      <c r="K316" s="60">
        <v>10846.2</v>
      </c>
      <c r="L316" s="63" t="s">
        <v>853</v>
      </c>
      <c r="M316" s="90"/>
      <c r="N316" s="90">
        <v>562</v>
      </c>
    </row>
    <row r="317" spans="2:14" x14ac:dyDescent="0.3">
      <c r="B317" s="58">
        <v>45057</v>
      </c>
      <c r="C317" s="53">
        <v>418.1</v>
      </c>
      <c r="D317" s="49">
        <f t="shared" si="7"/>
        <v>-6.652411499168287E-3</v>
      </c>
      <c r="J317" s="58" t="s">
        <v>1912</v>
      </c>
      <c r="K317" s="60">
        <v>10786</v>
      </c>
      <c r="L317" s="63" t="s">
        <v>854</v>
      </c>
      <c r="M317" s="90"/>
      <c r="N317" s="90">
        <v>276</v>
      </c>
    </row>
    <row r="318" spans="2:14" x14ac:dyDescent="0.3">
      <c r="B318" s="58" t="s">
        <v>384</v>
      </c>
      <c r="C318" s="53">
        <v>420.9</v>
      </c>
      <c r="D318" s="49">
        <f t="shared" si="7"/>
        <v>8.747753145596171E-3</v>
      </c>
      <c r="J318" s="58" t="s">
        <v>1913</v>
      </c>
      <c r="K318" s="60">
        <v>10662.4</v>
      </c>
      <c r="L318" s="63" t="s">
        <v>855</v>
      </c>
      <c r="M318" s="90"/>
      <c r="N318" s="90">
        <v>586</v>
      </c>
    </row>
    <row r="319" spans="2:14" x14ac:dyDescent="0.3">
      <c r="B319" s="58" t="s">
        <v>385</v>
      </c>
      <c r="C319" s="53">
        <v>417.25</v>
      </c>
      <c r="D319" s="49">
        <f t="shared" si="7"/>
        <v>-3.156551003829644E-2</v>
      </c>
      <c r="J319" s="58" t="s">
        <v>1914</v>
      </c>
      <c r="K319" s="60">
        <v>10903.2</v>
      </c>
      <c r="L319" s="63" t="s">
        <v>856</v>
      </c>
      <c r="M319" s="90"/>
      <c r="N319" s="90">
        <v>445</v>
      </c>
    </row>
    <row r="320" spans="2:14" x14ac:dyDescent="0.3">
      <c r="B320" s="58" t="s">
        <v>386</v>
      </c>
      <c r="C320" s="53">
        <v>430.85</v>
      </c>
      <c r="D320" s="49">
        <f t="shared" si="7"/>
        <v>-2.0572857467606176E-2</v>
      </c>
      <c r="J320" s="58" t="s">
        <v>1915</v>
      </c>
      <c r="K320" s="60">
        <v>10995.55</v>
      </c>
      <c r="L320" s="63" t="s">
        <v>857</v>
      </c>
      <c r="M320" s="90"/>
      <c r="N320" s="90">
        <v>659</v>
      </c>
    </row>
    <row r="321" spans="2:14" x14ac:dyDescent="0.3">
      <c r="B321" s="58">
        <v>45148</v>
      </c>
      <c r="C321" s="53">
        <v>439.9</v>
      </c>
      <c r="D321" s="49">
        <f t="shared" si="7"/>
        <v>9.6396603167316908E-3</v>
      </c>
      <c r="J321" s="58" t="s">
        <v>1916</v>
      </c>
      <c r="K321" s="60">
        <v>11119.05</v>
      </c>
      <c r="L321" s="63" t="s">
        <v>858</v>
      </c>
      <c r="M321" s="90"/>
      <c r="N321" s="90">
        <v>322</v>
      </c>
    </row>
    <row r="322" spans="2:14" x14ac:dyDescent="0.3">
      <c r="B322" s="58">
        <v>44936</v>
      </c>
      <c r="C322" s="53">
        <v>435.7</v>
      </c>
      <c r="D322" s="49">
        <f t="shared" si="7"/>
        <v>2.5659133709981186E-2</v>
      </c>
      <c r="J322" s="58" t="s">
        <v>1917</v>
      </c>
      <c r="K322" s="60">
        <v>11242.8</v>
      </c>
      <c r="L322" s="63" t="s">
        <v>859</v>
      </c>
      <c r="M322" s="90"/>
      <c r="N322" s="90">
        <v>305</v>
      </c>
    </row>
    <row r="323" spans="2:14" x14ac:dyDescent="0.3">
      <c r="B323" s="58" t="s">
        <v>432</v>
      </c>
      <c r="C323" s="53">
        <v>424.8</v>
      </c>
      <c r="D323" s="49">
        <f t="shared" si="7"/>
        <v>9.1459793324624172E-3</v>
      </c>
      <c r="J323" s="58" t="s">
        <v>1918</v>
      </c>
      <c r="K323" s="60">
        <v>11173.8</v>
      </c>
      <c r="L323" s="63" t="s">
        <v>860</v>
      </c>
      <c r="M323" s="90"/>
      <c r="N323" s="90">
        <v>602</v>
      </c>
    </row>
    <row r="324" spans="2:14" x14ac:dyDescent="0.3">
      <c r="B324" s="58" t="s">
        <v>433</v>
      </c>
      <c r="C324" s="53">
        <v>420.95</v>
      </c>
      <c r="D324" s="49">
        <f>(C324/C325)-1</f>
        <v>-5.4151218964161418E-2</v>
      </c>
      <c r="J324" s="58">
        <v>45632</v>
      </c>
      <c r="K324" s="60">
        <v>11044.8</v>
      </c>
      <c r="L324" s="63" t="s">
        <v>861</v>
      </c>
      <c r="M324" s="90"/>
      <c r="N324" s="90">
        <v>439</v>
      </c>
    </row>
    <row r="325" spans="2:14" ht="15" thickBot="1" x14ac:dyDescent="0.35">
      <c r="B325" s="139">
        <v>45208</v>
      </c>
      <c r="C325" s="153">
        <v>445.05</v>
      </c>
      <c r="D325" s="153"/>
      <c r="J325" s="58">
        <v>45602</v>
      </c>
      <c r="K325" s="60">
        <v>10933.55</v>
      </c>
      <c r="L325" s="63" t="s">
        <v>862</v>
      </c>
      <c r="M325" s="90"/>
      <c r="N325" s="90">
        <v>650</v>
      </c>
    </row>
    <row r="326" spans="2:14" ht="15" thickTop="1" x14ac:dyDescent="0.3">
      <c r="J326" s="58">
        <v>45571</v>
      </c>
      <c r="K326" s="60">
        <v>10826.25</v>
      </c>
      <c r="L326" s="63" t="s">
        <v>863</v>
      </c>
      <c r="M326" s="90"/>
      <c r="N326" s="90">
        <v>705</v>
      </c>
    </row>
    <row r="327" spans="2:14" x14ac:dyDescent="0.3">
      <c r="B327" s="137" t="s">
        <v>443</v>
      </c>
      <c r="J327" s="58">
        <v>45479</v>
      </c>
      <c r="K327" s="60">
        <v>10463.15</v>
      </c>
      <c r="L327" s="63" t="s">
        <v>864</v>
      </c>
      <c r="M327" s="90"/>
      <c r="N327" s="90">
        <v>545</v>
      </c>
    </row>
    <row r="328" spans="2:14" x14ac:dyDescent="0.3">
      <c r="J328" s="58">
        <v>45449</v>
      </c>
      <c r="K328" s="60">
        <v>10054.950000000001</v>
      </c>
      <c r="L328" s="63" t="s">
        <v>865</v>
      </c>
      <c r="M328" s="90"/>
      <c r="N328" s="90">
        <v>483</v>
      </c>
    </row>
    <row r="329" spans="2:14" x14ac:dyDescent="0.3">
      <c r="B329" s="134" t="s">
        <v>97</v>
      </c>
      <c r="C329" s="133" t="s">
        <v>98</v>
      </c>
      <c r="D329" s="136" t="s">
        <v>99</v>
      </c>
      <c r="J329" s="58">
        <v>45418</v>
      </c>
      <c r="K329" s="60">
        <v>10038.1</v>
      </c>
      <c r="L329" s="63" t="s">
        <v>866</v>
      </c>
      <c r="M329" s="90"/>
      <c r="N329" s="90">
        <v>361</v>
      </c>
    </row>
    <row r="330" spans="2:14" x14ac:dyDescent="0.3">
      <c r="B330" s="58" t="s">
        <v>387</v>
      </c>
      <c r="C330" s="60">
        <v>30050</v>
      </c>
      <c r="D330" s="49">
        <f t="shared" ref="D330:D393" si="8">(C330/C331)-1</f>
        <v>2.6473099914603004E-2</v>
      </c>
      <c r="J330" s="58">
        <v>45388</v>
      </c>
      <c r="K330" s="60">
        <v>9918.2999999999993</v>
      </c>
      <c r="L330" s="63" t="s">
        <v>867</v>
      </c>
      <c r="M330" s="90"/>
      <c r="N330" s="90">
        <v>972</v>
      </c>
    </row>
    <row r="331" spans="2:14" x14ac:dyDescent="0.3">
      <c r="B331" s="58" t="s">
        <v>388</v>
      </c>
      <c r="C331" s="60">
        <v>29275</v>
      </c>
      <c r="D331" s="49">
        <f t="shared" si="8"/>
        <v>-2.4329278453591119E-2</v>
      </c>
      <c r="J331" s="58">
        <v>45357</v>
      </c>
      <c r="K331" s="60">
        <v>10470.049999999999</v>
      </c>
      <c r="L331" s="63" t="s">
        <v>868</v>
      </c>
      <c r="M331" s="90"/>
      <c r="N331" s="90">
        <v>732</v>
      </c>
    </row>
    <row r="332" spans="2:14" x14ac:dyDescent="0.3">
      <c r="B332" s="58" t="s">
        <v>389</v>
      </c>
      <c r="C332" s="60">
        <v>30005</v>
      </c>
      <c r="D332" s="49">
        <f t="shared" si="8"/>
        <v>-1.2993421052631571E-2</v>
      </c>
      <c r="J332" s="58" t="s">
        <v>1919</v>
      </c>
      <c r="K332" s="60">
        <v>9915.5</v>
      </c>
      <c r="L332" s="63" t="s">
        <v>869</v>
      </c>
      <c r="M332" s="90"/>
      <c r="N332" s="90">
        <v>791</v>
      </c>
    </row>
    <row r="333" spans="2:14" x14ac:dyDescent="0.3">
      <c r="B333" s="58">
        <v>45938</v>
      </c>
      <c r="C333" s="60">
        <v>30400</v>
      </c>
      <c r="D333" s="49">
        <f t="shared" si="8"/>
        <v>-4.931777083675426E-4</v>
      </c>
      <c r="J333" s="58" t="s">
        <v>1920</v>
      </c>
      <c r="K333" s="60">
        <v>9868.85</v>
      </c>
      <c r="L333" s="63" t="s">
        <v>870</v>
      </c>
      <c r="M333" s="90"/>
      <c r="N333" s="90">
        <v>323</v>
      </c>
    </row>
    <row r="334" spans="2:14" x14ac:dyDescent="0.3">
      <c r="B334" s="58">
        <v>45724</v>
      </c>
      <c r="C334" s="60">
        <v>30415</v>
      </c>
      <c r="D334" s="49">
        <f t="shared" si="8"/>
        <v>-8.4759576202119158E-3</v>
      </c>
      <c r="J334" s="58" t="s">
        <v>1921</v>
      </c>
      <c r="K334" s="60">
        <v>10023.4</v>
      </c>
      <c r="L334" s="63" t="s">
        <v>871</v>
      </c>
      <c r="M334" s="90"/>
      <c r="N334" s="90">
        <v>317</v>
      </c>
    </row>
    <row r="335" spans="2:14" x14ac:dyDescent="0.3">
      <c r="B335" s="58" t="s">
        <v>390</v>
      </c>
      <c r="C335" s="60">
        <v>30675</v>
      </c>
      <c r="D335" s="49">
        <f t="shared" si="8"/>
        <v>-8.8852988691437984E-3</v>
      </c>
      <c r="J335" s="58" t="s">
        <v>1922</v>
      </c>
      <c r="K335" s="60">
        <v>10178.9</v>
      </c>
      <c r="L335" s="63" t="s">
        <v>872</v>
      </c>
      <c r="M335" s="90"/>
      <c r="N335" s="90">
        <v>403</v>
      </c>
    </row>
    <row r="336" spans="2:14" x14ac:dyDescent="0.3">
      <c r="B336" s="58" t="s">
        <v>391</v>
      </c>
      <c r="C336" s="60">
        <v>30950</v>
      </c>
      <c r="D336" s="49">
        <f t="shared" si="8"/>
        <v>5.1964923676517394E-3</v>
      </c>
      <c r="J336" s="58" t="s">
        <v>1923</v>
      </c>
      <c r="K336" s="60">
        <v>10225.5</v>
      </c>
      <c r="L336" s="63" t="s">
        <v>873</v>
      </c>
      <c r="M336" s="90"/>
      <c r="N336" s="90">
        <v>389</v>
      </c>
    </row>
    <row r="337" spans="2:14" x14ac:dyDescent="0.3">
      <c r="B337" s="58" t="s">
        <v>392</v>
      </c>
      <c r="C337" s="60">
        <v>30790</v>
      </c>
      <c r="D337" s="49">
        <f t="shared" si="8"/>
        <v>-1.3457225248317828E-2</v>
      </c>
      <c r="J337" s="58" t="s">
        <v>1924</v>
      </c>
      <c r="K337" s="60">
        <v>10231.1</v>
      </c>
      <c r="L337" s="63" t="s">
        <v>874</v>
      </c>
      <c r="M337" s="90"/>
      <c r="N337" s="90">
        <v>519</v>
      </c>
    </row>
    <row r="338" spans="2:14" x14ac:dyDescent="0.3">
      <c r="B338" s="58">
        <v>45815</v>
      </c>
      <c r="C338" s="60">
        <v>31210</v>
      </c>
      <c r="D338" s="49">
        <f t="shared" si="8"/>
        <v>-3.3530257065303992E-3</v>
      </c>
      <c r="J338" s="58" t="s">
        <v>1925</v>
      </c>
      <c r="K338" s="60">
        <v>10170.549999999999</v>
      </c>
      <c r="L338" s="63" t="s">
        <v>875</v>
      </c>
      <c r="M338" s="90"/>
      <c r="N338" s="90">
        <v>521</v>
      </c>
    </row>
    <row r="339" spans="2:14" x14ac:dyDescent="0.3">
      <c r="B339" s="58" t="s">
        <v>393</v>
      </c>
      <c r="C339" s="60">
        <v>31315</v>
      </c>
      <c r="D339" s="49">
        <f t="shared" si="8"/>
        <v>9.1846600064453554E-3</v>
      </c>
      <c r="J339" s="58" t="s">
        <v>1926</v>
      </c>
      <c r="K339" s="60">
        <v>9894.85</v>
      </c>
      <c r="L339" s="63" t="s">
        <v>876</v>
      </c>
      <c r="M339" s="90"/>
      <c r="N339" s="90">
        <v>280</v>
      </c>
    </row>
    <row r="340" spans="2:14" x14ac:dyDescent="0.3">
      <c r="B340" s="58" t="s">
        <v>394</v>
      </c>
      <c r="C340" s="60">
        <v>31030</v>
      </c>
      <c r="D340" s="49">
        <f t="shared" si="8"/>
        <v>7.4632034632034605E-2</v>
      </c>
      <c r="J340" s="58" t="s">
        <v>1927</v>
      </c>
      <c r="K340" s="60">
        <v>9789.4</v>
      </c>
      <c r="L340" s="63" t="s">
        <v>877</v>
      </c>
      <c r="M340" s="90"/>
      <c r="N340" s="90">
        <v>346</v>
      </c>
    </row>
    <row r="341" spans="2:14" x14ac:dyDescent="0.3">
      <c r="B341" s="58" t="s">
        <v>395</v>
      </c>
      <c r="C341" s="60">
        <v>28875</v>
      </c>
      <c r="D341" s="49">
        <f t="shared" si="8"/>
        <v>-2.4822695035460973E-2</v>
      </c>
      <c r="J341" s="58" t="s">
        <v>1928</v>
      </c>
      <c r="K341" s="60">
        <v>9865.6</v>
      </c>
      <c r="L341" s="63" t="s">
        <v>878</v>
      </c>
      <c r="M341" s="90"/>
      <c r="N341" s="90">
        <v>12</v>
      </c>
    </row>
    <row r="342" spans="2:14" x14ac:dyDescent="0.3">
      <c r="B342" s="58">
        <v>45875</v>
      </c>
      <c r="C342" s="60">
        <v>29610</v>
      </c>
      <c r="D342" s="49">
        <f t="shared" si="8"/>
        <v>3.3783783783780663E-4</v>
      </c>
      <c r="J342" s="58" t="s">
        <v>1929</v>
      </c>
      <c r="K342" s="60">
        <v>9890.35</v>
      </c>
      <c r="L342" s="63" t="s">
        <v>879</v>
      </c>
      <c r="M342" s="90"/>
      <c r="N342" s="90">
        <v>283</v>
      </c>
    </row>
    <row r="343" spans="2:14" x14ac:dyDescent="0.3">
      <c r="B343" s="58">
        <v>45663</v>
      </c>
      <c r="C343" s="60">
        <v>29600</v>
      </c>
      <c r="D343" s="49">
        <f t="shared" si="8"/>
        <v>1.6894745734075123E-4</v>
      </c>
      <c r="J343" s="58" t="s">
        <v>1930</v>
      </c>
      <c r="K343" s="60">
        <v>9709.1</v>
      </c>
      <c r="L343" s="63" t="s">
        <v>880</v>
      </c>
      <c r="M343" s="90"/>
      <c r="N343" s="90">
        <v>368</v>
      </c>
    </row>
    <row r="344" spans="2:14" x14ac:dyDescent="0.3">
      <c r="B344" s="58" t="s">
        <v>396</v>
      </c>
      <c r="C344" s="60">
        <v>29595</v>
      </c>
      <c r="D344" s="49">
        <f t="shared" si="8"/>
        <v>-6.0327036037466253E-2</v>
      </c>
      <c r="J344" s="58" t="s">
        <v>1931</v>
      </c>
      <c r="K344" s="60">
        <v>9614.1</v>
      </c>
      <c r="L344" s="63" t="s">
        <v>881</v>
      </c>
      <c r="M344" s="90"/>
      <c r="N344" s="90">
        <v>161</v>
      </c>
    </row>
    <row r="345" spans="2:14" x14ac:dyDescent="0.3">
      <c r="B345" s="58" t="s">
        <v>397</v>
      </c>
      <c r="C345" s="60">
        <v>31495</v>
      </c>
      <c r="D345" s="49">
        <f t="shared" si="8"/>
        <v>-3.7956666139490336E-3</v>
      </c>
      <c r="J345" s="58" t="s">
        <v>1932</v>
      </c>
      <c r="K345" s="60">
        <v>9660.65</v>
      </c>
      <c r="L345" s="63" t="s">
        <v>882</v>
      </c>
      <c r="M345" s="90"/>
      <c r="N345" s="90">
        <v>171</v>
      </c>
    </row>
    <row r="346" spans="2:14" x14ac:dyDescent="0.3">
      <c r="B346" s="58">
        <v>45966</v>
      </c>
      <c r="C346" s="60">
        <v>31615</v>
      </c>
      <c r="D346" s="49">
        <f t="shared" si="8"/>
        <v>8.1594252480328366E-2</v>
      </c>
      <c r="J346" s="58" t="s">
        <v>1933</v>
      </c>
      <c r="K346" s="60">
        <v>9551.5</v>
      </c>
      <c r="L346" s="63" t="s">
        <v>883</v>
      </c>
      <c r="M346" s="90"/>
      <c r="N346" s="90">
        <v>215</v>
      </c>
    </row>
    <row r="347" spans="2:14" x14ac:dyDescent="0.3">
      <c r="B347" s="58">
        <v>45752</v>
      </c>
      <c r="C347" s="60">
        <v>29230</v>
      </c>
      <c r="D347" s="49">
        <f t="shared" si="8"/>
        <v>-3.5793420828361677E-3</v>
      </c>
      <c r="J347" s="58">
        <v>45570</v>
      </c>
      <c r="K347" s="60">
        <v>9491.7000000000007</v>
      </c>
      <c r="L347" s="63" t="s">
        <v>884</v>
      </c>
      <c r="M347" s="90"/>
      <c r="N347" s="90">
        <v>205</v>
      </c>
    </row>
    <row r="348" spans="2:14" x14ac:dyDescent="0.3">
      <c r="B348" s="58" t="s">
        <v>398</v>
      </c>
      <c r="C348" s="60">
        <v>29335</v>
      </c>
      <c r="D348" s="49">
        <f t="shared" si="8"/>
        <v>-3.9456450556647038E-2</v>
      </c>
      <c r="J348" s="58">
        <v>45540</v>
      </c>
      <c r="K348" s="60">
        <v>9446.1</v>
      </c>
      <c r="L348" s="63" t="s">
        <v>885</v>
      </c>
      <c r="M348" s="90"/>
      <c r="N348" s="90">
        <v>328</v>
      </c>
    </row>
    <row r="349" spans="2:14" x14ac:dyDescent="0.3">
      <c r="B349" s="58" t="s">
        <v>399</v>
      </c>
      <c r="C349" s="60">
        <v>30540</v>
      </c>
      <c r="D349" s="49">
        <f t="shared" si="8"/>
        <v>-1.4838709677419404E-2</v>
      </c>
      <c r="J349" s="58">
        <v>45509</v>
      </c>
      <c r="K349" s="60">
        <v>9519.4</v>
      </c>
      <c r="L349" s="63" t="s">
        <v>886</v>
      </c>
      <c r="M349" s="90"/>
      <c r="N349" s="90">
        <v>392</v>
      </c>
    </row>
    <row r="350" spans="2:14" x14ac:dyDescent="0.3">
      <c r="B350" s="58" t="s">
        <v>400</v>
      </c>
      <c r="C350" s="60">
        <v>31000</v>
      </c>
      <c r="D350" s="49">
        <f t="shared" si="8"/>
        <v>2.9628387186772853E-2</v>
      </c>
      <c r="J350" s="58">
        <v>45478</v>
      </c>
      <c r="K350" s="60">
        <v>9682.4</v>
      </c>
      <c r="L350" s="63" t="s">
        <v>887</v>
      </c>
      <c r="M350" s="90"/>
      <c r="N350" s="90">
        <v>214</v>
      </c>
    </row>
    <row r="351" spans="2:14" x14ac:dyDescent="0.3">
      <c r="B351" s="58">
        <v>45812</v>
      </c>
      <c r="C351" s="60">
        <v>30107.95</v>
      </c>
      <c r="D351" s="49">
        <f t="shared" si="8"/>
        <v>-1.9109286680024096E-2</v>
      </c>
      <c r="J351" s="58">
        <v>45448</v>
      </c>
      <c r="K351" s="60">
        <v>9776.9</v>
      </c>
      <c r="L351" s="63" t="s">
        <v>888</v>
      </c>
      <c r="M351" s="90"/>
      <c r="N351" s="90">
        <v>238</v>
      </c>
    </row>
    <row r="352" spans="2:14" x14ac:dyDescent="0.3">
      <c r="B352" s="58" t="s">
        <v>401</v>
      </c>
      <c r="C352" s="60">
        <v>30694.5</v>
      </c>
      <c r="D352" s="49">
        <f t="shared" si="8"/>
        <v>6.27972048605141E-3</v>
      </c>
      <c r="J352" s="58">
        <v>45356</v>
      </c>
      <c r="K352" s="60">
        <v>9816.2999999999993</v>
      </c>
      <c r="L352" s="63" t="s">
        <v>889</v>
      </c>
      <c r="M352" s="90"/>
      <c r="N352" s="90">
        <v>517</v>
      </c>
    </row>
    <row r="353" spans="2:14" x14ac:dyDescent="0.3">
      <c r="B353" s="58" t="s">
        <v>402</v>
      </c>
      <c r="C353" s="60">
        <v>30502.95</v>
      </c>
      <c r="D353" s="49">
        <f t="shared" si="8"/>
        <v>5.2283060916122226E-2</v>
      </c>
      <c r="J353" s="58">
        <v>45327</v>
      </c>
      <c r="K353" s="60">
        <v>9983.4500000000007</v>
      </c>
      <c r="L353" s="63" t="s">
        <v>890</v>
      </c>
      <c r="M353" s="90"/>
      <c r="N353" s="90">
        <v>318</v>
      </c>
    </row>
    <row r="354" spans="2:14" x14ac:dyDescent="0.3">
      <c r="B354" s="58" t="s">
        <v>403</v>
      </c>
      <c r="C354" s="60">
        <v>28987.4</v>
      </c>
      <c r="D354" s="49">
        <f t="shared" si="8"/>
        <v>5.427320818398873E-2</v>
      </c>
      <c r="J354" s="58" t="s">
        <v>1934</v>
      </c>
      <c r="K354" s="60">
        <v>9971.85</v>
      </c>
      <c r="L354" s="63" t="s">
        <v>891</v>
      </c>
      <c r="M354" s="90"/>
      <c r="N354" s="90">
        <v>777</v>
      </c>
    </row>
    <row r="355" spans="2:14" x14ac:dyDescent="0.3">
      <c r="B355" s="58">
        <v>45903</v>
      </c>
      <c r="C355" s="60">
        <v>27495.15</v>
      </c>
      <c r="D355" s="49">
        <f t="shared" si="8"/>
        <v>-1.7511041550533846E-2</v>
      </c>
      <c r="J355" s="58" t="s">
        <v>1935</v>
      </c>
      <c r="K355" s="60">
        <v>9964.4500000000007</v>
      </c>
      <c r="L355" s="63" t="s">
        <v>892</v>
      </c>
      <c r="M355" s="90"/>
      <c r="N355" s="90">
        <v>808</v>
      </c>
    </row>
    <row r="356" spans="2:14" x14ac:dyDescent="0.3">
      <c r="B356" s="58">
        <v>45691</v>
      </c>
      <c r="C356" s="60">
        <v>27985.200000000001</v>
      </c>
      <c r="D356" s="49">
        <f t="shared" si="8"/>
        <v>2.5700043981820908E-2</v>
      </c>
      <c r="J356" s="58" t="s">
        <v>1936</v>
      </c>
      <c r="K356" s="60">
        <v>9700.9</v>
      </c>
      <c r="L356" s="63" t="s">
        <v>893</v>
      </c>
      <c r="M356" s="90"/>
      <c r="N356" s="90">
        <v>265</v>
      </c>
    </row>
    <row r="357" spans="2:14" x14ac:dyDescent="0.3">
      <c r="B357" s="58" t="s">
        <v>404</v>
      </c>
      <c r="C357" s="60">
        <v>27284</v>
      </c>
      <c r="D357" s="49">
        <f t="shared" si="8"/>
        <v>-3.9488553353728362E-2</v>
      </c>
      <c r="J357" s="58" t="s">
        <v>1937</v>
      </c>
      <c r="K357" s="60">
        <v>9683.75</v>
      </c>
      <c r="L357" s="63" t="s">
        <v>894</v>
      </c>
      <c r="M357" s="90"/>
      <c r="N357" s="90">
        <v>398</v>
      </c>
    </row>
    <row r="358" spans="2:14" x14ac:dyDescent="0.3">
      <c r="B358" s="58" t="s">
        <v>405</v>
      </c>
      <c r="C358" s="60">
        <v>28405.7</v>
      </c>
      <c r="D358" s="49">
        <f t="shared" si="8"/>
        <v>-5.2650839314259956E-3</v>
      </c>
      <c r="J358" s="58" t="s">
        <v>1938</v>
      </c>
      <c r="K358" s="60">
        <v>9658.85</v>
      </c>
      <c r="L358" s="63" t="s">
        <v>895</v>
      </c>
      <c r="M358" s="90"/>
      <c r="N358" s="90">
        <v>317</v>
      </c>
    </row>
    <row r="359" spans="2:14" x14ac:dyDescent="0.3">
      <c r="B359" s="58">
        <v>45902</v>
      </c>
      <c r="C359" s="60">
        <v>28556.05</v>
      </c>
      <c r="D359" s="49">
        <f t="shared" si="8"/>
        <v>1.0865832893791394E-2</v>
      </c>
      <c r="J359" s="58" t="s">
        <v>1939</v>
      </c>
      <c r="K359" s="60">
        <v>9533.5499999999993</v>
      </c>
      <c r="L359" s="63" t="s">
        <v>896</v>
      </c>
      <c r="M359" s="90"/>
      <c r="N359" s="90">
        <v>317</v>
      </c>
    </row>
    <row r="360" spans="2:14" x14ac:dyDescent="0.3">
      <c r="B360" s="58">
        <v>45690</v>
      </c>
      <c r="C360" s="60">
        <v>28249.1</v>
      </c>
      <c r="D360" s="49">
        <f t="shared" si="8"/>
        <v>1.6304562903161957E-2</v>
      </c>
      <c r="J360" s="58" t="s">
        <v>1940</v>
      </c>
      <c r="K360" s="60">
        <v>9565.25</v>
      </c>
      <c r="L360" s="63" t="s">
        <v>897</v>
      </c>
      <c r="M360" s="90"/>
      <c r="N360" s="90">
        <v>277</v>
      </c>
    </row>
    <row r="361" spans="2:14" x14ac:dyDescent="0.3">
      <c r="B361" s="58" t="s">
        <v>406</v>
      </c>
      <c r="C361" s="60">
        <v>27795.9</v>
      </c>
      <c r="D361" s="49">
        <f t="shared" si="8"/>
        <v>7.8064549909534042E-2</v>
      </c>
      <c r="J361" s="58" t="s">
        <v>1941</v>
      </c>
      <c r="K361" s="60">
        <v>9363.9500000000007</v>
      </c>
      <c r="L361" s="63" t="s">
        <v>898</v>
      </c>
      <c r="M361" s="90"/>
      <c r="N361" s="90">
        <v>415</v>
      </c>
    </row>
    <row r="362" spans="2:14" x14ac:dyDescent="0.3">
      <c r="B362" s="58" t="s">
        <v>407</v>
      </c>
      <c r="C362" s="60">
        <v>25783.15</v>
      </c>
      <c r="D362" s="49">
        <f t="shared" si="8"/>
        <v>1.8474883914763485E-2</v>
      </c>
      <c r="J362" s="58" t="s">
        <v>1942</v>
      </c>
      <c r="K362" s="60">
        <v>9382.75</v>
      </c>
      <c r="L362" s="63" t="s">
        <v>899</v>
      </c>
      <c r="M362" s="90"/>
      <c r="N362" s="90">
        <v>584</v>
      </c>
    </row>
    <row r="363" spans="2:14" x14ac:dyDescent="0.3">
      <c r="B363" s="58">
        <v>45992</v>
      </c>
      <c r="C363" s="60">
        <v>25315.45</v>
      </c>
      <c r="D363" s="49">
        <f t="shared" si="8"/>
        <v>-1.6428823970503048E-2</v>
      </c>
      <c r="J363" s="58" t="s">
        <v>1943</v>
      </c>
      <c r="K363" s="60">
        <v>9463.7999999999993</v>
      </c>
      <c r="L363" s="63" t="s">
        <v>900</v>
      </c>
      <c r="M363" s="90"/>
      <c r="N363" s="90">
        <v>547</v>
      </c>
    </row>
    <row r="364" spans="2:14" x14ac:dyDescent="0.3">
      <c r="B364" s="58">
        <v>45778</v>
      </c>
      <c r="C364" s="60">
        <v>25738.3</v>
      </c>
      <c r="D364" s="49">
        <f t="shared" si="8"/>
        <v>-1.3716530152799722E-2</v>
      </c>
      <c r="J364" s="58" t="s">
        <v>1944</v>
      </c>
      <c r="K364" s="60">
        <v>9506.25</v>
      </c>
      <c r="L364" s="63" t="s">
        <v>901</v>
      </c>
      <c r="M364" s="90"/>
      <c r="N364" s="90">
        <v>220</v>
      </c>
    </row>
    <row r="365" spans="2:14" x14ac:dyDescent="0.3">
      <c r="B365" s="58" t="s">
        <v>371</v>
      </c>
      <c r="C365" s="60">
        <v>26096.25</v>
      </c>
      <c r="D365" s="49">
        <f t="shared" si="8"/>
        <v>1.81388920879888E-3</v>
      </c>
      <c r="J365" s="58">
        <v>45630</v>
      </c>
      <c r="K365" s="60">
        <v>9652.5499999999993</v>
      </c>
      <c r="L365" s="63" t="s">
        <v>902</v>
      </c>
      <c r="M365" s="90"/>
      <c r="N365" s="90">
        <v>440</v>
      </c>
    </row>
    <row r="366" spans="2:14" x14ac:dyDescent="0.3">
      <c r="B366" s="58" t="s">
        <v>372</v>
      </c>
      <c r="C366" s="60">
        <v>26049</v>
      </c>
      <c r="D366" s="49">
        <f t="shared" si="8"/>
        <v>-3.7485912760729434E-2</v>
      </c>
      <c r="J366" s="58">
        <v>45569</v>
      </c>
      <c r="K366" s="60">
        <v>9817.85</v>
      </c>
      <c r="L366" s="63" t="s">
        <v>903</v>
      </c>
      <c r="M366" s="90"/>
      <c r="N366" s="90">
        <v>186</v>
      </c>
    </row>
    <row r="367" spans="2:14" x14ac:dyDescent="0.3">
      <c r="B367" s="58" t="s">
        <v>373</v>
      </c>
      <c r="C367" s="60">
        <v>27063.5</v>
      </c>
      <c r="D367" s="49">
        <f t="shared" si="8"/>
        <v>-1.913455073945014E-2</v>
      </c>
      <c r="J367" s="58">
        <v>45539</v>
      </c>
      <c r="K367" s="60">
        <v>9769.15</v>
      </c>
      <c r="L367" s="63" t="s">
        <v>904</v>
      </c>
      <c r="M367" s="90"/>
      <c r="N367" s="90">
        <v>275</v>
      </c>
    </row>
    <row r="368" spans="2:14" x14ac:dyDescent="0.3">
      <c r="B368" s="58">
        <v>45516</v>
      </c>
      <c r="C368" s="60">
        <v>27591.45</v>
      </c>
      <c r="D368" s="49">
        <f t="shared" si="8"/>
        <v>1.9012691747317234E-2</v>
      </c>
      <c r="J368" s="58">
        <v>45508</v>
      </c>
      <c r="K368" s="60">
        <v>9863.75</v>
      </c>
      <c r="L368" s="63" t="s">
        <v>905</v>
      </c>
      <c r="M368" s="90"/>
      <c r="N368" s="90">
        <v>215</v>
      </c>
    </row>
    <row r="369" spans="2:14" x14ac:dyDescent="0.3">
      <c r="B369" s="58">
        <v>45303</v>
      </c>
      <c r="C369" s="60">
        <v>27076.65</v>
      </c>
      <c r="D369" s="49">
        <f t="shared" si="8"/>
        <v>3.8356448059456039E-2</v>
      </c>
      <c r="J369" s="58">
        <v>45416</v>
      </c>
      <c r="K369" s="60">
        <v>9823.6</v>
      </c>
      <c r="L369" s="63" t="s">
        <v>906</v>
      </c>
      <c r="M369" s="90"/>
      <c r="N369" s="90">
        <v>280</v>
      </c>
    </row>
    <row r="370" spans="2:14" x14ac:dyDescent="0.3">
      <c r="B370" s="58" t="s">
        <v>374</v>
      </c>
      <c r="C370" s="60">
        <v>26076.45</v>
      </c>
      <c r="D370" s="49">
        <f t="shared" si="8"/>
        <v>5.1692394559332167E-2</v>
      </c>
      <c r="J370" s="58">
        <v>45386</v>
      </c>
      <c r="K370" s="60">
        <v>10005.1</v>
      </c>
      <c r="L370" s="63" t="s">
        <v>907</v>
      </c>
      <c r="M370" s="90"/>
      <c r="N370" s="90">
        <v>346</v>
      </c>
    </row>
    <row r="371" spans="2:14" x14ac:dyDescent="0.3">
      <c r="B371" s="58" t="s">
        <v>375</v>
      </c>
      <c r="C371" s="60">
        <v>24794.75</v>
      </c>
      <c r="D371" s="49">
        <f t="shared" si="8"/>
        <v>2.9182249488413081E-2</v>
      </c>
      <c r="J371" s="58">
        <v>45355</v>
      </c>
      <c r="K371" s="60">
        <v>10001.9</v>
      </c>
      <c r="L371" s="63" t="s">
        <v>908</v>
      </c>
      <c r="M371" s="90"/>
      <c r="N371" s="90">
        <v>481</v>
      </c>
    </row>
    <row r="372" spans="2:14" x14ac:dyDescent="0.3">
      <c r="B372" s="58">
        <v>45576</v>
      </c>
      <c r="C372" s="60">
        <v>24091.7</v>
      </c>
      <c r="D372" s="49">
        <f t="shared" si="8"/>
        <v>-1.7988016141523677E-2</v>
      </c>
      <c r="J372" s="58">
        <v>45326</v>
      </c>
      <c r="K372" s="60">
        <v>10038.15</v>
      </c>
      <c r="L372" s="63" t="s">
        <v>909</v>
      </c>
      <c r="M372" s="90"/>
      <c r="N372" s="90">
        <v>307</v>
      </c>
    </row>
    <row r="373" spans="2:14" x14ac:dyDescent="0.3">
      <c r="B373" s="58">
        <v>45362</v>
      </c>
      <c r="C373" s="60">
        <v>24533</v>
      </c>
      <c r="D373" s="49">
        <f t="shared" si="8"/>
        <v>-2.805152717497883E-2</v>
      </c>
      <c r="J373" s="58">
        <v>45295</v>
      </c>
      <c r="K373" s="60">
        <v>9954.4</v>
      </c>
      <c r="L373" s="63" t="s">
        <v>910</v>
      </c>
      <c r="M373" s="90"/>
      <c r="N373" s="90">
        <v>387</v>
      </c>
    </row>
    <row r="374" spans="2:14" x14ac:dyDescent="0.3">
      <c r="B374" s="58" t="s">
        <v>376</v>
      </c>
      <c r="C374" s="60">
        <v>25241.05</v>
      </c>
      <c r="D374" s="49">
        <f t="shared" si="8"/>
        <v>1.1389681369406324E-2</v>
      </c>
      <c r="J374" s="58" t="s">
        <v>1945</v>
      </c>
      <c r="K374" s="60">
        <v>9749.15</v>
      </c>
      <c r="L374" s="63" t="s">
        <v>911</v>
      </c>
      <c r="M374" s="90"/>
      <c r="N374" s="90">
        <v>506</v>
      </c>
    </row>
    <row r="375" spans="2:14" x14ac:dyDescent="0.3">
      <c r="B375" s="58" t="s">
        <v>377</v>
      </c>
      <c r="C375" s="60">
        <v>24956.799999999999</v>
      </c>
      <c r="D375" s="49">
        <f t="shared" si="8"/>
        <v>2.5962734195948522E-2</v>
      </c>
      <c r="J375" s="58" t="s">
        <v>1946</v>
      </c>
      <c r="K375" s="60">
        <v>9623.4500000000007</v>
      </c>
      <c r="L375" s="63" t="s">
        <v>912</v>
      </c>
      <c r="M375" s="90"/>
      <c r="N375" s="90">
        <v>267</v>
      </c>
    </row>
    <row r="376" spans="2:14" x14ac:dyDescent="0.3">
      <c r="B376" s="58" t="s">
        <v>378</v>
      </c>
      <c r="C376" s="60">
        <v>24325.25</v>
      </c>
      <c r="D376" s="49">
        <f t="shared" si="8"/>
        <v>-4.8485744985526935E-4</v>
      </c>
      <c r="J376" s="58" t="s">
        <v>1947</v>
      </c>
      <c r="K376" s="60">
        <v>9600.7000000000007</v>
      </c>
      <c r="L376" s="63" t="s">
        <v>913</v>
      </c>
      <c r="M376" s="90"/>
      <c r="N376" s="90">
        <v>397</v>
      </c>
    </row>
    <row r="377" spans="2:14" x14ac:dyDescent="0.3">
      <c r="B377" s="58">
        <v>45453</v>
      </c>
      <c r="C377" s="60">
        <v>24337.05</v>
      </c>
      <c r="D377" s="49">
        <f t="shared" si="8"/>
        <v>-6.5189251062064524E-2</v>
      </c>
      <c r="J377" s="58" t="s">
        <v>1948</v>
      </c>
      <c r="K377" s="60">
        <v>9681.75</v>
      </c>
      <c r="L377" s="63" t="s">
        <v>914</v>
      </c>
      <c r="M377" s="90"/>
      <c r="N377" s="90">
        <v>224</v>
      </c>
    </row>
    <row r="378" spans="2:14" x14ac:dyDescent="0.3">
      <c r="B378" s="58" t="s">
        <v>408</v>
      </c>
      <c r="C378" s="60">
        <v>26034.2</v>
      </c>
      <c r="D378" s="49">
        <f t="shared" si="8"/>
        <v>-8.1416037092491012E-3</v>
      </c>
      <c r="J378" s="58" t="s">
        <v>1949</v>
      </c>
      <c r="K378" s="60">
        <v>9600.75</v>
      </c>
      <c r="L378" s="63" t="s">
        <v>915</v>
      </c>
      <c r="M378" s="90"/>
      <c r="N378" s="90">
        <v>215</v>
      </c>
    </row>
    <row r="379" spans="2:14" x14ac:dyDescent="0.3">
      <c r="B379" s="58" t="s">
        <v>409</v>
      </c>
      <c r="C379" s="60">
        <v>26247.9</v>
      </c>
      <c r="D379" s="49">
        <f t="shared" si="8"/>
        <v>4.3998615845388445E-2</v>
      </c>
      <c r="J379" s="58" t="s">
        <v>1950</v>
      </c>
      <c r="K379" s="60">
        <v>9484.5499999999993</v>
      </c>
      <c r="L379" s="63" t="s">
        <v>916</v>
      </c>
      <c r="M379" s="90"/>
      <c r="N379" s="90">
        <v>171</v>
      </c>
    </row>
    <row r="380" spans="2:14" x14ac:dyDescent="0.3">
      <c r="B380" s="58" t="s">
        <v>410</v>
      </c>
      <c r="C380" s="60">
        <v>25141.7</v>
      </c>
      <c r="D380" s="49">
        <f t="shared" si="8"/>
        <v>-2.8644173225000014E-2</v>
      </c>
      <c r="J380" s="58" t="s">
        <v>1951</v>
      </c>
      <c r="K380" s="60">
        <v>9453.25</v>
      </c>
      <c r="L380" s="63" t="s">
        <v>917</v>
      </c>
      <c r="M380" s="90"/>
      <c r="N380" s="90">
        <v>316</v>
      </c>
    </row>
    <row r="381" spans="2:14" x14ac:dyDescent="0.3">
      <c r="B381" s="58">
        <v>45513</v>
      </c>
      <c r="C381" s="60">
        <v>25883.1</v>
      </c>
      <c r="D381" s="49">
        <f t="shared" si="8"/>
        <v>1.0646044876212457E-2</v>
      </c>
      <c r="J381" s="58" t="s">
        <v>1952</v>
      </c>
      <c r="K381" s="60">
        <v>9611.35</v>
      </c>
      <c r="L381" s="63" t="s">
        <v>918</v>
      </c>
      <c r="M381" s="90"/>
      <c r="N381" s="90">
        <v>226</v>
      </c>
    </row>
    <row r="382" spans="2:14" x14ac:dyDescent="0.3">
      <c r="B382" s="58">
        <v>45300</v>
      </c>
      <c r="C382" s="60">
        <v>25610.45</v>
      </c>
      <c r="D382" s="49">
        <f t="shared" si="8"/>
        <v>5.0408131229888742E-3</v>
      </c>
      <c r="J382" s="58" t="s">
        <v>1953</v>
      </c>
      <c r="K382" s="60">
        <v>9632.9500000000007</v>
      </c>
      <c r="L382" s="63" t="s">
        <v>919</v>
      </c>
      <c r="M382" s="90"/>
      <c r="N382" s="90">
        <v>379</v>
      </c>
    </row>
    <row r="383" spans="2:14" x14ac:dyDescent="0.3">
      <c r="B383" s="58" t="s">
        <v>411</v>
      </c>
      <c r="C383" s="60">
        <v>25482</v>
      </c>
      <c r="D383" s="49">
        <f t="shared" si="8"/>
        <v>3.1407286879124863E-2</v>
      </c>
      <c r="J383" s="58" t="s">
        <v>1954</v>
      </c>
      <c r="K383" s="60">
        <v>9696.9500000000007</v>
      </c>
      <c r="L383" s="63" t="s">
        <v>920</v>
      </c>
      <c r="M383" s="90"/>
      <c r="N383" s="90">
        <v>347</v>
      </c>
    </row>
    <row r="384" spans="2:14" x14ac:dyDescent="0.3">
      <c r="B384" s="58" t="s">
        <v>412</v>
      </c>
      <c r="C384" s="60">
        <v>24706.05</v>
      </c>
      <c r="D384" s="49">
        <f t="shared" si="8"/>
        <v>2.5646384245328058E-3</v>
      </c>
      <c r="J384" s="58" t="s">
        <v>1955</v>
      </c>
      <c r="K384" s="60">
        <v>9593.5499999999993</v>
      </c>
      <c r="L384" s="63" t="s">
        <v>921</v>
      </c>
      <c r="M384" s="90"/>
      <c r="N384" s="90">
        <v>415</v>
      </c>
    </row>
    <row r="385" spans="2:14" x14ac:dyDescent="0.3">
      <c r="B385" s="58">
        <v>45604</v>
      </c>
      <c r="C385" s="60">
        <v>24642.85</v>
      </c>
      <c r="D385" s="49">
        <f t="shared" si="8"/>
        <v>1.4250965155618411E-2</v>
      </c>
      <c r="J385" s="58">
        <v>45629</v>
      </c>
      <c r="K385" s="60">
        <v>9615.5</v>
      </c>
      <c r="L385" s="63" t="s">
        <v>922</v>
      </c>
      <c r="M385" s="90"/>
      <c r="N385" s="90">
        <v>235</v>
      </c>
    </row>
    <row r="386" spans="2:14" x14ac:dyDescent="0.3">
      <c r="B386" s="58">
        <v>45390</v>
      </c>
      <c r="C386" s="60">
        <v>24296.6</v>
      </c>
      <c r="D386" s="49">
        <f t="shared" si="8"/>
        <v>-0.10986303527890284</v>
      </c>
      <c r="J386" s="58">
        <v>45599</v>
      </c>
      <c r="K386" s="60">
        <v>9697.9</v>
      </c>
      <c r="L386" s="63" t="s">
        <v>923</v>
      </c>
      <c r="M386" s="90"/>
      <c r="N386" s="90">
        <v>319</v>
      </c>
    </row>
    <row r="387" spans="2:14" x14ac:dyDescent="0.3">
      <c r="B387" s="58" t="s">
        <v>413</v>
      </c>
      <c r="C387" s="60">
        <v>27295.35</v>
      </c>
      <c r="D387" s="49">
        <f t="shared" si="8"/>
        <v>-9.8451939383497056E-3</v>
      </c>
      <c r="J387" s="58">
        <v>45476</v>
      </c>
      <c r="K387" s="60">
        <v>9673.15</v>
      </c>
      <c r="L387" s="63" t="s">
        <v>924</v>
      </c>
      <c r="M387" s="90"/>
      <c r="N387" s="90">
        <v>585</v>
      </c>
    </row>
    <row r="388" spans="2:14" x14ac:dyDescent="0.3">
      <c r="B388" s="58" t="s">
        <v>414</v>
      </c>
      <c r="C388" s="60">
        <v>27566.75</v>
      </c>
      <c r="D388" s="49">
        <f t="shared" si="8"/>
        <v>1.0357661865955103E-2</v>
      </c>
      <c r="J388" s="58">
        <v>45446</v>
      </c>
      <c r="K388" s="60">
        <v>9641.0499999999993</v>
      </c>
      <c r="L388" s="63" t="s">
        <v>925</v>
      </c>
      <c r="M388" s="90"/>
      <c r="N388" s="90">
        <v>534</v>
      </c>
    </row>
    <row r="389" spans="2:14" x14ac:dyDescent="0.3">
      <c r="B389" s="58" t="s">
        <v>415</v>
      </c>
      <c r="C389" s="60">
        <v>27284.15</v>
      </c>
      <c r="D389" s="49">
        <f t="shared" si="8"/>
        <v>-1.3784316206104985E-2</v>
      </c>
      <c r="J389" s="58">
        <v>45415</v>
      </c>
      <c r="K389" s="60">
        <v>9838.35</v>
      </c>
      <c r="L389" s="63" t="s">
        <v>926</v>
      </c>
      <c r="M389" s="90"/>
      <c r="N389" s="90">
        <v>310</v>
      </c>
    </row>
    <row r="390" spans="2:14" x14ac:dyDescent="0.3">
      <c r="B390" s="58">
        <v>45480</v>
      </c>
      <c r="C390" s="60">
        <v>27665.5</v>
      </c>
      <c r="D390" s="49">
        <f t="shared" si="8"/>
        <v>4.9693592505275497E-3</v>
      </c>
      <c r="J390" s="58">
        <v>45385</v>
      </c>
      <c r="K390" s="60">
        <v>9978.4</v>
      </c>
      <c r="L390" s="63" t="s">
        <v>927</v>
      </c>
      <c r="M390" s="90"/>
      <c r="N390" s="90">
        <v>221</v>
      </c>
    </row>
    <row r="391" spans="2:14" x14ac:dyDescent="0.3">
      <c r="B391" s="58" t="s">
        <v>416</v>
      </c>
      <c r="C391" s="60">
        <v>27528.7</v>
      </c>
      <c r="D391" s="49">
        <f t="shared" si="8"/>
        <v>-1.2260319191687241E-2</v>
      </c>
      <c r="J391" s="58">
        <v>45325</v>
      </c>
      <c r="K391" s="60">
        <v>10106.35</v>
      </c>
      <c r="L391" s="63" t="s">
        <v>928</v>
      </c>
      <c r="M391" s="90"/>
      <c r="N391" s="90">
        <v>6</v>
      </c>
    </row>
    <row r="392" spans="2:14" x14ac:dyDescent="0.3">
      <c r="B392" s="58" t="s">
        <v>417</v>
      </c>
      <c r="C392" s="60">
        <v>27870.400000000001</v>
      </c>
      <c r="D392" s="49">
        <f t="shared" si="8"/>
        <v>1.7026835694319953E-2</v>
      </c>
      <c r="J392" s="58">
        <v>45294</v>
      </c>
      <c r="K392" s="60">
        <v>10135.5</v>
      </c>
      <c r="L392" s="63" t="s">
        <v>929</v>
      </c>
      <c r="M392" s="90"/>
      <c r="N392" s="90">
        <v>352</v>
      </c>
    </row>
    <row r="393" spans="2:14" x14ac:dyDescent="0.3">
      <c r="B393" s="58" t="s">
        <v>418</v>
      </c>
      <c r="C393" s="60">
        <v>27403.8</v>
      </c>
      <c r="D393" s="49">
        <f t="shared" si="8"/>
        <v>-4.8732660323915766E-3</v>
      </c>
      <c r="J393" s="58" t="s">
        <v>1956</v>
      </c>
      <c r="K393" s="60">
        <v>9892.4</v>
      </c>
      <c r="L393" s="63" t="s">
        <v>930</v>
      </c>
      <c r="M393" s="90"/>
      <c r="N393" s="90">
        <v>328</v>
      </c>
    </row>
    <row r="394" spans="2:14" x14ac:dyDescent="0.3">
      <c r="B394" s="58">
        <v>45541</v>
      </c>
      <c r="C394" s="60">
        <v>27538</v>
      </c>
      <c r="D394" s="49">
        <f t="shared" ref="D394:D431" si="9">(C394/C395)-1</f>
        <v>5.6006135557473025E-2</v>
      </c>
      <c r="J394" s="58" t="s">
        <v>1957</v>
      </c>
      <c r="K394" s="60">
        <v>9804.9500000000007</v>
      </c>
      <c r="L394" s="63" t="s">
        <v>931</v>
      </c>
      <c r="M394" s="90"/>
      <c r="N394" s="90">
        <v>300</v>
      </c>
    </row>
    <row r="395" spans="2:14" x14ac:dyDescent="0.3">
      <c r="B395" s="58">
        <v>45328</v>
      </c>
      <c r="C395" s="60">
        <v>26077.5</v>
      </c>
      <c r="D395" s="49">
        <f t="shared" si="9"/>
        <v>5.659911023232822E-2</v>
      </c>
      <c r="J395" s="58" t="s">
        <v>1958</v>
      </c>
      <c r="K395" s="60">
        <v>9951.1</v>
      </c>
      <c r="L395" s="63" t="s">
        <v>932</v>
      </c>
      <c r="M395" s="90"/>
      <c r="N395" s="90">
        <v>214</v>
      </c>
    </row>
    <row r="396" spans="2:14" x14ac:dyDescent="0.3">
      <c r="B396" s="58" t="s">
        <v>419</v>
      </c>
      <c r="C396" s="60">
        <v>24680.6</v>
      </c>
      <c r="D396" s="49">
        <f t="shared" si="9"/>
        <v>-3.0477541055410451E-2</v>
      </c>
      <c r="J396" s="58" t="s">
        <v>1959</v>
      </c>
      <c r="K396" s="60">
        <v>9930.0499999999993</v>
      </c>
      <c r="L396" s="63" t="s">
        <v>933</v>
      </c>
      <c r="M396" s="90"/>
      <c r="N396" s="90">
        <v>162</v>
      </c>
    </row>
    <row r="397" spans="2:14" x14ac:dyDescent="0.3">
      <c r="B397" s="58" t="s">
        <v>420</v>
      </c>
      <c r="C397" s="60">
        <v>25456.45</v>
      </c>
      <c r="D397" s="49">
        <f t="shared" si="9"/>
        <v>-3.2287556356392799E-2</v>
      </c>
      <c r="J397" s="58" t="s">
        <v>1960</v>
      </c>
      <c r="K397" s="60">
        <v>10000.9</v>
      </c>
      <c r="L397" s="63" t="s">
        <v>934</v>
      </c>
      <c r="M397" s="90"/>
      <c r="N397" s="90">
        <v>304</v>
      </c>
    </row>
    <row r="398" spans="2:14" x14ac:dyDescent="0.3">
      <c r="B398" s="58">
        <v>45631</v>
      </c>
      <c r="C398" s="60">
        <v>26305.8</v>
      </c>
      <c r="D398" s="49">
        <f t="shared" si="9"/>
        <v>2.5117638462662573E-2</v>
      </c>
      <c r="J398" s="58" t="s">
        <v>1961</v>
      </c>
      <c r="K398" s="60">
        <v>9961.2000000000007</v>
      </c>
      <c r="L398" s="63" t="s">
        <v>935</v>
      </c>
      <c r="M398" s="90"/>
      <c r="N398" s="90">
        <v>363</v>
      </c>
    </row>
    <row r="399" spans="2:14" x14ac:dyDescent="0.3">
      <c r="B399" s="58">
        <v>45417</v>
      </c>
      <c r="C399" s="60">
        <v>25661.25</v>
      </c>
      <c r="D399" s="49">
        <f t="shared" si="9"/>
        <v>-3.3130652456347942E-3</v>
      </c>
      <c r="J399" s="58" t="s">
        <v>1962</v>
      </c>
      <c r="K399" s="60">
        <v>9968.4</v>
      </c>
      <c r="L399" s="63" t="s">
        <v>936</v>
      </c>
      <c r="M399" s="90"/>
      <c r="N399" s="90">
        <v>322</v>
      </c>
    </row>
    <row r="400" spans="2:14" x14ac:dyDescent="0.3">
      <c r="B400" s="58" t="s">
        <v>421</v>
      </c>
      <c r="C400" s="60">
        <v>25746.55</v>
      </c>
      <c r="D400" s="49">
        <f t="shared" si="9"/>
        <v>6.6529276526998249E-2</v>
      </c>
      <c r="J400" s="58" t="s">
        <v>1963</v>
      </c>
      <c r="K400" s="60">
        <v>9978.9500000000007</v>
      </c>
      <c r="L400" s="63" t="s">
        <v>937</v>
      </c>
      <c r="M400" s="90"/>
      <c r="N400" s="90">
        <v>320</v>
      </c>
    </row>
    <row r="401" spans="2:14" x14ac:dyDescent="0.3">
      <c r="B401" s="58" t="s">
        <v>422</v>
      </c>
      <c r="C401" s="60">
        <v>24140.5</v>
      </c>
      <c r="D401" s="49">
        <f t="shared" si="9"/>
        <v>-9.3665042318543668E-3</v>
      </c>
      <c r="J401" s="58" t="s">
        <v>1964</v>
      </c>
      <c r="K401" s="60">
        <v>9902.2000000000007</v>
      </c>
      <c r="L401" s="63" t="s">
        <v>938</v>
      </c>
      <c r="M401" s="90"/>
      <c r="N401" s="90">
        <v>109</v>
      </c>
    </row>
    <row r="402" spans="2:14" x14ac:dyDescent="0.3">
      <c r="B402" s="58" t="s">
        <v>423</v>
      </c>
      <c r="C402" s="60">
        <v>24368.75</v>
      </c>
      <c r="D402" s="49">
        <f t="shared" si="9"/>
        <v>-4.4030967610327543E-2</v>
      </c>
      <c r="J402" s="58" t="s">
        <v>1965</v>
      </c>
      <c r="K402" s="60">
        <v>9916.2000000000007</v>
      </c>
      <c r="L402" s="63" t="s">
        <v>939</v>
      </c>
      <c r="M402" s="90"/>
      <c r="N402" s="90">
        <v>250</v>
      </c>
    </row>
    <row r="403" spans="2:14" x14ac:dyDescent="0.3">
      <c r="B403" s="58">
        <v>45477</v>
      </c>
      <c r="C403" s="60">
        <v>25491.15</v>
      </c>
      <c r="D403" s="49">
        <f t="shared" si="9"/>
        <v>-1.2393916558993023E-2</v>
      </c>
      <c r="J403" s="58" t="s">
        <v>1966</v>
      </c>
      <c r="K403" s="60">
        <v>9814.2999999999993</v>
      </c>
      <c r="L403" s="63" t="s">
        <v>940</v>
      </c>
      <c r="M403" s="90"/>
      <c r="N403" s="90">
        <v>415</v>
      </c>
    </row>
    <row r="404" spans="2:14" x14ac:dyDescent="0.3">
      <c r="B404" s="58" t="s">
        <v>424</v>
      </c>
      <c r="C404" s="60">
        <v>25811.05</v>
      </c>
      <c r="D404" s="49">
        <f t="shared" si="9"/>
        <v>4.9916578572861692E-3</v>
      </c>
      <c r="J404" s="58" t="s">
        <v>1967</v>
      </c>
      <c r="K404" s="60">
        <v>9787.7999999999993</v>
      </c>
      <c r="L404" s="63" t="s">
        <v>941</v>
      </c>
      <c r="M404" s="90"/>
      <c r="N404" s="90">
        <v>417</v>
      </c>
    </row>
    <row r="405" spans="2:14" x14ac:dyDescent="0.3">
      <c r="B405" s="58" t="s">
        <v>425</v>
      </c>
      <c r="C405" s="60">
        <v>25682.85</v>
      </c>
      <c r="D405" s="49">
        <f t="shared" si="9"/>
        <v>1.2489134098529364E-2</v>
      </c>
      <c r="J405" s="58" t="s">
        <v>1968</v>
      </c>
      <c r="K405" s="60">
        <v>9852.4</v>
      </c>
      <c r="L405" s="63" t="s">
        <v>942</v>
      </c>
      <c r="M405" s="90"/>
      <c r="N405" s="90">
        <v>276</v>
      </c>
    </row>
    <row r="406" spans="2:14" x14ac:dyDescent="0.3">
      <c r="B406" s="58" t="s">
        <v>426</v>
      </c>
      <c r="C406" s="60">
        <v>25366.05</v>
      </c>
      <c r="D406" s="49">
        <f t="shared" si="9"/>
        <v>1.1790773599995141E-2</v>
      </c>
      <c r="J406" s="58">
        <v>45628</v>
      </c>
      <c r="K406" s="60">
        <v>9963.85</v>
      </c>
      <c r="L406" s="63" t="s">
        <v>943</v>
      </c>
      <c r="M406" s="90"/>
      <c r="N406" s="90">
        <v>191</v>
      </c>
    </row>
    <row r="407" spans="2:14" x14ac:dyDescent="0.3">
      <c r="B407" s="58">
        <v>45568</v>
      </c>
      <c r="C407" s="60">
        <v>25070.45</v>
      </c>
      <c r="D407" s="49">
        <f t="shared" si="9"/>
        <v>1.4755584698391777E-2</v>
      </c>
      <c r="J407" s="58">
        <v>45537</v>
      </c>
      <c r="K407" s="60">
        <v>9945.75</v>
      </c>
      <c r="L407" s="63" t="s">
        <v>944</v>
      </c>
      <c r="M407" s="90"/>
      <c r="N407" s="90">
        <v>400</v>
      </c>
    </row>
    <row r="408" spans="2:14" x14ac:dyDescent="0.3">
      <c r="B408" s="58">
        <v>45354</v>
      </c>
      <c r="C408" s="60">
        <v>24705.9</v>
      </c>
      <c r="D408" s="49">
        <f t="shared" si="9"/>
        <v>-3.6348672663020887E-2</v>
      </c>
      <c r="J408" s="58">
        <v>45506</v>
      </c>
      <c r="K408" s="60">
        <v>9997.65</v>
      </c>
      <c r="L408" s="63" t="s">
        <v>937</v>
      </c>
      <c r="M408" s="90"/>
      <c r="N408" s="90">
        <v>320</v>
      </c>
    </row>
    <row r="409" spans="2:14" x14ac:dyDescent="0.3">
      <c r="B409" s="58" t="s">
        <v>427</v>
      </c>
      <c r="C409" s="60">
        <v>25637.8</v>
      </c>
      <c r="D409" s="49">
        <f t="shared" si="9"/>
        <v>-3.2157842780104806E-2</v>
      </c>
      <c r="J409" s="58">
        <v>45475</v>
      </c>
      <c r="K409" s="60">
        <v>10226.5</v>
      </c>
      <c r="L409" s="63" t="s">
        <v>945</v>
      </c>
      <c r="M409" s="90"/>
      <c r="N409" s="90">
        <v>250</v>
      </c>
    </row>
    <row r="410" spans="2:14" x14ac:dyDescent="0.3">
      <c r="B410" s="58" t="s">
        <v>428</v>
      </c>
      <c r="C410" s="60">
        <v>26489.65</v>
      </c>
      <c r="D410" s="49">
        <f t="shared" si="9"/>
        <v>7.287626435470429E-3</v>
      </c>
      <c r="J410" s="58">
        <v>45445</v>
      </c>
      <c r="K410" s="60">
        <v>10048.75</v>
      </c>
      <c r="L410" s="63" t="s">
        <v>946</v>
      </c>
      <c r="M410" s="90"/>
      <c r="N410" s="90">
        <v>250</v>
      </c>
    </row>
    <row r="411" spans="2:14" x14ac:dyDescent="0.3">
      <c r="B411" s="58">
        <v>45598</v>
      </c>
      <c r="C411" s="60">
        <v>26298</v>
      </c>
      <c r="D411" s="49">
        <f t="shared" si="9"/>
        <v>-4.8211913818625329E-2</v>
      </c>
      <c r="J411" s="58">
        <v>45414</v>
      </c>
      <c r="K411" s="60">
        <v>9916.35</v>
      </c>
      <c r="L411" s="63" t="s">
        <v>947</v>
      </c>
      <c r="M411" s="90"/>
      <c r="N411" s="90">
        <v>162</v>
      </c>
    </row>
    <row r="412" spans="2:14" x14ac:dyDescent="0.3">
      <c r="B412" s="58">
        <v>45384</v>
      </c>
      <c r="C412" s="60">
        <v>27630.1</v>
      </c>
      <c r="D412" s="49">
        <f t="shared" si="9"/>
        <v>-2.8953800790399997E-2</v>
      </c>
      <c r="J412" s="58">
        <v>45324</v>
      </c>
      <c r="K412" s="60">
        <v>10098.549999999999</v>
      </c>
      <c r="L412" s="63" t="s">
        <v>948</v>
      </c>
      <c r="M412" s="90"/>
      <c r="N412" s="90">
        <v>334</v>
      </c>
    </row>
    <row r="413" spans="2:14" x14ac:dyDescent="0.3">
      <c r="B413" s="58" t="s">
        <v>429</v>
      </c>
      <c r="C413" s="60">
        <v>28453.95</v>
      </c>
      <c r="D413" s="49">
        <f t="shared" si="9"/>
        <v>1.8074121250286179E-2</v>
      </c>
      <c r="J413" s="58">
        <v>45293</v>
      </c>
      <c r="K413" s="60">
        <v>9922.2999999999993</v>
      </c>
      <c r="L413" s="63" t="s">
        <v>949</v>
      </c>
      <c r="M413" s="90"/>
      <c r="N413" s="90">
        <v>401</v>
      </c>
    </row>
    <row r="414" spans="2:14" x14ac:dyDescent="0.3">
      <c r="B414" s="58" t="s">
        <v>430</v>
      </c>
      <c r="C414" s="60">
        <v>27948.799999999999</v>
      </c>
      <c r="D414" s="49">
        <f t="shared" si="9"/>
        <v>4.8755136118876496E-2</v>
      </c>
      <c r="J414" s="58" t="s">
        <v>1969</v>
      </c>
      <c r="K414" s="60">
        <v>10167.35</v>
      </c>
      <c r="L414" s="63" t="s">
        <v>950</v>
      </c>
      <c r="M414" s="90"/>
      <c r="N414" s="90">
        <v>341</v>
      </c>
    </row>
    <row r="415" spans="2:14" x14ac:dyDescent="0.3">
      <c r="B415" s="58" t="s">
        <v>431</v>
      </c>
      <c r="C415" s="60">
        <v>26649.5</v>
      </c>
      <c r="D415" s="49">
        <f t="shared" si="9"/>
        <v>-8.3537992111334392E-3</v>
      </c>
      <c r="J415" s="58" t="s">
        <v>1970</v>
      </c>
      <c r="K415" s="60">
        <v>9963.6</v>
      </c>
      <c r="L415" s="63" t="s">
        <v>951</v>
      </c>
      <c r="M415" s="90"/>
      <c r="N415" s="90">
        <v>368</v>
      </c>
    </row>
    <row r="416" spans="2:14" x14ac:dyDescent="0.3">
      <c r="B416" s="58">
        <v>45474</v>
      </c>
      <c r="C416" s="60">
        <v>26874</v>
      </c>
      <c r="D416" s="49">
        <f t="shared" si="9"/>
        <v>-5.5248618784530246E-3</v>
      </c>
      <c r="J416" s="58" t="s">
        <v>1971</v>
      </c>
      <c r="K416" s="60">
        <v>10274.049999999999</v>
      </c>
      <c r="L416" s="63" t="s">
        <v>952</v>
      </c>
      <c r="M416" s="90"/>
      <c r="N416" s="90">
        <v>334</v>
      </c>
    </row>
    <row r="417" spans="2:14" x14ac:dyDescent="0.3">
      <c r="B417" s="58" t="s">
        <v>379</v>
      </c>
      <c r="C417" s="60">
        <v>27023.3</v>
      </c>
      <c r="D417" s="49">
        <f t="shared" si="9"/>
        <v>-5.6886990329211629E-2</v>
      </c>
      <c r="J417" s="58" t="s">
        <v>1972</v>
      </c>
      <c r="K417" s="60">
        <v>9969.35</v>
      </c>
      <c r="L417" s="63" t="s">
        <v>953</v>
      </c>
      <c r="M417" s="90"/>
      <c r="N417" s="90">
        <v>296</v>
      </c>
    </row>
    <row r="418" spans="2:14" x14ac:dyDescent="0.3">
      <c r="B418" s="58" t="s">
        <v>380</v>
      </c>
      <c r="C418" s="60">
        <v>28653.3</v>
      </c>
      <c r="D418" s="49">
        <f t="shared" si="9"/>
        <v>1.6559316411550951E-2</v>
      </c>
      <c r="J418" s="58" t="s">
        <v>1973</v>
      </c>
      <c r="K418" s="60">
        <v>9990.5</v>
      </c>
      <c r="L418" s="63" t="s">
        <v>954</v>
      </c>
      <c r="M418" s="90"/>
      <c r="N418" s="90">
        <v>272</v>
      </c>
    </row>
    <row r="419" spans="2:14" x14ac:dyDescent="0.3">
      <c r="B419" s="58" t="s">
        <v>381</v>
      </c>
      <c r="C419" s="60">
        <v>28186.55</v>
      </c>
      <c r="D419" s="49">
        <f t="shared" si="9"/>
        <v>-1.9901665223635234E-2</v>
      </c>
      <c r="J419" s="58" t="s">
        <v>1974</v>
      </c>
      <c r="K419" s="60">
        <v>9831</v>
      </c>
      <c r="L419" s="63" t="s">
        <v>955</v>
      </c>
      <c r="M419" s="90"/>
      <c r="N419" s="90">
        <v>580</v>
      </c>
    </row>
    <row r="420" spans="2:14" x14ac:dyDescent="0.3">
      <c r="B420" s="58">
        <v>45211</v>
      </c>
      <c r="C420" s="60">
        <v>28758.9</v>
      </c>
      <c r="D420" s="49">
        <f t="shared" si="9"/>
        <v>3.9343699460612003E-2</v>
      </c>
      <c r="J420" s="58" t="s">
        <v>1975</v>
      </c>
      <c r="K420" s="60">
        <v>9997.4</v>
      </c>
      <c r="L420" s="63" t="s">
        <v>956</v>
      </c>
      <c r="M420" s="90"/>
      <c r="N420" s="90">
        <v>138</v>
      </c>
    </row>
    <row r="421" spans="2:14" x14ac:dyDescent="0.3">
      <c r="B421" s="58">
        <v>44997</v>
      </c>
      <c r="C421" s="60">
        <v>27670.25</v>
      </c>
      <c r="D421" s="49">
        <f t="shared" si="9"/>
        <v>2.3817320375704609E-2</v>
      </c>
      <c r="J421" s="58" t="s">
        <v>1976</v>
      </c>
      <c r="K421" s="60">
        <v>10093.700000000001</v>
      </c>
      <c r="L421" s="63" t="s">
        <v>957</v>
      </c>
      <c r="M421" s="90"/>
      <c r="N421" s="90">
        <v>567</v>
      </c>
    </row>
    <row r="422" spans="2:14" x14ac:dyDescent="0.3">
      <c r="B422" s="58" t="s">
        <v>382</v>
      </c>
      <c r="C422" s="60">
        <v>27026.55</v>
      </c>
      <c r="D422" s="49">
        <f t="shared" si="9"/>
        <v>5.3855662224024492E-2</v>
      </c>
      <c r="J422" s="58" t="s">
        <v>1977</v>
      </c>
      <c r="K422" s="60">
        <v>9892.25</v>
      </c>
      <c r="L422" s="63" t="s">
        <v>958</v>
      </c>
      <c r="M422" s="90"/>
      <c r="N422" s="90">
        <v>278</v>
      </c>
    </row>
    <row r="423" spans="2:14" x14ac:dyDescent="0.3">
      <c r="B423" s="58" t="s">
        <v>383</v>
      </c>
      <c r="C423" s="60">
        <v>25645.4</v>
      </c>
      <c r="D423" s="49">
        <f t="shared" si="9"/>
        <v>-2.1160466873792805E-2</v>
      </c>
      <c r="J423" s="58" t="s">
        <v>1978</v>
      </c>
      <c r="K423" s="60">
        <v>9854.65</v>
      </c>
      <c r="L423" s="63" t="s">
        <v>959</v>
      </c>
      <c r="M423" s="90"/>
      <c r="N423" s="90">
        <v>252</v>
      </c>
    </row>
    <row r="424" spans="2:14" x14ac:dyDescent="0.3">
      <c r="B424" s="58">
        <v>45271</v>
      </c>
      <c r="C424" s="60">
        <v>26199.8</v>
      </c>
      <c r="D424" s="49">
        <f t="shared" si="9"/>
        <v>-6.0208281958381571E-3</v>
      </c>
      <c r="J424" s="58" t="s">
        <v>1979</v>
      </c>
      <c r="K424" s="60">
        <v>9969.6</v>
      </c>
      <c r="L424" s="63" t="s">
        <v>960</v>
      </c>
      <c r="M424" s="90"/>
      <c r="N424" s="90">
        <v>146</v>
      </c>
    </row>
    <row r="425" spans="2:14" x14ac:dyDescent="0.3">
      <c r="B425" s="58">
        <v>45057</v>
      </c>
      <c r="C425" s="60">
        <v>26358.5</v>
      </c>
      <c r="D425" s="49">
        <f t="shared" si="9"/>
        <v>1.5434637306248389E-2</v>
      </c>
      <c r="J425" s="58" t="s">
        <v>1980</v>
      </c>
      <c r="K425" s="60">
        <v>9954.5499999999993</v>
      </c>
      <c r="L425" s="63" t="s">
        <v>961</v>
      </c>
      <c r="M425" s="90"/>
      <c r="N425" s="90">
        <v>273</v>
      </c>
    </row>
    <row r="426" spans="2:14" x14ac:dyDescent="0.3">
      <c r="B426" s="58" t="s">
        <v>384</v>
      </c>
      <c r="C426" s="60">
        <v>25957.85</v>
      </c>
      <c r="D426" s="49">
        <f t="shared" si="9"/>
        <v>1.7376393815281554E-2</v>
      </c>
      <c r="J426" s="58">
        <v>45627</v>
      </c>
      <c r="K426" s="60">
        <v>9808.4500000000007</v>
      </c>
      <c r="L426" s="63" t="s">
        <v>962</v>
      </c>
      <c r="M426" s="90"/>
      <c r="N426" s="90">
        <v>376</v>
      </c>
    </row>
    <row r="427" spans="2:14" x14ac:dyDescent="0.3">
      <c r="B427" s="58" t="s">
        <v>385</v>
      </c>
      <c r="C427" s="60">
        <v>25514.5</v>
      </c>
      <c r="D427" s="49">
        <f t="shared" si="9"/>
        <v>-2.1857682583435123E-2</v>
      </c>
      <c r="J427" s="58">
        <v>45597</v>
      </c>
      <c r="K427" s="60">
        <v>9920.4500000000007</v>
      </c>
      <c r="L427" s="63" t="s">
        <v>963</v>
      </c>
      <c r="M427" s="90"/>
      <c r="N427" s="90">
        <v>375</v>
      </c>
    </row>
    <row r="428" spans="2:14" x14ac:dyDescent="0.3">
      <c r="B428" s="58" t="s">
        <v>386</v>
      </c>
      <c r="C428" s="60">
        <v>26084.65</v>
      </c>
      <c r="D428" s="49">
        <f t="shared" si="9"/>
        <v>-2.85462633816429E-2</v>
      </c>
      <c r="J428" s="58">
        <v>45566</v>
      </c>
      <c r="K428" s="60">
        <v>9776.2000000000007</v>
      </c>
      <c r="L428" s="63" t="s">
        <v>964</v>
      </c>
      <c r="M428" s="90"/>
      <c r="N428" s="90">
        <v>374</v>
      </c>
    </row>
    <row r="429" spans="2:14" x14ac:dyDescent="0.3">
      <c r="B429" s="58">
        <v>45148</v>
      </c>
      <c r="C429" s="60">
        <v>26851.15</v>
      </c>
      <c r="D429" s="49">
        <f t="shared" si="9"/>
        <v>4.1256822654606395E-2</v>
      </c>
      <c r="J429" s="58">
        <v>45536</v>
      </c>
      <c r="K429" s="60">
        <v>9899.1</v>
      </c>
      <c r="L429" s="63" t="s">
        <v>965</v>
      </c>
      <c r="M429" s="90"/>
      <c r="N429" s="90">
        <v>242</v>
      </c>
    </row>
    <row r="430" spans="2:14" x14ac:dyDescent="0.3">
      <c r="B430" s="58">
        <v>44936</v>
      </c>
      <c r="C430" s="60">
        <v>25787.25</v>
      </c>
      <c r="D430" s="49">
        <f t="shared" si="9"/>
        <v>1.2654623993716863E-2</v>
      </c>
      <c r="J430" s="58">
        <v>45505</v>
      </c>
      <c r="K430" s="60">
        <v>9934.5</v>
      </c>
      <c r="L430" s="63" t="s">
        <v>966</v>
      </c>
      <c r="M430" s="90"/>
      <c r="N430" s="90">
        <v>176</v>
      </c>
    </row>
    <row r="431" spans="2:14" x14ac:dyDescent="0.3">
      <c r="B431" s="58" t="s">
        <v>432</v>
      </c>
      <c r="C431" s="60">
        <v>25465</v>
      </c>
      <c r="D431" s="49">
        <f t="shared" si="9"/>
        <v>-1.8300134542805102E-2</v>
      </c>
      <c r="J431" s="58">
        <v>45413</v>
      </c>
      <c r="K431" s="60">
        <v>10016.049999999999</v>
      </c>
      <c r="L431" s="63" t="s">
        <v>967</v>
      </c>
      <c r="M431" s="90"/>
      <c r="N431" s="90">
        <v>163</v>
      </c>
    </row>
    <row r="432" spans="2:14" x14ac:dyDescent="0.3">
      <c r="B432" s="58" t="s">
        <v>433</v>
      </c>
      <c r="C432" s="60">
        <v>25939.7</v>
      </c>
      <c r="D432" s="49">
        <f>(C432/C433)-1</f>
        <v>-3.1893036752288273E-2</v>
      </c>
      <c r="J432" s="58">
        <v>45383</v>
      </c>
      <c r="K432" s="60">
        <v>10014.799999999999</v>
      </c>
      <c r="L432" s="63" t="s">
        <v>968</v>
      </c>
      <c r="M432" s="90"/>
      <c r="N432" s="90">
        <v>313</v>
      </c>
    </row>
    <row r="433" spans="2:14" ht="15" thickBot="1" x14ac:dyDescent="0.35">
      <c r="B433" s="139">
        <v>45208</v>
      </c>
      <c r="C433" s="152">
        <v>26794.25</v>
      </c>
      <c r="D433" s="153"/>
      <c r="J433" s="58">
        <v>45352</v>
      </c>
      <c r="K433" s="60">
        <v>10111.549999999999</v>
      </c>
      <c r="L433" s="63" t="s">
        <v>969</v>
      </c>
      <c r="M433" s="90"/>
      <c r="N433" s="90">
        <v>179</v>
      </c>
    </row>
    <row r="434" spans="2:14" ht="15" thickTop="1" x14ac:dyDescent="0.3">
      <c r="J434" s="58">
        <v>45323</v>
      </c>
      <c r="K434" s="60">
        <v>10204.700000000001</v>
      </c>
      <c r="L434" s="63" t="s">
        <v>970</v>
      </c>
      <c r="M434" s="90"/>
      <c r="N434" s="90">
        <v>337</v>
      </c>
    </row>
    <row r="435" spans="2:14" x14ac:dyDescent="0.3">
      <c r="B435" s="137" t="s">
        <v>438</v>
      </c>
      <c r="J435" s="58">
        <v>45292</v>
      </c>
      <c r="K435" s="60">
        <v>10464</v>
      </c>
      <c r="L435" s="63" t="s">
        <v>971</v>
      </c>
      <c r="M435" s="90"/>
      <c r="N435" s="90">
        <v>97</v>
      </c>
    </row>
    <row r="436" spans="2:14" x14ac:dyDescent="0.3">
      <c r="J436" s="58" t="s">
        <v>1981</v>
      </c>
      <c r="K436" s="60">
        <v>10503.05</v>
      </c>
      <c r="L436" s="63" t="s">
        <v>972</v>
      </c>
      <c r="M436" s="90">
        <v>2023</v>
      </c>
      <c r="N436" s="90">
        <v>243</v>
      </c>
    </row>
    <row r="437" spans="2:14" x14ac:dyDescent="0.3">
      <c r="B437" s="134" t="s">
        <v>97</v>
      </c>
      <c r="C437" s="133" t="s">
        <v>98</v>
      </c>
      <c r="D437" s="136" t="s">
        <v>99</v>
      </c>
      <c r="J437" s="58" t="s">
        <v>1982</v>
      </c>
      <c r="K437" s="60">
        <v>10426.299999999999</v>
      </c>
      <c r="L437" s="63" t="s">
        <v>973</v>
      </c>
      <c r="M437" s="90"/>
      <c r="N437" s="90">
        <v>421</v>
      </c>
    </row>
    <row r="438" spans="2:14" x14ac:dyDescent="0.3">
      <c r="B438" s="58" t="s">
        <v>387</v>
      </c>
      <c r="C438" s="60">
        <v>6680</v>
      </c>
      <c r="D438" s="49">
        <f t="shared" ref="D438:D501" si="10">(C438/C439)-1</f>
        <v>-3.8364644065356668E-2</v>
      </c>
      <c r="J438" s="58" t="s">
        <v>1983</v>
      </c>
      <c r="K438" s="60">
        <v>10436.1</v>
      </c>
      <c r="L438" s="63" t="s">
        <v>974</v>
      </c>
      <c r="M438" s="90"/>
      <c r="N438" s="90">
        <v>658</v>
      </c>
    </row>
    <row r="439" spans="2:14" x14ac:dyDescent="0.3">
      <c r="B439" s="58" t="s">
        <v>388</v>
      </c>
      <c r="C439" s="60">
        <v>6946.5</v>
      </c>
      <c r="D439" s="49">
        <f t="shared" si="10"/>
        <v>1.5421721970472202E-2</v>
      </c>
      <c r="J439" s="58" t="s">
        <v>1984</v>
      </c>
      <c r="K439" s="60">
        <v>10018.65</v>
      </c>
      <c r="L439" s="63" t="s">
        <v>975</v>
      </c>
      <c r="M439" s="90"/>
      <c r="N439" s="90">
        <v>226</v>
      </c>
    </row>
    <row r="440" spans="2:14" x14ac:dyDescent="0.3">
      <c r="B440" s="58" t="s">
        <v>389</v>
      </c>
      <c r="C440" s="60">
        <v>6841</v>
      </c>
      <c r="D440" s="49">
        <f t="shared" si="10"/>
        <v>-2.2923659215882353E-2</v>
      </c>
      <c r="J440" s="58" t="s">
        <v>1985</v>
      </c>
      <c r="K440" s="60">
        <v>9969</v>
      </c>
      <c r="L440" s="63" t="s">
        <v>976</v>
      </c>
      <c r="M440" s="90"/>
      <c r="N440" s="90">
        <v>226</v>
      </c>
    </row>
    <row r="441" spans="2:14" x14ac:dyDescent="0.3">
      <c r="B441" s="58">
        <v>45938</v>
      </c>
      <c r="C441" s="60">
        <v>7001.5</v>
      </c>
      <c r="D441" s="49">
        <f t="shared" si="10"/>
        <v>-7.0202808112324044E-3</v>
      </c>
      <c r="J441" s="58" t="s">
        <v>1986</v>
      </c>
      <c r="K441" s="60">
        <v>9954.4500000000007</v>
      </c>
      <c r="L441" s="63" t="s">
        <v>977</v>
      </c>
      <c r="M441" s="90"/>
      <c r="N441" s="90">
        <v>216</v>
      </c>
    </row>
    <row r="442" spans="2:14" x14ac:dyDescent="0.3">
      <c r="B442" s="58">
        <v>45724</v>
      </c>
      <c r="C442" s="60">
        <v>7051</v>
      </c>
      <c r="D442" s="49">
        <f t="shared" si="10"/>
        <v>5.5301953154231809E-2</v>
      </c>
      <c r="J442" s="58" t="s">
        <v>1987</v>
      </c>
      <c r="K442" s="60">
        <v>9887.4500000000007</v>
      </c>
      <c r="L442" s="63" t="s">
        <v>978</v>
      </c>
      <c r="M442" s="90"/>
      <c r="N442" s="90">
        <v>501</v>
      </c>
    </row>
    <row r="443" spans="2:14" x14ac:dyDescent="0.3">
      <c r="B443" s="58" t="s">
        <v>390</v>
      </c>
      <c r="C443" s="60">
        <v>6681.5</v>
      </c>
      <c r="D443" s="49">
        <f t="shared" si="10"/>
        <v>3.1254823275196797E-2</v>
      </c>
      <c r="J443" s="58" t="s">
        <v>1988</v>
      </c>
      <c r="K443" s="60">
        <v>10017.1</v>
      </c>
      <c r="L443" s="63" t="s">
        <v>979</v>
      </c>
      <c r="M443" s="90"/>
      <c r="N443" s="90">
        <v>675</v>
      </c>
    </row>
    <row r="444" spans="2:14" x14ac:dyDescent="0.3">
      <c r="B444" s="58" t="s">
        <v>391</v>
      </c>
      <c r="C444" s="60">
        <v>6479</v>
      </c>
      <c r="D444" s="49">
        <f t="shared" si="10"/>
        <v>-2.9239766081871066E-3</v>
      </c>
      <c r="J444" s="58" t="s">
        <v>1989</v>
      </c>
      <c r="K444" s="60">
        <v>9970.35</v>
      </c>
      <c r="L444" s="63" t="s">
        <v>980</v>
      </c>
      <c r="M444" s="90"/>
      <c r="N444" s="90">
        <v>266</v>
      </c>
    </row>
    <row r="445" spans="2:14" x14ac:dyDescent="0.3">
      <c r="B445" s="58" t="s">
        <v>392</v>
      </c>
      <c r="C445" s="60">
        <v>6498</v>
      </c>
      <c r="D445" s="49">
        <f t="shared" si="10"/>
        <v>7.8324932144242521E-3</v>
      </c>
      <c r="J445" s="58" t="s">
        <v>1990</v>
      </c>
      <c r="K445" s="60">
        <v>10029.450000000001</v>
      </c>
      <c r="L445" s="63" t="s">
        <v>981</v>
      </c>
      <c r="M445" s="90"/>
      <c r="N445" s="90">
        <v>439</v>
      </c>
    </row>
    <row r="446" spans="2:14" x14ac:dyDescent="0.3">
      <c r="B446" s="58">
        <v>45815</v>
      </c>
      <c r="C446" s="60">
        <v>6447.5</v>
      </c>
      <c r="D446" s="49">
        <f t="shared" si="10"/>
        <v>3.1269993602047297E-2</v>
      </c>
      <c r="J446" s="58" t="s">
        <v>1991</v>
      </c>
      <c r="K446" s="60">
        <v>9963.2999999999993</v>
      </c>
      <c r="L446" s="63" t="s">
        <v>982</v>
      </c>
      <c r="M446" s="90"/>
      <c r="N446" s="90">
        <v>710</v>
      </c>
    </row>
    <row r="447" spans="2:14" x14ac:dyDescent="0.3">
      <c r="B447" s="58" t="s">
        <v>393</v>
      </c>
      <c r="C447" s="60">
        <v>6252</v>
      </c>
      <c r="D447" s="49">
        <f t="shared" si="10"/>
        <v>-1.3257575757575801E-2</v>
      </c>
      <c r="J447" s="58" t="s">
        <v>1992</v>
      </c>
      <c r="K447" s="60">
        <v>9739.15</v>
      </c>
      <c r="L447" s="63">
        <v>1500</v>
      </c>
      <c r="M447" s="90"/>
      <c r="N447" s="90">
        <v>1500</v>
      </c>
    </row>
    <row r="448" spans="2:14" x14ac:dyDescent="0.3">
      <c r="B448" s="58" t="s">
        <v>394</v>
      </c>
      <c r="C448" s="60">
        <v>6336</v>
      </c>
      <c r="D448" s="49">
        <f t="shared" si="10"/>
        <v>0.11284798454377798</v>
      </c>
      <c r="J448" s="58">
        <v>45272</v>
      </c>
      <c r="K448" s="60">
        <v>9863.5</v>
      </c>
      <c r="L448" s="63">
        <v>1000</v>
      </c>
      <c r="M448" s="90"/>
      <c r="N448" s="90">
        <v>1000</v>
      </c>
    </row>
    <row r="449" spans="2:14" x14ac:dyDescent="0.3">
      <c r="B449" s="58" t="s">
        <v>395</v>
      </c>
      <c r="C449" s="60">
        <v>5693.5</v>
      </c>
      <c r="D449" s="49">
        <f t="shared" si="10"/>
        <v>-6.3953966296752984E-2</v>
      </c>
      <c r="J449" s="58">
        <v>45242</v>
      </c>
      <c r="K449" s="60">
        <v>9670.9</v>
      </c>
      <c r="L449" s="63" t="s">
        <v>983</v>
      </c>
      <c r="M449" s="90"/>
      <c r="N449" s="90">
        <v>588</v>
      </c>
    </row>
    <row r="450" spans="2:14" x14ac:dyDescent="0.3">
      <c r="B450" s="58">
        <v>45875</v>
      </c>
      <c r="C450" s="60">
        <v>6082.5</v>
      </c>
      <c r="D450" s="49">
        <f t="shared" si="10"/>
        <v>3.5054879605207256E-2</v>
      </c>
      <c r="J450" s="58">
        <v>45150</v>
      </c>
      <c r="K450" s="60">
        <v>9413.5499999999993</v>
      </c>
      <c r="L450" s="63" t="s">
        <v>984</v>
      </c>
      <c r="M450" s="90"/>
      <c r="N450" s="90">
        <v>311</v>
      </c>
    </row>
    <row r="451" spans="2:14" x14ac:dyDescent="0.3">
      <c r="B451" s="58">
        <v>45663</v>
      </c>
      <c r="C451" s="60">
        <v>5876.5</v>
      </c>
      <c r="D451" s="49">
        <f t="shared" si="10"/>
        <v>6.8940427467030441E-2</v>
      </c>
      <c r="J451" s="58">
        <v>45119</v>
      </c>
      <c r="K451" s="60">
        <v>9354.5499999999993</v>
      </c>
      <c r="L451" s="63" t="s">
        <v>985</v>
      </c>
      <c r="M451" s="90"/>
      <c r="N451" s="90">
        <v>346</v>
      </c>
    </row>
    <row r="452" spans="2:14" x14ac:dyDescent="0.3">
      <c r="B452" s="58" t="s">
        <v>396</v>
      </c>
      <c r="C452" s="60">
        <v>5497.5</v>
      </c>
      <c r="D452" s="49">
        <f t="shared" si="10"/>
        <v>7.6147597142018242E-2</v>
      </c>
      <c r="J452" s="58">
        <v>45089</v>
      </c>
      <c r="K452" s="60">
        <v>9213</v>
      </c>
      <c r="L452" s="63" t="s">
        <v>986</v>
      </c>
      <c r="M452" s="90"/>
      <c r="N452" s="90">
        <v>308</v>
      </c>
    </row>
    <row r="453" spans="2:14" x14ac:dyDescent="0.3">
      <c r="B453" s="58" t="s">
        <v>397</v>
      </c>
      <c r="C453" s="60">
        <v>5108.5</v>
      </c>
      <c r="D453" s="49">
        <f t="shared" si="10"/>
        <v>-2.7230315148052964E-2</v>
      </c>
      <c r="J453" s="58">
        <v>45058</v>
      </c>
      <c r="K453" s="60">
        <v>9329.75</v>
      </c>
      <c r="L453" s="63" t="s">
        <v>987</v>
      </c>
      <c r="M453" s="90"/>
      <c r="N453" s="90">
        <v>448</v>
      </c>
    </row>
    <row r="454" spans="2:14" x14ac:dyDescent="0.3">
      <c r="B454" s="58">
        <v>45966</v>
      </c>
      <c r="C454" s="60">
        <v>5251.5</v>
      </c>
      <c r="D454" s="49">
        <f t="shared" si="10"/>
        <v>2.8093187157400168E-2</v>
      </c>
      <c r="J454" s="58">
        <v>45028</v>
      </c>
      <c r="K454" s="60">
        <v>9317.75</v>
      </c>
      <c r="L454" s="63" t="s">
        <v>988</v>
      </c>
      <c r="M454" s="90"/>
      <c r="N454" s="90">
        <v>473</v>
      </c>
    </row>
    <row r="455" spans="2:14" x14ac:dyDescent="0.3">
      <c r="B455" s="58">
        <v>45752</v>
      </c>
      <c r="C455" s="60">
        <v>5108</v>
      </c>
      <c r="D455" s="49">
        <f t="shared" si="10"/>
        <v>-1.0461061604029487E-2</v>
      </c>
      <c r="J455" s="58">
        <v>44938</v>
      </c>
      <c r="K455" s="60">
        <v>9033.85</v>
      </c>
      <c r="L455" s="63" t="s">
        <v>989</v>
      </c>
      <c r="M455" s="90"/>
      <c r="N455" s="90">
        <v>353</v>
      </c>
    </row>
    <row r="456" spans="2:14" x14ac:dyDescent="0.3">
      <c r="B456" s="58" t="s">
        <v>398</v>
      </c>
      <c r="C456" s="60">
        <v>5162</v>
      </c>
      <c r="D456" s="49">
        <f t="shared" si="10"/>
        <v>-1.5880883838865323E-2</v>
      </c>
      <c r="J456" s="58" t="s">
        <v>1993</v>
      </c>
      <c r="K456" s="60">
        <v>9003.65</v>
      </c>
      <c r="L456" s="63">
        <v>1000</v>
      </c>
      <c r="M456" s="90"/>
      <c r="N456" s="90">
        <v>1000</v>
      </c>
    </row>
    <row r="457" spans="2:14" x14ac:dyDescent="0.3">
      <c r="B457" s="58" t="s">
        <v>399</v>
      </c>
      <c r="C457" s="60">
        <v>5245.3</v>
      </c>
      <c r="D457" s="49">
        <f t="shared" si="10"/>
        <v>3.645668668985147E-2</v>
      </c>
      <c r="J457" s="58" t="s">
        <v>1994</v>
      </c>
      <c r="K457" s="60">
        <v>8732.75</v>
      </c>
      <c r="L457" s="63" t="s">
        <v>990</v>
      </c>
      <c r="M457" s="90"/>
      <c r="N457" s="90">
        <v>207</v>
      </c>
    </row>
    <row r="458" spans="2:14" x14ac:dyDescent="0.3">
      <c r="B458" s="58" t="s">
        <v>400</v>
      </c>
      <c r="C458" s="60">
        <v>5060.8</v>
      </c>
      <c r="D458" s="49">
        <f t="shared" si="10"/>
        <v>2.08474114716235E-2</v>
      </c>
      <c r="J458" s="58" t="s">
        <v>1995</v>
      </c>
      <c r="K458" s="60">
        <v>8726.5</v>
      </c>
      <c r="L458" s="63" t="s">
        <v>991</v>
      </c>
      <c r="M458" s="90"/>
      <c r="N458" s="90">
        <v>343</v>
      </c>
    </row>
    <row r="459" spans="2:14" x14ac:dyDescent="0.3">
      <c r="B459" s="58">
        <v>45812</v>
      </c>
      <c r="C459" s="60">
        <v>4957.45</v>
      </c>
      <c r="D459" s="49">
        <f t="shared" si="10"/>
        <v>5.5502855874212109E-4</v>
      </c>
      <c r="J459" s="58" t="s">
        <v>1996</v>
      </c>
      <c r="K459" s="60">
        <v>8556.2000000000007</v>
      </c>
      <c r="L459" s="63" t="s">
        <v>992</v>
      </c>
      <c r="M459" s="90"/>
      <c r="N459" s="90">
        <v>197</v>
      </c>
    </row>
    <row r="460" spans="2:14" x14ac:dyDescent="0.3">
      <c r="B460" s="58" t="s">
        <v>401</v>
      </c>
      <c r="C460" s="60">
        <v>4954.7</v>
      </c>
      <c r="D460" s="49">
        <f t="shared" si="10"/>
        <v>4.4702137796113206E-3</v>
      </c>
      <c r="J460" s="58" t="s">
        <v>1997</v>
      </c>
      <c r="K460" s="60">
        <v>8605.25</v>
      </c>
      <c r="L460" s="63" t="s">
        <v>993</v>
      </c>
      <c r="M460" s="90"/>
      <c r="N460" s="90">
        <v>344</v>
      </c>
    </row>
    <row r="461" spans="2:14" x14ac:dyDescent="0.3">
      <c r="B461" s="58" t="s">
        <v>402</v>
      </c>
      <c r="C461" s="60">
        <v>4932.6499999999996</v>
      </c>
      <c r="D461" s="49">
        <f t="shared" si="10"/>
        <v>2.2840850181440997E-2</v>
      </c>
      <c r="J461" s="58" t="s">
        <v>1998</v>
      </c>
      <c r="K461" s="60">
        <v>8759.9</v>
      </c>
      <c r="L461" s="63" t="s">
        <v>994</v>
      </c>
      <c r="M461" s="90"/>
      <c r="N461" s="90">
        <v>325</v>
      </c>
    </row>
    <row r="462" spans="2:14" x14ac:dyDescent="0.3">
      <c r="B462" s="58" t="s">
        <v>403</v>
      </c>
      <c r="C462" s="60">
        <v>4822.5</v>
      </c>
      <c r="D462" s="49">
        <f t="shared" si="10"/>
        <v>0.12904736262964422</v>
      </c>
      <c r="J462" s="58" t="s">
        <v>1999</v>
      </c>
      <c r="K462" s="60">
        <v>8708.35</v>
      </c>
      <c r="L462" s="63" t="s">
        <v>995</v>
      </c>
      <c r="M462" s="90"/>
      <c r="N462" s="90">
        <v>183</v>
      </c>
    </row>
    <row r="463" spans="2:14" x14ac:dyDescent="0.3">
      <c r="B463" s="58">
        <v>45903</v>
      </c>
      <c r="C463" s="60">
        <v>4271.3</v>
      </c>
      <c r="D463" s="49">
        <f t="shared" si="10"/>
        <v>-3.398129615180201E-2</v>
      </c>
      <c r="J463" s="58" t="s">
        <v>2000</v>
      </c>
      <c r="K463" s="60">
        <v>8661.5</v>
      </c>
      <c r="L463" s="63" t="s">
        <v>996</v>
      </c>
      <c r="M463" s="90"/>
      <c r="N463" s="90">
        <v>174</v>
      </c>
    </row>
    <row r="464" spans="2:14" x14ac:dyDescent="0.3">
      <c r="B464" s="58">
        <v>45691</v>
      </c>
      <c r="C464" s="60">
        <v>4421.55</v>
      </c>
      <c r="D464" s="49">
        <f t="shared" si="10"/>
        <v>7.3359381229567422E-3</v>
      </c>
      <c r="J464" s="58" t="s">
        <v>2001</v>
      </c>
      <c r="K464" s="60">
        <v>8790.9500000000007</v>
      </c>
      <c r="L464" s="63" t="s">
        <v>997</v>
      </c>
      <c r="M464" s="90"/>
      <c r="N464" s="90">
        <v>151</v>
      </c>
    </row>
    <row r="465" spans="2:14" x14ac:dyDescent="0.3">
      <c r="B465" s="58" t="s">
        <v>404</v>
      </c>
      <c r="C465" s="60">
        <v>4389.3500000000004</v>
      </c>
      <c r="D465" s="49">
        <f t="shared" si="10"/>
        <v>-4.1658024300514018E-2</v>
      </c>
      <c r="J465" s="58" t="s">
        <v>2002</v>
      </c>
      <c r="K465" s="60">
        <v>8775.0499999999993</v>
      </c>
      <c r="L465" s="63" t="s">
        <v>998</v>
      </c>
      <c r="M465" s="90"/>
      <c r="N465" s="90">
        <v>233</v>
      </c>
    </row>
    <row r="466" spans="2:14" x14ac:dyDescent="0.3">
      <c r="B466" s="58" t="s">
        <v>405</v>
      </c>
      <c r="C466" s="60">
        <v>4580.1499999999996</v>
      </c>
      <c r="D466" s="49">
        <f t="shared" si="10"/>
        <v>-1.6554833861184282E-2</v>
      </c>
      <c r="J466" s="58" t="s">
        <v>2003</v>
      </c>
      <c r="K466" s="60">
        <v>8766.9</v>
      </c>
      <c r="L466" s="63" t="s">
        <v>999</v>
      </c>
      <c r="M466" s="90"/>
      <c r="N466" s="90">
        <v>192</v>
      </c>
    </row>
    <row r="467" spans="2:14" x14ac:dyDescent="0.3">
      <c r="B467" s="58">
        <v>45902</v>
      </c>
      <c r="C467" s="60">
        <v>4657.25</v>
      </c>
      <c r="D467" s="49">
        <f t="shared" si="10"/>
        <v>-4.5586818861815259E-2</v>
      </c>
      <c r="J467" s="58" t="s">
        <v>2004</v>
      </c>
      <c r="K467" s="60">
        <v>8677.4</v>
      </c>
      <c r="L467" s="63" t="s">
        <v>1000</v>
      </c>
      <c r="M467" s="90"/>
      <c r="N467" s="90">
        <v>64</v>
      </c>
    </row>
    <row r="468" spans="2:14" x14ac:dyDescent="0.3">
      <c r="B468" s="58">
        <v>45690</v>
      </c>
      <c r="C468" s="60">
        <v>4879.7</v>
      </c>
      <c r="D468" s="49">
        <f t="shared" si="10"/>
        <v>9.2763994746474232E-3</v>
      </c>
      <c r="J468" s="58">
        <v>45271</v>
      </c>
      <c r="K468" s="60">
        <v>8722.9500000000007</v>
      </c>
      <c r="L468" s="63" t="s">
        <v>1001</v>
      </c>
      <c r="M468" s="90"/>
      <c r="N468" s="90">
        <v>13</v>
      </c>
    </row>
    <row r="469" spans="2:14" x14ac:dyDescent="0.3">
      <c r="B469" s="58" t="s">
        <v>406</v>
      </c>
      <c r="C469" s="60">
        <v>4834.8500000000004</v>
      </c>
      <c r="D469" s="49">
        <f t="shared" si="10"/>
        <v>1.6600433146197524E-2</v>
      </c>
      <c r="J469" s="58">
        <v>45210</v>
      </c>
      <c r="K469" s="60">
        <v>8710.85</v>
      </c>
      <c r="L469" s="63" t="s">
        <v>600</v>
      </c>
      <c r="M469" s="90"/>
      <c r="N469" s="90">
        <v>149</v>
      </c>
    </row>
    <row r="470" spans="2:14" x14ac:dyDescent="0.3">
      <c r="B470" s="58" t="s">
        <v>407</v>
      </c>
      <c r="C470" s="60">
        <v>4755.8999999999996</v>
      </c>
      <c r="D470" s="49">
        <f t="shared" si="10"/>
        <v>4.7278252444287849E-2</v>
      </c>
      <c r="J470" s="58">
        <v>45180</v>
      </c>
      <c r="K470" s="60">
        <v>8627.0499999999993</v>
      </c>
      <c r="L470" s="63" t="s">
        <v>1002</v>
      </c>
      <c r="M470" s="90"/>
      <c r="N470" s="90">
        <v>128</v>
      </c>
    </row>
    <row r="471" spans="2:14" x14ac:dyDescent="0.3">
      <c r="B471" s="58">
        <v>45992</v>
      </c>
      <c r="C471" s="60">
        <v>4541.2</v>
      </c>
      <c r="D471" s="49">
        <f t="shared" si="10"/>
        <v>-5.1721671380311474E-4</v>
      </c>
      <c r="J471" s="58">
        <v>45149</v>
      </c>
      <c r="K471" s="60">
        <v>8698.85</v>
      </c>
      <c r="L471" s="63" t="s">
        <v>1003</v>
      </c>
      <c r="M471" s="90"/>
      <c r="N471" s="90">
        <v>132</v>
      </c>
    </row>
    <row r="472" spans="2:14" x14ac:dyDescent="0.3">
      <c r="B472" s="58">
        <v>45778</v>
      </c>
      <c r="C472" s="60">
        <v>4543.55</v>
      </c>
      <c r="D472" s="49">
        <f t="shared" si="10"/>
        <v>-3.8717457765177543E-2</v>
      </c>
      <c r="J472" s="58">
        <v>45118</v>
      </c>
      <c r="K472" s="60">
        <v>8685.75</v>
      </c>
      <c r="L472" s="63" t="s">
        <v>1004</v>
      </c>
      <c r="M472" s="90"/>
      <c r="N472" s="90">
        <v>206</v>
      </c>
    </row>
    <row r="473" spans="2:14" x14ac:dyDescent="0.3">
      <c r="B473" s="58" t="s">
        <v>371</v>
      </c>
      <c r="C473" s="60">
        <v>4726.55</v>
      </c>
      <c r="D473" s="49">
        <f t="shared" si="10"/>
        <v>3.3701844744065124E-2</v>
      </c>
      <c r="J473" s="58">
        <v>45088</v>
      </c>
      <c r="K473" s="60">
        <v>8640.9500000000007</v>
      </c>
      <c r="L473" s="63" t="s">
        <v>1005</v>
      </c>
      <c r="M473" s="90"/>
      <c r="N473" s="90">
        <v>194</v>
      </c>
    </row>
    <row r="474" spans="2:14" x14ac:dyDescent="0.3">
      <c r="B474" s="58" t="s">
        <v>372</v>
      </c>
      <c r="C474" s="60">
        <v>4572.45</v>
      </c>
      <c r="D474" s="49">
        <f t="shared" si="10"/>
        <v>1.2096595688166678E-2</v>
      </c>
      <c r="J474" s="58">
        <v>44996</v>
      </c>
      <c r="K474" s="60">
        <v>8522.6</v>
      </c>
      <c r="L474" s="63" t="s">
        <v>1006</v>
      </c>
      <c r="M474" s="90"/>
      <c r="N474" s="90">
        <v>243</v>
      </c>
    </row>
    <row r="475" spans="2:14" x14ac:dyDescent="0.3">
      <c r="B475" s="58" t="s">
        <v>373</v>
      </c>
      <c r="C475" s="60">
        <v>4517.8</v>
      </c>
      <c r="D475" s="49">
        <f t="shared" si="10"/>
        <v>-4.8703964961782309E-2</v>
      </c>
      <c r="J475" s="58">
        <v>44968</v>
      </c>
      <c r="K475" s="60">
        <v>8459</v>
      </c>
      <c r="L475" s="63" t="s">
        <v>1007</v>
      </c>
      <c r="M475" s="90"/>
      <c r="N475" s="90">
        <v>200</v>
      </c>
    </row>
    <row r="476" spans="2:14" x14ac:dyDescent="0.3">
      <c r="B476" s="58">
        <v>45516</v>
      </c>
      <c r="C476" s="60">
        <v>4749.1000000000004</v>
      </c>
      <c r="D476" s="49">
        <f t="shared" si="10"/>
        <v>3.3165457452710267E-2</v>
      </c>
      <c r="J476" s="58">
        <v>44937</v>
      </c>
      <c r="K476" s="60">
        <v>8381.4500000000007</v>
      </c>
      <c r="L476" s="63" t="s">
        <v>620</v>
      </c>
      <c r="M476" s="90"/>
      <c r="N476" s="90">
        <v>209</v>
      </c>
    </row>
    <row r="477" spans="2:14" x14ac:dyDescent="0.3">
      <c r="B477" s="58">
        <v>45303</v>
      </c>
      <c r="C477" s="60">
        <v>4596.6499999999996</v>
      </c>
      <c r="D477" s="49">
        <f t="shared" si="10"/>
        <v>7.4422953310348872E-2</v>
      </c>
      <c r="J477" s="58" t="s">
        <v>2005</v>
      </c>
      <c r="K477" s="60">
        <v>8422.25</v>
      </c>
      <c r="L477" s="63" t="s">
        <v>1008</v>
      </c>
      <c r="M477" s="90"/>
      <c r="N477" s="90">
        <v>218</v>
      </c>
    </row>
    <row r="478" spans="2:14" x14ac:dyDescent="0.3">
      <c r="B478" s="58" t="s">
        <v>374</v>
      </c>
      <c r="C478" s="60">
        <v>4278.25</v>
      </c>
      <c r="D478" s="49">
        <f t="shared" si="10"/>
        <v>3.4430649080600118E-2</v>
      </c>
      <c r="J478" s="58" t="s">
        <v>2006</v>
      </c>
      <c r="K478" s="60">
        <v>8401.6</v>
      </c>
      <c r="L478" s="63" t="s">
        <v>1009</v>
      </c>
      <c r="M478" s="90"/>
      <c r="N478" s="90">
        <v>244</v>
      </c>
    </row>
    <row r="479" spans="2:14" x14ac:dyDescent="0.3">
      <c r="B479" s="58" t="s">
        <v>375</v>
      </c>
      <c r="C479" s="60">
        <v>4135.8500000000004</v>
      </c>
      <c r="D479" s="49">
        <f t="shared" si="10"/>
        <v>3.4143475108143972E-2</v>
      </c>
      <c r="J479" s="58" t="s">
        <v>2007</v>
      </c>
      <c r="K479" s="60">
        <v>8210.15</v>
      </c>
      <c r="L479" s="63" t="s">
        <v>1010</v>
      </c>
      <c r="M479" s="90"/>
      <c r="N479" s="90">
        <v>227</v>
      </c>
    </row>
    <row r="480" spans="2:14" x14ac:dyDescent="0.3">
      <c r="B480" s="58">
        <v>45576</v>
      </c>
      <c r="C480" s="60">
        <v>3999.3</v>
      </c>
      <c r="D480" s="49">
        <f t="shared" si="10"/>
        <v>-2.009163746845366E-2</v>
      </c>
      <c r="J480" s="58" t="s">
        <v>2008</v>
      </c>
      <c r="K480" s="60">
        <v>8205.2999999999993</v>
      </c>
      <c r="L480" s="63" t="s">
        <v>1011</v>
      </c>
      <c r="M480" s="90"/>
      <c r="N480" s="90">
        <v>637</v>
      </c>
    </row>
    <row r="481" spans="2:14" x14ac:dyDescent="0.3">
      <c r="B481" s="58">
        <v>45362</v>
      </c>
      <c r="C481" s="60">
        <v>4081.3</v>
      </c>
      <c r="D481" s="49">
        <f t="shared" si="10"/>
        <v>-6.0744491110983234E-2</v>
      </c>
      <c r="J481" s="58" t="s">
        <v>2009</v>
      </c>
      <c r="K481" s="60">
        <v>8256.35</v>
      </c>
      <c r="L481" s="63" t="s">
        <v>1012</v>
      </c>
      <c r="M481" s="90"/>
      <c r="N481" s="90">
        <v>255</v>
      </c>
    </row>
    <row r="482" spans="2:14" x14ac:dyDescent="0.3">
      <c r="B482" s="58" t="s">
        <v>376</v>
      </c>
      <c r="C482" s="60">
        <v>4345.25</v>
      </c>
      <c r="D482" s="49">
        <f t="shared" si="10"/>
        <v>5.8526187576126709E-2</v>
      </c>
      <c r="J482" s="58" t="s">
        <v>2010</v>
      </c>
      <c r="K482" s="60">
        <v>8325.25</v>
      </c>
      <c r="L482" s="63" t="s">
        <v>1013</v>
      </c>
      <c r="M482" s="90"/>
      <c r="N482" s="90">
        <v>217</v>
      </c>
    </row>
    <row r="483" spans="2:14" x14ac:dyDescent="0.3">
      <c r="B483" s="58" t="s">
        <v>377</v>
      </c>
      <c r="C483" s="60">
        <v>4105</v>
      </c>
      <c r="D483" s="49">
        <f t="shared" si="10"/>
        <v>-4.5947893183349908E-2</v>
      </c>
      <c r="J483" s="58" t="s">
        <v>2011</v>
      </c>
      <c r="K483" s="60">
        <v>8461.0499999999993</v>
      </c>
      <c r="L483" s="63" t="s">
        <v>1014</v>
      </c>
      <c r="M483" s="90"/>
      <c r="N483" s="90">
        <v>539</v>
      </c>
    </row>
    <row r="484" spans="2:14" x14ac:dyDescent="0.3">
      <c r="B484" s="58" t="s">
        <v>378</v>
      </c>
      <c r="C484" s="60">
        <v>4302.7</v>
      </c>
      <c r="D484" s="49">
        <f t="shared" si="10"/>
        <v>1.5086994986729607E-2</v>
      </c>
      <c r="J484" s="58" t="s">
        <v>2012</v>
      </c>
      <c r="K484" s="60">
        <v>8518.5499999999993</v>
      </c>
      <c r="L484" s="63" t="s">
        <v>1015</v>
      </c>
      <c r="M484" s="90"/>
      <c r="N484" s="90">
        <v>837</v>
      </c>
    </row>
    <row r="485" spans="2:14" x14ac:dyDescent="0.3">
      <c r="B485" s="58">
        <v>45453</v>
      </c>
      <c r="C485" s="60">
        <v>4238.75</v>
      </c>
      <c r="D485" s="49">
        <f t="shared" si="10"/>
        <v>-7.1579546823493323E-2</v>
      </c>
      <c r="J485" s="58" t="s">
        <v>2013</v>
      </c>
      <c r="K485" s="60">
        <v>8278.2999999999993</v>
      </c>
      <c r="L485" s="63" t="s">
        <v>1016</v>
      </c>
      <c r="M485" s="90"/>
      <c r="N485" s="90">
        <v>322</v>
      </c>
    </row>
    <row r="486" spans="2:14" x14ac:dyDescent="0.3">
      <c r="B486" s="58" t="s">
        <v>408</v>
      </c>
      <c r="C486" s="60">
        <v>4565.55</v>
      </c>
      <c r="D486" s="49">
        <f t="shared" si="10"/>
        <v>-1.5249393367484432E-2</v>
      </c>
      <c r="J486" s="58" t="s">
        <v>2014</v>
      </c>
      <c r="K486" s="60">
        <v>8301.4</v>
      </c>
      <c r="L486" s="63" t="s">
        <v>1017</v>
      </c>
      <c r="M486" s="90"/>
      <c r="N486" s="90">
        <v>205</v>
      </c>
    </row>
    <row r="487" spans="2:14" x14ac:dyDescent="0.3">
      <c r="B487" s="58" t="s">
        <v>409</v>
      </c>
      <c r="C487" s="60">
        <v>4636.25</v>
      </c>
      <c r="D487" s="49">
        <f t="shared" si="10"/>
        <v>7.662917952813153E-4</v>
      </c>
      <c r="J487" s="58" t="s">
        <v>2015</v>
      </c>
      <c r="K487" s="60">
        <v>8292.2000000000007</v>
      </c>
      <c r="L487" s="63" t="s">
        <v>1018</v>
      </c>
      <c r="M487" s="90"/>
      <c r="N487" s="90">
        <v>363</v>
      </c>
    </row>
    <row r="488" spans="2:14" x14ac:dyDescent="0.3">
      <c r="B488" s="58" t="s">
        <v>410</v>
      </c>
      <c r="C488" s="60">
        <v>4632.7</v>
      </c>
      <c r="D488" s="49">
        <f t="shared" si="10"/>
        <v>-2.8050520308828375E-2</v>
      </c>
      <c r="J488" s="58" t="s">
        <v>2016</v>
      </c>
      <c r="K488" s="60">
        <v>8369</v>
      </c>
      <c r="L488" s="63" t="s">
        <v>1019</v>
      </c>
      <c r="M488" s="90"/>
      <c r="N488" s="90">
        <v>285</v>
      </c>
    </row>
    <row r="489" spans="2:14" x14ac:dyDescent="0.3">
      <c r="B489" s="58">
        <v>45513</v>
      </c>
      <c r="C489" s="60">
        <v>4766.3999999999996</v>
      </c>
      <c r="D489" s="49">
        <f t="shared" si="10"/>
        <v>1.4570184867867875E-2</v>
      </c>
      <c r="J489" s="58">
        <v>45270</v>
      </c>
      <c r="K489" s="60">
        <v>8351.75</v>
      </c>
      <c r="L489" s="63" t="s">
        <v>1020</v>
      </c>
      <c r="M489" s="90"/>
      <c r="N489" s="90">
        <v>177</v>
      </c>
    </row>
    <row r="490" spans="2:14" x14ac:dyDescent="0.3">
      <c r="B490" s="58">
        <v>45300</v>
      </c>
      <c r="C490" s="60">
        <v>4697.95</v>
      </c>
      <c r="D490" s="49">
        <f t="shared" si="10"/>
        <v>5.4794674330362225E-2</v>
      </c>
      <c r="J490" s="58">
        <v>45240</v>
      </c>
      <c r="K490" s="60">
        <v>8343</v>
      </c>
      <c r="L490" s="63" t="s">
        <v>1021</v>
      </c>
      <c r="M490" s="90"/>
      <c r="N490" s="90">
        <v>439</v>
      </c>
    </row>
    <row r="491" spans="2:14" x14ac:dyDescent="0.3">
      <c r="B491" s="58" t="s">
        <v>411</v>
      </c>
      <c r="C491" s="60">
        <v>4453.8999999999996</v>
      </c>
      <c r="D491" s="49">
        <f t="shared" si="10"/>
        <v>1.3782193542512866E-2</v>
      </c>
      <c r="J491" s="58">
        <v>45209</v>
      </c>
      <c r="K491" s="60">
        <v>8158.3</v>
      </c>
      <c r="L491" s="63" t="s">
        <v>1022</v>
      </c>
      <c r="M491" s="90"/>
      <c r="N491" s="90">
        <v>187</v>
      </c>
    </row>
    <row r="492" spans="2:14" x14ac:dyDescent="0.3">
      <c r="B492" s="58" t="s">
        <v>412</v>
      </c>
      <c r="C492" s="60">
        <v>4393.3500000000004</v>
      </c>
      <c r="D492" s="49">
        <f t="shared" si="10"/>
        <v>3.6179671930093749E-2</v>
      </c>
      <c r="J492" s="58">
        <v>45179</v>
      </c>
      <c r="K492" s="60">
        <v>8110.1</v>
      </c>
      <c r="L492" s="63" t="s">
        <v>1023</v>
      </c>
      <c r="M492" s="90"/>
      <c r="N492" s="90">
        <v>152</v>
      </c>
    </row>
    <row r="493" spans="2:14" x14ac:dyDescent="0.3">
      <c r="B493" s="58">
        <v>45604</v>
      </c>
      <c r="C493" s="60">
        <v>4239.95</v>
      </c>
      <c r="D493" s="49">
        <f t="shared" si="10"/>
        <v>-5.8959483043241612E-5</v>
      </c>
      <c r="J493" s="58">
        <v>45087</v>
      </c>
      <c r="K493" s="60">
        <v>8195.4500000000007</v>
      </c>
      <c r="L493" s="63" t="s">
        <v>1024</v>
      </c>
      <c r="M493" s="90"/>
      <c r="N493" s="90">
        <v>158</v>
      </c>
    </row>
    <row r="494" spans="2:14" x14ac:dyDescent="0.3">
      <c r="B494" s="58">
        <v>45390</v>
      </c>
      <c r="C494" s="60">
        <v>4240.2</v>
      </c>
      <c r="D494" s="49">
        <f t="shared" si="10"/>
        <v>-1.0362694300518283E-2</v>
      </c>
      <c r="J494" s="58">
        <v>45056</v>
      </c>
      <c r="K494" s="60">
        <v>8177.45</v>
      </c>
      <c r="L494" s="63" t="s">
        <v>1025</v>
      </c>
      <c r="M494" s="90"/>
      <c r="N494" s="90">
        <v>310</v>
      </c>
    </row>
    <row r="495" spans="2:14" x14ac:dyDescent="0.3">
      <c r="B495" s="58" t="s">
        <v>413</v>
      </c>
      <c r="C495" s="60">
        <v>4284.6000000000004</v>
      </c>
      <c r="D495" s="49">
        <f t="shared" si="10"/>
        <v>-2.3486376534135434E-2</v>
      </c>
      <c r="J495" s="58">
        <v>45026</v>
      </c>
      <c r="K495" s="60">
        <v>8120.85</v>
      </c>
      <c r="L495" s="63" t="s">
        <v>1026</v>
      </c>
      <c r="M495" s="90"/>
      <c r="N495" s="90">
        <v>884</v>
      </c>
    </row>
    <row r="496" spans="2:14" x14ac:dyDescent="0.3">
      <c r="B496" s="58" t="s">
        <v>414</v>
      </c>
      <c r="C496" s="60">
        <v>4387.6499999999996</v>
      </c>
      <c r="D496" s="49">
        <f t="shared" si="10"/>
        <v>2.4063203837042302E-2</v>
      </c>
      <c r="J496" s="58">
        <v>44995</v>
      </c>
      <c r="K496" s="60">
        <v>8304.9</v>
      </c>
      <c r="L496" s="63" t="s">
        <v>1027</v>
      </c>
      <c r="M496" s="90"/>
      <c r="N496" s="90">
        <v>454</v>
      </c>
    </row>
    <row r="497" spans="2:14" x14ac:dyDescent="0.3">
      <c r="B497" s="58" t="s">
        <v>415</v>
      </c>
      <c r="C497" s="60">
        <v>4284.55</v>
      </c>
      <c r="D497" s="49">
        <f t="shared" si="10"/>
        <v>-1.2639996312854174E-2</v>
      </c>
      <c r="J497" s="58" t="s">
        <v>2017</v>
      </c>
      <c r="K497" s="60">
        <v>8254.85</v>
      </c>
      <c r="L497" s="63" t="s">
        <v>1028</v>
      </c>
      <c r="M497" s="90"/>
      <c r="N497" s="90">
        <v>320</v>
      </c>
    </row>
    <row r="498" spans="2:14" x14ac:dyDescent="0.3">
      <c r="B498" s="58">
        <v>45480</v>
      </c>
      <c r="C498" s="60">
        <v>4339.3999999999996</v>
      </c>
      <c r="D498" s="49">
        <f t="shared" si="10"/>
        <v>3.0039047200825841E-2</v>
      </c>
      <c r="J498" s="58" t="s">
        <v>2018</v>
      </c>
      <c r="K498" s="60">
        <v>8154.35</v>
      </c>
      <c r="L498" s="63" t="s">
        <v>1029</v>
      </c>
      <c r="M498" s="90"/>
      <c r="N498" s="90">
        <v>370</v>
      </c>
    </row>
    <row r="499" spans="2:14" x14ac:dyDescent="0.3">
      <c r="B499" s="58" t="s">
        <v>416</v>
      </c>
      <c r="C499" s="60">
        <v>4212.8500000000004</v>
      </c>
      <c r="D499" s="49">
        <f t="shared" si="10"/>
        <v>-3.8993656174223568E-2</v>
      </c>
      <c r="J499" s="58" t="s">
        <v>2019</v>
      </c>
      <c r="K499" s="60">
        <v>8262.7000000000007</v>
      </c>
      <c r="L499" s="63" t="s">
        <v>1030</v>
      </c>
      <c r="M499" s="90"/>
      <c r="N499" s="90">
        <v>541</v>
      </c>
    </row>
    <row r="500" spans="2:14" x14ac:dyDescent="0.3">
      <c r="B500" s="58" t="s">
        <v>417</v>
      </c>
      <c r="C500" s="60">
        <v>4383.79</v>
      </c>
      <c r="D500" s="49">
        <f t="shared" si="10"/>
        <v>3.0304241042574898E-2</v>
      </c>
      <c r="J500" s="58" t="s">
        <v>2020</v>
      </c>
      <c r="K500" s="60">
        <v>8228.9</v>
      </c>
      <c r="L500" s="63" t="s">
        <v>1031</v>
      </c>
      <c r="M500" s="90"/>
      <c r="N500" s="90">
        <v>515</v>
      </c>
    </row>
    <row r="501" spans="2:14" x14ac:dyDescent="0.3">
      <c r="B501" s="58" t="s">
        <v>418</v>
      </c>
      <c r="C501" s="60">
        <v>4254.8500000000004</v>
      </c>
      <c r="D501" s="49">
        <f t="shared" si="10"/>
        <v>-1.5438833572058108E-2</v>
      </c>
      <c r="J501" s="58" t="s">
        <v>2021</v>
      </c>
      <c r="K501" s="60">
        <v>8206.2000000000007</v>
      </c>
      <c r="L501" s="63" t="s">
        <v>1032</v>
      </c>
      <c r="M501" s="90"/>
      <c r="N501" s="90">
        <v>467</v>
      </c>
    </row>
    <row r="502" spans="2:14" x14ac:dyDescent="0.3">
      <c r="B502" s="58">
        <v>45541</v>
      </c>
      <c r="C502" s="60">
        <v>4321.57</v>
      </c>
      <c r="D502" s="49">
        <f t="shared" ref="D502:D539" si="11">(C502/C503)-1</f>
        <v>3.3341861682922191E-2</v>
      </c>
      <c r="J502" s="58" t="s">
        <v>2022</v>
      </c>
      <c r="K502" s="60">
        <v>8187.4</v>
      </c>
      <c r="L502" s="63" t="s">
        <v>1033</v>
      </c>
      <c r="M502" s="90"/>
      <c r="N502" s="90">
        <v>524</v>
      </c>
    </row>
    <row r="503" spans="2:14" x14ac:dyDescent="0.3">
      <c r="B503" s="58">
        <v>45328</v>
      </c>
      <c r="C503" s="60">
        <v>4182.13</v>
      </c>
      <c r="D503" s="49">
        <f t="shared" si="11"/>
        <v>8.1307560643903543E-2</v>
      </c>
      <c r="J503" s="58" t="s">
        <v>2023</v>
      </c>
      <c r="K503" s="60">
        <v>8313.5499999999993</v>
      </c>
      <c r="L503" s="63" t="s">
        <v>1034</v>
      </c>
      <c r="M503" s="90"/>
      <c r="N503" s="90">
        <v>393</v>
      </c>
    </row>
    <row r="504" spans="2:14" x14ac:dyDescent="0.3">
      <c r="B504" s="58" t="s">
        <v>419</v>
      </c>
      <c r="C504" s="60">
        <v>3867.66</v>
      </c>
      <c r="D504" s="49">
        <f t="shared" si="11"/>
        <v>-2.9620746063446446E-2</v>
      </c>
      <c r="J504" s="58" t="s">
        <v>2024</v>
      </c>
      <c r="K504" s="60">
        <v>8458.15</v>
      </c>
      <c r="L504" s="63" t="s">
        <v>1035</v>
      </c>
      <c r="M504" s="90"/>
      <c r="N504" s="90">
        <v>317</v>
      </c>
    </row>
    <row r="505" spans="2:14" x14ac:dyDescent="0.3">
      <c r="B505" s="58" t="s">
        <v>420</v>
      </c>
      <c r="C505" s="60">
        <v>3985.72</v>
      </c>
      <c r="D505" s="49">
        <f t="shared" si="11"/>
        <v>2.4059114920556679E-2</v>
      </c>
      <c r="J505" s="58" t="s">
        <v>2025</v>
      </c>
      <c r="K505" s="60">
        <v>8628</v>
      </c>
      <c r="L505" s="63" t="s">
        <v>1036</v>
      </c>
      <c r="M505" s="90"/>
      <c r="N505" s="90">
        <v>129</v>
      </c>
    </row>
    <row r="506" spans="2:14" x14ac:dyDescent="0.3">
      <c r="B506" s="58">
        <v>45631</v>
      </c>
      <c r="C506" s="60">
        <v>3892.08</v>
      </c>
      <c r="D506" s="49">
        <f t="shared" si="11"/>
        <v>1.4529473404338411E-2</v>
      </c>
      <c r="J506" s="58" t="s">
        <v>2026</v>
      </c>
      <c r="K506" s="60">
        <v>8728.35</v>
      </c>
      <c r="L506" s="63" t="s">
        <v>1037</v>
      </c>
      <c r="M506" s="90"/>
      <c r="N506" s="90">
        <v>357</v>
      </c>
    </row>
    <row r="507" spans="2:14" x14ac:dyDescent="0.3">
      <c r="B507" s="58">
        <v>45417</v>
      </c>
      <c r="C507" s="60">
        <v>3836.34</v>
      </c>
      <c r="D507" s="49">
        <f t="shared" si="11"/>
        <v>-3.4319401512329151E-2</v>
      </c>
      <c r="J507" s="58" t="s">
        <v>2027</v>
      </c>
      <c r="K507" s="60">
        <v>8687.9500000000007</v>
      </c>
      <c r="L507" s="63" t="s">
        <v>1038</v>
      </c>
      <c r="M507" s="90"/>
      <c r="N507" s="90">
        <v>311</v>
      </c>
    </row>
    <row r="508" spans="2:14" x14ac:dyDescent="0.3">
      <c r="B508" s="58" t="s">
        <v>421</v>
      </c>
      <c r="C508" s="60">
        <v>3972.68</v>
      </c>
      <c r="D508" s="49">
        <f t="shared" si="11"/>
        <v>-2.337644458757504E-2</v>
      </c>
      <c r="J508" s="58" t="s">
        <v>2028</v>
      </c>
      <c r="K508" s="60">
        <v>8636.35</v>
      </c>
      <c r="L508" s="63" t="s">
        <v>1039</v>
      </c>
      <c r="M508" s="90"/>
      <c r="N508" s="90">
        <v>321</v>
      </c>
    </row>
    <row r="509" spans="2:14" x14ac:dyDescent="0.3">
      <c r="B509" s="58" t="s">
        <v>422</v>
      </c>
      <c r="C509" s="60">
        <v>4067.77</v>
      </c>
      <c r="D509" s="49">
        <f t="shared" si="11"/>
        <v>-1.9006024241664199E-2</v>
      </c>
      <c r="J509" s="58">
        <v>45269</v>
      </c>
      <c r="K509" s="60">
        <v>8571.65</v>
      </c>
      <c r="L509" s="63" t="s">
        <v>1040</v>
      </c>
      <c r="M509" s="90"/>
      <c r="N509" s="90">
        <v>335</v>
      </c>
    </row>
    <row r="510" spans="2:14" x14ac:dyDescent="0.3">
      <c r="B510" s="58" t="s">
        <v>423</v>
      </c>
      <c r="C510" s="60">
        <v>4146.58</v>
      </c>
      <c r="D510" s="49">
        <f t="shared" si="11"/>
        <v>-3.0191759420161057E-2</v>
      </c>
      <c r="J510" s="58">
        <v>45239</v>
      </c>
      <c r="K510" s="60">
        <v>8461.7000000000007</v>
      </c>
      <c r="L510" s="63" t="s">
        <v>1041</v>
      </c>
      <c r="M510" s="90"/>
      <c r="N510" s="90">
        <v>131</v>
      </c>
    </row>
    <row r="511" spans="2:14" x14ac:dyDescent="0.3">
      <c r="B511" s="58">
        <v>45477</v>
      </c>
      <c r="C511" s="60">
        <v>4275.67</v>
      </c>
      <c r="D511" s="49">
        <f t="shared" si="11"/>
        <v>-1.7906896084416868E-2</v>
      </c>
      <c r="J511" s="58">
        <v>45147</v>
      </c>
      <c r="K511" s="60">
        <v>8430.5499999999993</v>
      </c>
      <c r="L511" s="63" t="s">
        <v>1042</v>
      </c>
      <c r="M511" s="90"/>
      <c r="N511" s="90">
        <v>125</v>
      </c>
    </row>
    <row r="512" spans="2:14" x14ac:dyDescent="0.3">
      <c r="B512" s="58" t="s">
        <v>424</v>
      </c>
      <c r="C512" s="60">
        <v>4353.63</v>
      </c>
      <c r="D512" s="49">
        <f t="shared" si="11"/>
        <v>6.9341147342876441E-2</v>
      </c>
      <c r="J512" s="58">
        <v>45116</v>
      </c>
      <c r="K512" s="60">
        <v>8495.15</v>
      </c>
      <c r="L512" s="63" t="s">
        <v>1043</v>
      </c>
      <c r="M512" s="90"/>
      <c r="N512" s="90">
        <v>203</v>
      </c>
    </row>
    <row r="513" spans="2:14" x14ac:dyDescent="0.3">
      <c r="B513" s="58" t="s">
        <v>425</v>
      </c>
      <c r="C513" s="60">
        <v>4071.32</v>
      </c>
      <c r="D513" s="49">
        <f t="shared" si="11"/>
        <v>-6.687437328147805E-3</v>
      </c>
      <c r="J513" s="58">
        <v>45086</v>
      </c>
      <c r="K513" s="60">
        <v>8537.4</v>
      </c>
      <c r="L513" s="63" t="s">
        <v>1044</v>
      </c>
      <c r="M513" s="90"/>
      <c r="N513" s="90">
        <v>327</v>
      </c>
    </row>
    <row r="514" spans="2:14" x14ac:dyDescent="0.3">
      <c r="B514" s="58" t="s">
        <v>426</v>
      </c>
      <c r="C514" s="60">
        <v>4098.7299999999996</v>
      </c>
      <c r="D514" s="49">
        <f t="shared" si="11"/>
        <v>8.218295238751061E-3</v>
      </c>
      <c r="J514" s="58">
        <v>45055</v>
      </c>
      <c r="K514" s="60">
        <v>8454.85</v>
      </c>
      <c r="L514" s="63" t="s">
        <v>1045</v>
      </c>
      <c r="M514" s="90"/>
      <c r="N514" s="90">
        <v>210</v>
      </c>
    </row>
    <row r="515" spans="2:14" x14ac:dyDescent="0.3">
      <c r="B515" s="58">
        <v>45568</v>
      </c>
      <c r="C515" s="60">
        <v>4065.32</v>
      </c>
      <c r="D515" s="49">
        <f t="shared" si="11"/>
        <v>-4.5148137187201898E-2</v>
      </c>
      <c r="J515" s="58">
        <v>45025</v>
      </c>
      <c r="K515" s="60">
        <v>8582.5499999999993</v>
      </c>
      <c r="L515" s="63" t="s">
        <v>1046</v>
      </c>
      <c r="M515" s="90"/>
      <c r="N515" s="90">
        <v>620</v>
      </c>
    </row>
    <row r="516" spans="2:14" x14ac:dyDescent="0.3">
      <c r="B516" s="58">
        <v>45354</v>
      </c>
      <c r="C516" s="60">
        <v>4257.54</v>
      </c>
      <c r="D516" s="49">
        <f t="shared" si="11"/>
        <v>-5.2966638936218446E-2</v>
      </c>
      <c r="J516" s="58">
        <v>44935</v>
      </c>
      <c r="K516" s="60">
        <v>8262.4</v>
      </c>
      <c r="L516" s="63" t="s">
        <v>1047</v>
      </c>
      <c r="M516" s="90"/>
      <c r="N516" s="90">
        <v>215</v>
      </c>
    </row>
    <row r="517" spans="2:14" x14ac:dyDescent="0.3">
      <c r="B517" s="58" t="s">
        <v>427</v>
      </c>
      <c r="C517" s="60">
        <v>4495.66</v>
      </c>
      <c r="D517" s="49">
        <f t="shared" si="11"/>
        <v>3.6224501555837341E-2</v>
      </c>
      <c r="J517" s="58" t="s">
        <v>2029</v>
      </c>
      <c r="K517" s="60">
        <v>8297.4500000000007</v>
      </c>
      <c r="L517" s="63" t="s">
        <v>1048</v>
      </c>
      <c r="M517" s="90"/>
      <c r="N517" s="90">
        <v>482</v>
      </c>
    </row>
    <row r="518" spans="2:14" x14ac:dyDescent="0.3">
      <c r="B518" s="58" t="s">
        <v>428</v>
      </c>
      <c r="C518" s="60">
        <v>4338.5</v>
      </c>
      <c r="D518" s="49">
        <f t="shared" si="11"/>
        <v>3.1524687879674218E-2</v>
      </c>
      <c r="J518" s="58" t="s">
        <v>2030</v>
      </c>
      <c r="K518" s="60">
        <v>8265.9500000000007</v>
      </c>
      <c r="L518" s="63" t="s">
        <v>1049</v>
      </c>
      <c r="M518" s="90"/>
      <c r="N518" s="90">
        <v>223</v>
      </c>
    </row>
    <row r="519" spans="2:14" x14ac:dyDescent="0.3">
      <c r="B519" s="58">
        <v>45598</v>
      </c>
      <c r="C519" s="60">
        <v>4205.91</v>
      </c>
      <c r="D519" s="49">
        <f t="shared" si="11"/>
        <v>-4.8080677104652692E-3</v>
      </c>
      <c r="J519" s="58" t="s">
        <v>2031</v>
      </c>
      <c r="K519" s="60">
        <v>8199.7000000000007</v>
      </c>
      <c r="L519" s="63" t="s">
        <v>1050</v>
      </c>
      <c r="M519" s="90"/>
      <c r="N519" s="90">
        <v>230</v>
      </c>
    </row>
    <row r="520" spans="2:14" x14ac:dyDescent="0.3">
      <c r="B520" s="58">
        <v>45384</v>
      </c>
      <c r="C520" s="60">
        <v>4226.2299999999996</v>
      </c>
      <c r="D520" s="49">
        <f t="shared" si="11"/>
        <v>-3.0907906865825119E-2</v>
      </c>
      <c r="J520" s="58" t="s">
        <v>2032</v>
      </c>
      <c r="K520" s="60">
        <v>8117.65</v>
      </c>
      <c r="L520" s="63" t="s">
        <v>1051</v>
      </c>
      <c r="M520" s="90"/>
      <c r="N520" s="90">
        <v>327</v>
      </c>
    </row>
    <row r="521" spans="2:14" x14ac:dyDescent="0.3">
      <c r="B521" s="58" t="s">
        <v>429</v>
      </c>
      <c r="C521" s="60">
        <v>4361.0200000000004</v>
      </c>
      <c r="D521" s="49">
        <f t="shared" si="11"/>
        <v>4.768997551957832E-2</v>
      </c>
      <c r="J521" s="58" t="s">
        <v>2033</v>
      </c>
      <c r="K521" s="60">
        <v>8071.45</v>
      </c>
      <c r="L521" s="63" t="s">
        <v>1052</v>
      </c>
      <c r="M521" s="90"/>
      <c r="N521" s="90">
        <v>191</v>
      </c>
    </row>
    <row r="522" spans="2:14" x14ac:dyDescent="0.3">
      <c r="B522" s="58" t="s">
        <v>430</v>
      </c>
      <c r="C522" s="60">
        <v>4162.51</v>
      </c>
      <c r="D522" s="49">
        <f t="shared" si="11"/>
        <v>2.8176285186392924E-2</v>
      </c>
      <c r="J522" s="58" t="s">
        <v>2034</v>
      </c>
      <c r="K522" s="60">
        <v>8211.4</v>
      </c>
      <c r="L522" s="63" t="s">
        <v>1053</v>
      </c>
      <c r="M522" s="90"/>
      <c r="N522" s="90">
        <v>273</v>
      </c>
    </row>
    <row r="523" spans="2:14" x14ac:dyDescent="0.3">
      <c r="B523" s="58" t="s">
        <v>431</v>
      </c>
      <c r="C523" s="60">
        <v>4048.44</v>
      </c>
      <c r="D523" s="49">
        <f t="shared" si="11"/>
        <v>1.3083857883087191E-3</v>
      </c>
      <c r="J523" s="58" t="s">
        <v>2035</v>
      </c>
      <c r="K523" s="60">
        <v>8161.9</v>
      </c>
      <c r="L523" s="63" t="s">
        <v>1054</v>
      </c>
      <c r="M523" s="90"/>
      <c r="N523" s="90">
        <v>208</v>
      </c>
    </row>
    <row r="524" spans="2:14" x14ac:dyDescent="0.3">
      <c r="B524" s="58">
        <v>45474</v>
      </c>
      <c r="C524" s="60">
        <v>4043.15</v>
      </c>
      <c r="D524" s="49">
        <f t="shared" si="11"/>
        <v>2.9855270330162886E-2</v>
      </c>
      <c r="J524" s="58" t="s">
        <v>2036</v>
      </c>
      <c r="K524" s="60">
        <v>8203.5</v>
      </c>
      <c r="L524" s="63" t="s">
        <v>1055</v>
      </c>
      <c r="M524" s="90"/>
      <c r="N524" s="90">
        <v>193</v>
      </c>
    </row>
    <row r="525" spans="2:14" x14ac:dyDescent="0.3">
      <c r="B525" s="58" t="s">
        <v>379</v>
      </c>
      <c r="C525" s="60">
        <v>3925.94</v>
      </c>
      <c r="D525" s="49">
        <f t="shared" si="11"/>
        <v>3.7576379051525333E-2</v>
      </c>
      <c r="J525" s="58" t="s">
        <v>2037</v>
      </c>
      <c r="K525" s="60">
        <v>8219.2999999999993</v>
      </c>
      <c r="L525" s="63" t="s">
        <v>1056</v>
      </c>
      <c r="M525" s="90"/>
      <c r="N525" s="90">
        <v>216</v>
      </c>
    </row>
    <row r="526" spans="2:14" x14ac:dyDescent="0.3">
      <c r="B526" s="58" t="s">
        <v>380</v>
      </c>
      <c r="C526" s="60">
        <v>3783.76</v>
      </c>
      <c r="D526" s="49">
        <f t="shared" si="11"/>
        <v>1.6014993210173856E-3</v>
      </c>
      <c r="J526" s="58" t="s">
        <v>2038</v>
      </c>
      <c r="K526" s="60">
        <v>8214.85</v>
      </c>
      <c r="L526" s="63" t="s">
        <v>1057</v>
      </c>
      <c r="M526" s="90"/>
      <c r="N526" s="90">
        <v>265</v>
      </c>
    </row>
    <row r="527" spans="2:14" x14ac:dyDescent="0.3">
      <c r="B527" s="58" t="s">
        <v>381</v>
      </c>
      <c r="C527" s="60">
        <v>3777.71</v>
      </c>
      <c r="D527" s="49">
        <f t="shared" si="11"/>
        <v>-3.5609619115694824E-2</v>
      </c>
      <c r="J527" s="58" t="s">
        <v>2039</v>
      </c>
      <c r="K527" s="60">
        <v>8207.35</v>
      </c>
      <c r="L527" s="63" t="s">
        <v>1058</v>
      </c>
      <c r="M527" s="90"/>
      <c r="N527" s="90">
        <v>248</v>
      </c>
    </row>
    <row r="528" spans="2:14" x14ac:dyDescent="0.3">
      <c r="B528" s="58">
        <v>45211</v>
      </c>
      <c r="C528" s="60">
        <v>3917.2</v>
      </c>
      <c r="D528" s="49">
        <f t="shared" si="11"/>
        <v>3.2594799066836933E-2</v>
      </c>
      <c r="J528" s="58" t="s">
        <v>2040</v>
      </c>
      <c r="K528" s="60">
        <v>8251.9</v>
      </c>
      <c r="L528" s="63" t="s">
        <v>1059</v>
      </c>
      <c r="M528" s="90"/>
      <c r="N528" s="90">
        <v>282</v>
      </c>
    </row>
    <row r="529" spans="2:14" x14ac:dyDescent="0.3">
      <c r="B529" s="58">
        <v>44997</v>
      </c>
      <c r="C529" s="60">
        <v>3793.55</v>
      </c>
      <c r="D529" s="49">
        <f t="shared" si="11"/>
        <v>3.7293965809535257E-2</v>
      </c>
      <c r="J529" s="58" t="s">
        <v>2041</v>
      </c>
      <c r="K529" s="60">
        <v>8054.3</v>
      </c>
      <c r="L529" s="63" t="s">
        <v>1060</v>
      </c>
      <c r="M529" s="90"/>
      <c r="N529" s="90">
        <v>544</v>
      </c>
    </row>
    <row r="530" spans="2:14" x14ac:dyDescent="0.3">
      <c r="B530" s="58" t="s">
        <v>382</v>
      </c>
      <c r="C530" s="60">
        <v>3657.16</v>
      </c>
      <c r="D530" s="49">
        <f t="shared" si="11"/>
        <v>3.7824891383620773E-2</v>
      </c>
      <c r="J530" s="58">
        <v>45238</v>
      </c>
      <c r="K530" s="60">
        <v>8132.95</v>
      </c>
      <c r="L530" s="63" t="s">
        <v>1061</v>
      </c>
      <c r="M530" s="90"/>
      <c r="N530" s="90">
        <v>293</v>
      </c>
    </row>
    <row r="531" spans="2:14" x14ac:dyDescent="0.3">
      <c r="B531" s="58" t="s">
        <v>383</v>
      </c>
      <c r="C531" s="60">
        <v>3523.87</v>
      </c>
      <c r="D531" s="49">
        <f t="shared" si="11"/>
        <v>5.3866059532268196E-3</v>
      </c>
      <c r="J531" s="58">
        <v>45207</v>
      </c>
      <c r="K531" s="60">
        <v>8102.2</v>
      </c>
      <c r="L531" s="63" t="s">
        <v>1062</v>
      </c>
      <c r="M531" s="90"/>
      <c r="N531" s="90">
        <v>296</v>
      </c>
    </row>
    <row r="532" spans="2:14" x14ac:dyDescent="0.3">
      <c r="B532" s="58">
        <v>45271</v>
      </c>
      <c r="C532" s="60">
        <v>3504.99</v>
      </c>
      <c r="D532" s="49">
        <f t="shared" si="11"/>
        <v>1.3181514660099092E-2</v>
      </c>
      <c r="J532" s="58">
        <v>45177</v>
      </c>
      <c r="K532" s="60">
        <v>8111.25</v>
      </c>
      <c r="L532" s="63" t="s">
        <v>1063</v>
      </c>
      <c r="M532" s="90"/>
      <c r="N532" s="90">
        <v>222</v>
      </c>
    </row>
    <row r="533" spans="2:14" x14ac:dyDescent="0.3">
      <c r="B533" s="58">
        <v>45057</v>
      </c>
      <c r="C533" s="60">
        <v>3459.39</v>
      </c>
      <c r="D533" s="49">
        <f t="shared" si="11"/>
        <v>0.10596430877830132</v>
      </c>
      <c r="J533" s="58">
        <v>45146</v>
      </c>
      <c r="K533" s="60">
        <v>8156.85</v>
      </c>
      <c r="L533" s="63" t="s">
        <v>1064</v>
      </c>
      <c r="M533" s="90"/>
      <c r="N533" s="90">
        <v>166</v>
      </c>
    </row>
    <row r="534" spans="2:14" x14ac:dyDescent="0.3">
      <c r="B534" s="58" t="s">
        <v>384</v>
      </c>
      <c r="C534" s="60">
        <v>3127.94</v>
      </c>
      <c r="D534" s="49">
        <f t="shared" si="11"/>
        <v>1.8060505459812193E-2</v>
      </c>
      <c r="J534" s="58">
        <v>45115</v>
      </c>
      <c r="K534" s="60">
        <v>8175.45</v>
      </c>
      <c r="L534" s="63" t="s">
        <v>1065</v>
      </c>
      <c r="M534" s="90"/>
      <c r="N534" s="90">
        <v>195</v>
      </c>
    </row>
    <row r="535" spans="2:14" x14ac:dyDescent="0.3">
      <c r="B535" s="58" t="s">
        <v>385</v>
      </c>
      <c r="C535" s="60">
        <v>3072.45</v>
      </c>
      <c r="D535" s="49">
        <f t="shared" si="11"/>
        <v>-6.8313658183053239E-2</v>
      </c>
      <c r="J535" s="58">
        <v>45024</v>
      </c>
      <c r="K535" s="60">
        <v>8158.15</v>
      </c>
      <c r="L535" s="63" t="s">
        <v>1066</v>
      </c>
      <c r="M535" s="90"/>
      <c r="N535" s="90">
        <v>248</v>
      </c>
    </row>
    <row r="536" spans="2:14" x14ac:dyDescent="0.3">
      <c r="B536" s="58" t="s">
        <v>386</v>
      </c>
      <c r="C536" s="60">
        <v>3297.73</v>
      </c>
      <c r="D536" s="49">
        <f t="shared" si="11"/>
        <v>1.5873944920214544E-2</v>
      </c>
      <c r="J536" s="58">
        <v>44993</v>
      </c>
      <c r="K536" s="60">
        <v>8136.15</v>
      </c>
      <c r="L536" s="63" t="s">
        <v>1067</v>
      </c>
      <c r="M536" s="90"/>
      <c r="N536" s="90">
        <v>390</v>
      </c>
    </row>
    <row r="537" spans="2:14" x14ac:dyDescent="0.3">
      <c r="B537" s="58">
        <v>45148</v>
      </c>
      <c r="C537" s="60">
        <v>3246.2</v>
      </c>
      <c r="D537" s="49">
        <f t="shared" si="11"/>
        <v>2.8156969562600942E-2</v>
      </c>
      <c r="J537" s="58">
        <v>44965</v>
      </c>
      <c r="K537" s="60">
        <v>8287.7000000000007</v>
      </c>
      <c r="L537" s="63" t="s">
        <v>1068</v>
      </c>
      <c r="M537" s="90"/>
      <c r="N537" s="90">
        <v>134</v>
      </c>
    </row>
    <row r="538" spans="2:14" x14ac:dyDescent="0.3">
      <c r="B538" s="58">
        <v>44936</v>
      </c>
      <c r="C538" s="60">
        <v>3157.3</v>
      </c>
      <c r="D538" s="49">
        <f t="shared" si="11"/>
        <v>-5.7877367996774787E-3</v>
      </c>
      <c r="J538" s="58">
        <v>44934</v>
      </c>
      <c r="K538" s="60">
        <v>8281.7999999999993</v>
      </c>
      <c r="L538" s="63" t="s">
        <v>1069</v>
      </c>
      <c r="M538" s="90"/>
      <c r="N538" s="90">
        <v>217</v>
      </c>
    </row>
    <row r="539" spans="2:14" x14ac:dyDescent="0.3">
      <c r="B539" s="58" t="s">
        <v>432</v>
      </c>
      <c r="C539" s="60">
        <v>3175.68</v>
      </c>
      <c r="D539" s="49">
        <f t="shared" si="11"/>
        <v>7.4615501751180702E-3</v>
      </c>
      <c r="J539" s="58" t="s">
        <v>2042</v>
      </c>
      <c r="K539" s="60">
        <v>8318.15</v>
      </c>
      <c r="L539" s="63" t="s">
        <v>1070</v>
      </c>
      <c r="M539" s="90"/>
      <c r="N539" s="90">
        <v>240</v>
      </c>
    </row>
    <row r="540" spans="2:14" x14ac:dyDescent="0.3">
      <c r="B540" s="58" t="s">
        <v>433</v>
      </c>
      <c r="C540" s="60">
        <v>3152.16</v>
      </c>
      <c r="D540" s="49">
        <f>(C540/C541)-1</f>
        <v>-3.6893773430983434E-2</v>
      </c>
      <c r="J540" s="58" t="s">
        <v>2043</v>
      </c>
      <c r="K540" s="60">
        <v>8306.75</v>
      </c>
      <c r="L540" s="63" t="s">
        <v>1071</v>
      </c>
      <c r="M540" s="90"/>
      <c r="N540" s="90">
        <v>205</v>
      </c>
    </row>
    <row r="541" spans="2:14" ht="15" thickBot="1" x14ac:dyDescent="0.35">
      <c r="B541" s="139">
        <v>45208</v>
      </c>
      <c r="C541" s="152">
        <v>3272.91</v>
      </c>
      <c r="D541" s="153"/>
      <c r="J541" s="58" t="s">
        <v>2044</v>
      </c>
      <c r="K541" s="60">
        <v>8288.25</v>
      </c>
      <c r="L541" s="63" t="s">
        <v>1072</v>
      </c>
      <c r="M541" s="90"/>
      <c r="N541" s="90">
        <v>216</v>
      </c>
    </row>
    <row r="542" spans="2:14" ht="15" thickTop="1" x14ac:dyDescent="0.3">
      <c r="J542" s="58" t="s">
        <v>2045</v>
      </c>
      <c r="K542" s="60">
        <v>8352.35</v>
      </c>
      <c r="L542" s="63" t="s">
        <v>1073</v>
      </c>
      <c r="M542" s="90"/>
      <c r="N542" s="90">
        <v>191</v>
      </c>
    </row>
    <row r="543" spans="2:14" x14ac:dyDescent="0.3">
      <c r="B543" s="137" t="s">
        <v>439</v>
      </c>
      <c r="J543" s="58" t="s">
        <v>2046</v>
      </c>
      <c r="K543" s="60">
        <v>8393.2999999999993</v>
      </c>
      <c r="L543" s="63" t="s">
        <v>1074</v>
      </c>
      <c r="M543" s="90"/>
      <c r="N543" s="90">
        <v>583</v>
      </c>
    </row>
    <row r="544" spans="2:14" x14ac:dyDescent="0.3">
      <c r="J544" s="58" t="s">
        <v>2047</v>
      </c>
      <c r="K544" s="60">
        <v>8219.85</v>
      </c>
      <c r="L544" s="63" t="s">
        <v>1075</v>
      </c>
      <c r="M544" s="90"/>
      <c r="N544" s="90">
        <v>482</v>
      </c>
    </row>
    <row r="545" spans="2:14" x14ac:dyDescent="0.3">
      <c r="B545" s="134" t="s">
        <v>97</v>
      </c>
      <c r="C545" s="133" t="s">
        <v>98</v>
      </c>
      <c r="D545" s="136" t="s">
        <v>99</v>
      </c>
      <c r="J545" s="58" t="s">
        <v>2048</v>
      </c>
      <c r="K545" s="60">
        <v>8119.2</v>
      </c>
      <c r="L545" s="63" t="s">
        <v>1076</v>
      </c>
      <c r="M545" s="90"/>
      <c r="N545" s="90">
        <v>656</v>
      </c>
    </row>
    <row r="546" spans="2:14" x14ac:dyDescent="0.3">
      <c r="B546" s="58" t="s">
        <v>387</v>
      </c>
      <c r="C546" s="60">
        <v>1835</v>
      </c>
      <c r="D546" s="49">
        <f t="shared" ref="D546:D609" si="12">(C546/C547)-1</f>
        <v>1.8426018426018542E-2</v>
      </c>
      <c r="J546" s="58" t="s">
        <v>2049</v>
      </c>
      <c r="K546" s="60">
        <v>8224.15</v>
      </c>
      <c r="L546" s="63" t="s">
        <v>1077</v>
      </c>
      <c r="M546" s="90"/>
      <c r="N546" s="90">
        <v>307</v>
      </c>
    </row>
    <row r="547" spans="2:14" x14ac:dyDescent="0.3">
      <c r="B547" s="58" t="s">
        <v>388</v>
      </c>
      <c r="C547" s="60">
        <v>1801.8</v>
      </c>
      <c r="D547" s="49">
        <f t="shared" si="12"/>
        <v>-1.0597990225687748E-2</v>
      </c>
      <c r="J547" s="58" t="s">
        <v>2050</v>
      </c>
      <c r="K547" s="60">
        <v>8329.2000000000007</v>
      </c>
      <c r="L547" s="63" t="s">
        <v>1078</v>
      </c>
      <c r="M547" s="90"/>
      <c r="N547" s="90">
        <v>150</v>
      </c>
    </row>
    <row r="548" spans="2:14" x14ac:dyDescent="0.3">
      <c r="B548" s="58" t="s">
        <v>389</v>
      </c>
      <c r="C548" s="60">
        <v>1821.1</v>
      </c>
      <c r="D548" s="49">
        <f t="shared" si="12"/>
        <v>2.1540360127895841E-2</v>
      </c>
      <c r="J548" s="58" t="s">
        <v>2051</v>
      </c>
      <c r="K548" s="60">
        <v>8176</v>
      </c>
      <c r="L548" s="63" t="s">
        <v>1079</v>
      </c>
      <c r="M548" s="90"/>
      <c r="N548" s="90">
        <v>280</v>
      </c>
    </row>
    <row r="549" spans="2:14" x14ac:dyDescent="0.3">
      <c r="B549" s="58">
        <v>45938</v>
      </c>
      <c r="C549" s="60">
        <v>1782.7</v>
      </c>
      <c r="D549" s="49">
        <f t="shared" si="12"/>
        <v>-3.0757185997092318E-3</v>
      </c>
      <c r="J549" s="58" t="s">
        <v>2052</v>
      </c>
      <c r="K549" s="60">
        <v>8251</v>
      </c>
      <c r="L549" s="63" t="s">
        <v>1080</v>
      </c>
      <c r="M549" s="90"/>
      <c r="N549" s="90">
        <v>202</v>
      </c>
    </row>
    <row r="550" spans="2:14" x14ac:dyDescent="0.3">
      <c r="B550" s="58">
        <v>45724</v>
      </c>
      <c r="C550" s="60">
        <v>1788.2</v>
      </c>
      <c r="D550" s="49">
        <f t="shared" si="12"/>
        <v>-3.5662543185109863E-3</v>
      </c>
      <c r="J550" s="58" t="s">
        <v>2053</v>
      </c>
      <c r="K550" s="60">
        <v>8182.55</v>
      </c>
      <c r="L550" s="63" t="s">
        <v>1081</v>
      </c>
      <c r="M550" s="90"/>
      <c r="N550" s="90">
        <v>249</v>
      </c>
    </row>
    <row r="551" spans="2:14" x14ac:dyDescent="0.3">
      <c r="B551" s="58" t="s">
        <v>390</v>
      </c>
      <c r="C551" s="60">
        <v>1794.6</v>
      </c>
      <c r="D551" s="49">
        <f t="shared" si="12"/>
        <v>-2.8738431563565592E-2</v>
      </c>
      <c r="J551" s="58" t="s">
        <v>2054</v>
      </c>
      <c r="K551" s="60">
        <v>8234</v>
      </c>
      <c r="L551" s="63" t="s">
        <v>1082</v>
      </c>
      <c r="M551" s="90"/>
      <c r="N551" s="90">
        <v>272</v>
      </c>
    </row>
    <row r="552" spans="2:14" x14ac:dyDescent="0.3">
      <c r="B552" s="58" t="s">
        <v>391</v>
      </c>
      <c r="C552" s="60">
        <v>1847.7</v>
      </c>
      <c r="D552" s="49">
        <f t="shared" si="12"/>
        <v>-6.2033605766790179E-2</v>
      </c>
      <c r="J552" s="58">
        <v>45267</v>
      </c>
      <c r="K552" s="60">
        <v>8220.5</v>
      </c>
      <c r="L552" s="63" t="s">
        <v>1083</v>
      </c>
      <c r="M552" s="90"/>
      <c r="N552" s="90">
        <v>508</v>
      </c>
    </row>
    <row r="553" spans="2:14" x14ac:dyDescent="0.3">
      <c r="B553" s="58" t="s">
        <v>392</v>
      </c>
      <c r="C553" s="60">
        <v>1969.9</v>
      </c>
      <c r="D553" s="49">
        <f t="shared" si="12"/>
        <v>-6.3556116015132114E-3</v>
      </c>
      <c r="J553" s="58">
        <v>45237</v>
      </c>
      <c r="K553" s="60">
        <v>8325.9</v>
      </c>
      <c r="L553" s="63" t="s">
        <v>1084</v>
      </c>
      <c r="M553" s="90"/>
      <c r="N553" s="90">
        <v>300</v>
      </c>
    </row>
    <row r="554" spans="2:14" x14ac:dyDescent="0.3">
      <c r="B554" s="58">
        <v>45815</v>
      </c>
      <c r="C554" s="60">
        <v>1982.5</v>
      </c>
      <c r="D554" s="49">
        <f t="shared" si="12"/>
        <v>8.9058524173029063E-3</v>
      </c>
      <c r="J554" s="58">
        <v>45206</v>
      </c>
      <c r="K554" s="60">
        <v>8351.35</v>
      </c>
      <c r="L554" s="63" t="s">
        <v>1085</v>
      </c>
      <c r="M554" s="90"/>
      <c r="N554" s="90">
        <v>173</v>
      </c>
    </row>
    <row r="555" spans="2:14" x14ac:dyDescent="0.3">
      <c r="B555" s="58" t="s">
        <v>393</v>
      </c>
      <c r="C555" s="60">
        <v>1965</v>
      </c>
      <c r="D555" s="49">
        <f t="shared" si="12"/>
        <v>2.3330903030934325E-2</v>
      </c>
      <c r="J555" s="58">
        <v>45114</v>
      </c>
      <c r="K555" s="60">
        <v>8336.4500000000007</v>
      </c>
      <c r="L555" s="63" t="s">
        <v>1086</v>
      </c>
      <c r="M555" s="90"/>
      <c r="N555" s="90">
        <v>354</v>
      </c>
    </row>
    <row r="556" spans="2:14" x14ac:dyDescent="0.3">
      <c r="B556" s="58" t="s">
        <v>394</v>
      </c>
      <c r="C556" s="60">
        <v>1920.2</v>
      </c>
      <c r="D556" s="49">
        <f t="shared" si="12"/>
        <v>5.3318705430609015E-2</v>
      </c>
      <c r="J556" s="58">
        <v>45084</v>
      </c>
      <c r="K556" s="60">
        <v>8410.2000000000007</v>
      </c>
      <c r="L556" s="63" t="s">
        <v>1087</v>
      </c>
      <c r="M556" s="90"/>
      <c r="N556" s="90">
        <v>275</v>
      </c>
    </row>
    <row r="557" spans="2:14" x14ac:dyDescent="0.3">
      <c r="B557" s="58" t="s">
        <v>395</v>
      </c>
      <c r="C557" s="60">
        <v>1823</v>
      </c>
      <c r="D557" s="49">
        <f t="shared" si="12"/>
        <v>-1.2566352507853984E-2</v>
      </c>
      <c r="J557" s="58">
        <v>45053</v>
      </c>
      <c r="K557" s="60">
        <v>8377.2000000000007</v>
      </c>
      <c r="L557" s="63" t="s">
        <v>1088</v>
      </c>
      <c r="M557" s="90"/>
      <c r="N557" s="90">
        <v>195</v>
      </c>
    </row>
    <row r="558" spans="2:14" x14ac:dyDescent="0.3">
      <c r="B558" s="58">
        <v>45875</v>
      </c>
      <c r="C558" s="60">
        <v>1846.2</v>
      </c>
      <c r="D558" s="49">
        <f t="shared" si="12"/>
        <v>-3.050989865042264E-2</v>
      </c>
      <c r="J558" s="58">
        <v>45023</v>
      </c>
      <c r="K558" s="60">
        <v>8411.7000000000007</v>
      </c>
      <c r="L558" s="63" t="s">
        <v>1089</v>
      </c>
      <c r="M558" s="90"/>
      <c r="N558" s="90">
        <v>206</v>
      </c>
    </row>
    <row r="559" spans="2:14" x14ac:dyDescent="0.3">
      <c r="B559" s="58">
        <v>45663</v>
      </c>
      <c r="C559" s="60">
        <v>1904.3</v>
      </c>
      <c r="D559" s="49">
        <f t="shared" si="12"/>
        <v>1.1419162948799633E-2</v>
      </c>
      <c r="J559" s="58">
        <v>44992</v>
      </c>
      <c r="K559" s="60">
        <v>8463.7999999999993</v>
      </c>
      <c r="L559" s="63" t="s">
        <v>1090</v>
      </c>
      <c r="M559" s="90"/>
      <c r="N559" s="90">
        <v>373</v>
      </c>
    </row>
    <row r="560" spans="2:14" x14ac:dyDescent="0.3">
      <c r="B560" s="58" t="s">
        <v>396</v>
      </c>
      <c r="C560" s="60">
        <v>1882.8</v>
      </c>
      <c r="D560" s="49">
        <f t="shared" si="12"/>
        <v>-3.9093600081657742E-2</v>
      </c>
      <c r="J560" s="58" t="s">
        <v>2055</v>
      </c>
      <c r="K560" s="60">
        <v>8294.75</v>
      </c>
      <c r="L560" s="63" t="s">
        <v>1091</v>
      </c>
      <c r="M560" s="90"/>
      <c r="N560" s="90">
        <v>225</v>
      </c>
    </row>
    <row r="561" spans="2:14" x14ac:dyDescent="0.3">
      <c r="B561" s="58" t="s">
        <v>397</v>
      </c>
      <c r="C561" s="60">
        <v>1959.4</v>
      </c>
      <c r="D561" s="49">
        <f t="shared" si="12"/>
        <v>1.6075503007674685E-2</v>
      </c>
      <c r="J561" s="58" t="s">
        <v>2056</v>
      </c>
      <c r="K561" s="60">
        <v>8260.65</v>
      </c>
      <c r="L561" s="63" t="s">
        <v>1092</v>
      </c>
      <c r="M561" s="90"/>
      <c r="N561" s="90">
        <v>282</v>
      </c>
    </row>
    <row r="562" spans="2:14" x14ac:dyDescent="0.3">
      <c r="B562" s="58">
        <v>45966</v>
      </c>
      <c r="C562" s="60">
        <v>1928.4</v>
      </c>
      <c r="D562" s="49">
        <f t="shared" si="12"/>
        <v>6.4473393685140268E-2</v>
      </c>
      <c r="J562" s="58" t="s">
        <v>2057</v>
      </c>
      <c r="K562" s="60">
        <v>8208.5</v>
      </c>
      <c r="L562" s="63" t="s">
        <v>1093</v>
      </c>
      <c r="M562" s="90"/>
      <c r="N562" s="90">
        <v>236</v>
      </c>
    </row>
    <row r="563" spans="2:14" x14ac:dyDescent="0.3">
      <c r="B563" s="58">
        <v>45752</v>
      </c>
      <c r="C563" s="60">
        <v>1811.6</v>
      </c>
      <c r="D563" s="49">
        <f t="shared" si="12"/>
        <v>-2.8163725122042793E-2</v>
      </c>
      <c r="J563" s="58" t="s">
        <v>2058</v>
      </c>
      <c r="K563" s="60">
        <v>8167.1</v>
      </c>
      <c r="L563" s="63" t="s">
        <v>1094</v>
      </c>
      <c r="M563" s="90"/>
      <c r="N563" s="90">
        <v>241</v>
      </c>
    </row>
    <row r="564" spans="2:14" x14ac:dyDescent="0.3">
      <c r="B564" s="58" t="s">
        <v>398</v>
      </c>
      <c r="C564" s="60">
        <v>1864.1</v>
      </c>
      <c r="D564" s="49">
        <f t="shared" si="12"/>
        <v>-3.8132094943240546E-2</v>
      </c>
      <c r="J564" s="58" t="s">
        <v>2059</v>
      </c>
      <c r="K564" s="60">
        <v>8080.2</v>
      </c>
      <c r="L564" s="63" t="s">
        <v>1095</v>
      </c>
      <c r="M564" s="90"/>
      <c r="N564" s="90">
        <v>198</v>
      </c>
    </row>
    <row r="565" spans="2:14" x14ac:dyDescent="0.3">
      <c r="B565" s="58" t="s">
        <v>399</v>
      </c>
      <c r="C565" s="60">
        <v>1938</v>
      </c>
      <c r="D565" s="49">
        <f t="shared" si="12"/>
        <v>-5.9999029926759428E-2</v>
      </c>
      <c r="J565" s="58" t="s">
        <v>2060</v>
      </c>
      <c r="K565" s="60">
        <v>8162.75</v>
      </c>
      <c r="L565" s="63" t="s">
        <v>1096</v>
      </c>
      <c r="M565" s="90"/>
      <c r="N565" s="90">
        <v>226</v>
      </c>
    </row>
    <row r="566" spans="2:14" x14ac:dyDescent="0.3">
      <c r="B566" s="58" t="s">
        <v>400</v>
      </c>
      <c r="C566" s="60">
        <v>2061.6999999999998</v>
      </c>
      <c r="D566" s="49">
        <f t="shared" si="12"/>
        <v>2.7075497546516614E-2</v>
      </c>
      <c r="J566" s="58" t="s">
        <v>2061</v>
      </c>
      <c r="K566" s="60">
        <v>8241.5499999999993</v>
      </c>
      <c r="L566" s="63" t="s">
        <v>1097</v>
      </c>
      <c r="M566" s="90"/>
      <c r="N566" s="90">
        <v>373</v>
      </c>
    </row>
    <row r="567" spans="2:14" x14ac:dyDescent="0.3">
      <c r="B567" s="58">
        <v>45812</v>
      </c>
      <c r="C567" s="60">
        <v>2007.35</v>
      </c>
      <c r="D567" s="49">
        <f t="shared" si="12"/>
        <v>2.087677363576268E-2</v>
      </c>
      <c r="J567" s="58" t="s">
        <v>2062</v>
      </c>
      <c r="K567" s="60">
        <v>8243.4500000000007</v>
      </c>
      <c r="L567" s="63" t="s">
        <v>1098</v>
      </c>
      <c r="M567" s="90"/>
      <c r="N567" s="90">
        <v>343</v>
      </c>
    </row>
    <row r="568" spans="2:14" x14ac:dyDescent="0.3">
      <c r="B568" s="58" t="s">
        <v>401</v>
      </c>
      <c r="C568" s="60">
        <v>1966.3</v>
      </c>
      <c r="D568" s="49">
        <f t="shared" si="12"/>
        <v>1.217409209070075E-2</v>
      </c>
      <c r="J568" s="58" t="s">
        <v>2063</v>
      </c>
      <c r="K568" s="60">
        <v>8268.6</v>
      </c>
      <c r="L568" s="63" t="s">
        <v>1099</v>
      </c>
      <c r="M568" s="90"/>
      <c r="N568" s="90">
        <v>187</v>
      </c>
    </row>
    <row r="569" spans="2:14" x14ac:dyDescent="0.3">
      <c r="B569" s="58" t="s">
        <v>402</v>
      </c>
      <c r="C569" s="60">
        <v>1942.65</v>
      </c>
      <c r="D569" s="49">
        <f t="shared" si="12"/>
        <v>1.4094432699083947E-2</v>
      </c>
      <c r="J569" s="58" t="s">
        <v>2064</v>
      </c>
      <c r="K569" s="60">
        <v>8333.25</v>
      </c>
      <c r="L569" s="63" t="s">
        <v>1100</v>
      </c>
      <c r="M569" s="90"/>
      <c r="N569" s="90">
        <v>356</v>
      </c>
    </row>
    <row r="570" spans="2:14" x14ac:dyDescent="0.3">
      <c r="B570" s="58" t="s">
        <v>403</v>
      </c>
      <c r="C570" s="60">
        <v>1915.65</v>
      </c>
      <c r="D570" s="49">
        <f t="shared" si="12"/>
        <v>3.3252427184466082E-2</v>
      </c>
      <c r="J570" s="58" t="s">
        <v>2065</v>
      </c>
      <c r="K570" s="60">
        <v>8333.2000000000007</v>
      </c>
      <c r="L570" s="63" t="s">
        <v>1101</v>
      </c>
      <c r="M570" s="90"/>
      <c r="N570" s="90">
        <v>406</v>
      </c>
    </row>
    <row r="571" spans="2:14" x14ac:dyDescent="0.3">
      <c r="B571" s="58">
        <v>45903</v>
      </c>
      <c r="C571" s="60">
        <v>1854</v>
      </c>
      <c r="D571" s="49">
        <f t="shared" si="12"/>
        <v>-1.6836802333289103E-2</v>
      </c>
      <c r="J571" s="58" t="s">
        <v>2066</v>
      </c>
      <c r="K571" s="60">
        <v>8358.2999999999993</v>
      </c>
      <c r="L571" s="63" t="s">
        <v>1102</v>
      </c>
      <c r="M571" s="90"/>
      <c r="N571" s="90">
        <v>289</v>
      </c>
    </row>
    <row r="572" spans="2:14" x14ac:dyDescent="0.3">
      <c r="B572" s="58">
        <v>45691</v>
      </c>
      <c r="C572" s="60">
        <v>1885.75</v>
      </c>
      <c r="D572" s="49">
        <f t="shared" si="12"/>
        <v>3.6952517115284245E-2</v>
      </c>
      <c r="J572" s="58" t="s">
        <v>2067</v>
      </c>
      <c r="K572" s="60">
        <v>8276.2999999999993</v>
      </c>
      <c r="L572" s="63" t="s">
        <v>1103</v>
      </c>
      <c r="M572" s="90"/>
      <c r="N572" s="90">
        <v>249</v>
      </c>
    </row>
    <row r="573" spans="2:14" x14ac:dyDescent="0.3">
      <c r="B573" s="58" t="s">
        <v>404</v>
      </c>
      <c r="C573" s="60">
        <v>1818.55</v>
      </c>
      <c r="D573" s="49">
        <f t="shared" si="12"/>
        <v>-3.4739915074309957E-2</v>
      </c>
      <c r="J573" s="58">
        <v>45266</v>
      </c>
      <c r="K573" s="60">
        <v>8198.6</v>
      </c>
      <c r="L573" s="63" t="s">
        <v>1104</v>
      </c>
      <c r="M573" s="90"/>
      <c r="N573" s="90">
        <v>195</v>
      </c>
    </row>
    <row r="574" spans="2:14" x14ac:dyDescent="0.3">
      <c r="B574" s="58" t="s">
        <v>405</v>
      </c>
      <c r="C574" s="60">
        <v>1884</v>
      </c>
      <c r="D574" s="49">
        <f t="shared" si="12"/>
        <v>5.3630032818376971E-3</v>
      </c>
      <c r="J574" s="58">
        <v>45175</v>
      </c>
      <c r="K574" s="60">
        <v>8153.25</v>
      </c>
      <c r="L574" s="63" t="s">
        <v>1105</v>
      </c>
      <c r="M574" s="90"/>
      <c r="N574" s="90">
        <v>325</v>
      </c>
    </row>
    <row r="575" spans="2:14" x14ac:dyDescent="0.3">
      <c r="B575" s="58">
        <v>45902</v>
      </c>
      <c r="C575" s="60">
        <v>1873.95</v>
      </c>
      <c r="D575" s="49">
        <f t="shared" si="12"/>
        <v>-6.2603171427142112E-2</v>
      </c>
      <c r="J575" s="58">
        <v>45144</v>
      </c>
      <c r="K575" s="60">
        <v>8100.15</v>
      </c>
      <c r="L575" s="63" t="s">
        <v>1106</v>
      </c>
      <c r="M575" s="90"/>
      <c r="N575" s="90">
        <v>349</v>
      </c>
    </row>
    <row r="576" spans="2:14" x14ac:dyDescent="0.3">
      <c r="B576" s="58">
        <v>45690</v>
      </c>
      <c r="C576" s="60">
        <v>1999.1</v>
      </c>
      <c r="D576" s="49">
        <f t="shared" si="12"/>
        <v>-4.2587104325954028E-3</v>
      </c>
      <c r="J576" s="58">
        <v>45113</v>
      </c>
      <c r="K576" s="60">
        <v>8157.6</v>
      </c>
      <c r="L576" s="63" t="s">
        <v>1107</v>
      </c>
      <c r="M576" s="90"/>
      <c r="N576" s="90">
        <v>298</v>
      </c>
    </row>
    <row r="577" spans="2:14" x14ac:dyDescent="0.3">
      <c r="B577" s="58" t="s">
        <v>406</v>
      </c>
      <c r="C577" s="60">
        <v>2007.65</v>
      </c>
      <c r="D577" s="49">
        <f t="shared" si="12"/>
        <v>-2.4915612326671277E-2</v>
      </c>
      <c r="J577" s="58">
        <v>45083</v>
      </c>
      <c r="K577" s="60">
        <v>8109.55</v>
      </c>
      <c r="L577" s="63" t="s">
        <v>1108</v>
      </c>
      <c r="M577" s="90"/>
      <c r="N577" s="90">
        <v>635</v>
      </c>
    </row>
    <row r="578" spans="2:14" x14ac:dyDescent="0.3">
      <c r="B578" s="58" t="s">
        <v>407</v>
      </c>
      <c r="C578" s="60">
        <v>2058.9499999999998</v>
      </c>
      <c r="D578" s="49">
        <f t="shared" si="12"/>
        <v>2.1862127152712185E-2</v>
      </c>
      <c r="J578" s="58">
        <v>45052</v>
      </c>
      <c r="K578" s="60">
        <v>7882</v>
      </c>
      <c r="L578" s="63" t="s">
        <v>1109</v>
      </c>
      <c r="M578" s="90"/>
      <c r="N578" s="90">
        <v>186</v>
      </c>
    </row>
    <row r="579" spans="2:14" x14ac:dyDescent="0.3">
      <c r="B579" s="58">
        <v>45992</v>
      </c>
      <c r="C579" s="60">
        <v>2014.9</v>
      </c>
      <c r="D579" s="49">
        <f t="shared" si="12"/>
        <v>4.3421972502006856E-2</v>
      </c>
      <c r="J579" s="58">
        <v>44963</v>
      </c>
      <c r="K579" s="60">
        <v>7850.65</v>
      </c>
      <c r="L579" s="63" t="s">
        <v>1110</v>
      </c>
      <c r="M579" s="90"/>
      <c r="N579" s="90">
        <v>248</v>
      </c>
    </row>
    <row r="580" spans="2:14" x14ac:dyDescent="0.3">
      <c r="B580" s="58">
        <v>45778</v>
      </c>
      <c r="C580" s="60">
        <v>1931.05</v>
      </c>
      <c r="D580" s="49">
        <f t="shared" si="12"/>
        <v>-6.029343779653995E-2</v>
      </c>
      <c r="J580" s="58">
        <v>44932</v>
      </c>
      <c r="K580" s="60">
        <v>7842.8</v>
      </c>
      <c r="L580" s="63" t="s">
        <v>1111</v>
      </c>
      <c r="M580" s="90"/>
      <c r="N580" s="90">
        <v>184</v>
      </c>
    </row>
    <row r="581" spans="2:14" x14ac:dyDescent="0.3">
      <c r="B581" s="58" t="s">
        <v>371</v>
      </c>
      <c r="C581" s="60">
        <v>2054.9499999999998</v>
      </c>
      <c r="D581" s="49">
        <f t="shared" si="12"/>
        <v>-5.1558869093726312E-3</v>
      </c>
      <c r="J581" s="58" t="s">
        <v>2068</v>
      </c>
      <c r="K581" s="60">
        <v>7870.05</v>
      </c>
      <c r="L581" s="63">
        <v>1000</v>
      </c>
      <c r="M581" s="90"/>
      <c r="N581" s="90">
        <v>1000</v>
      </c>
    </row>
    <row r="582" spans="2:14" x14ac:dyDescent="0.3">
      <c r="B582" s="58" t="s">
        <v>372</v>
      </c>
      <c r="C582" s="60">
        <v>2065.6</v>
      </c>
      <c r="D582" s="49">
        <f t="shared" si="12"/>
        <v>9.449276766893E-4</v>
      </c>
      <c r="J582" s="58" t="s">
        <v>2069</v>
      </c>
      <c r="K582" s="60">
        <v>7901.95</v>
      </c>
      <c r="L582" s="63" t="s">
        <v>1112</v>
      </c>
      <c r="M582" s="90"/>
      <c r="N582" s="90">
        <v>414</v>
      </c>
    </row>
    <row r="583" spans="2:14" x14ac:dyDescent="0.3">
      <c r="B583" s="58" t="s">
        <v>373</v>
      </c>
      <c r="C583" s="60">
        <v>2063.65</v>
      </c>
      <c r="D583" s="49">
        <f t="shared" si="12"/>
        <v>-8.2026645314828395E-2</v>
      </c>
      <c r="J583" s="58" t="s">
        <v>2070</v>
      </c>
      <c r="K583" s="60">
        <v>7840.55</v>
      </c>
      <c r="L583" s="63" t="s">
        <v>1113</v>
      </c>
      <c r="M583" s="90"/>
      <c r="N583" s="90">
        <v>210</v>
      </c>
    </row>
    <row r="584" spans="2:14" x14ac:dyDescent="0.3">
      <c r="B584" s="58">
        <v>45516</v>
      </c>
      <c r="C584" s="60">
        <v>2248.0500000000002</v>
      </c>
      <c r="D584" s="49">
        <f t="shared" si="12"/>
        <v>-4.5608519494320099E-3</v>
      </c>
      <c r="J584" s="58" t="s">
        <v>2071</v>
      </c>
      <c r="K584" s="60">
        <v>7721.85</v>
      </c>
      <c r="L584" s="63" t="s">
        <v>1114</v>
      </c>
      <c r="M584" s="90"/>
      <c r="N584" s="90">
        <v>252</v>
      </c>
    </row>
    <row r="585" spans="2:14" x14ac:dyDescent="0.3">
      <c r="B585" s="58">
        <v>45303</v>
      </c>
      <c r="C585" s="60">
        <v>2258.35</v>
      </c>
      <c r="D585" s="49">
        <f t="shared" si="12"/>
        <v>1.6107624125441422E-2</v>
      </c>
      <c r="J585" s="58" t="s">
        <v>2072</v>
      </c>
      <c r="K585" s="60">
        <v>7621.75</v>
      </c>
      <c r="L585" s="63" t="s">
        <v>1115</v>
      </c>
      <c r="M585" s="90"/>
      <c r="N585" s="90">
        <v>257</v>
      </c>
    </row>
    <row r="586" spans="2:14" x14ac:dyDescent="0.3">
      <c r="B586" s="58" t="s">
        <v>374</v>
      </c>
      <c r="C586" s="60">
        <v>2222.5500000000002</v>
      </c>
      <c r="D586" s="49">
        <f t="shared" si="12"/>
        <v>6.3624617151608165E-2</v>
      </c>
      <c r="J586" s="58" t="s">
        <v>2073</v>
      </c>
      <c r="K586" s="60">
        <v>7653.8</v>
      </c>
      <c r="L586" s="63" t="s">
        <v>1116</v>
      </c>
      <c r="M586" s="90"/>
      <c r="N586" s="90">
        <v>160</v>
      </c>
    </row>
    <row r="587" spans="2:14" x14ac:dyDescent="0.3">
      <c r="B587" s="58" t="s">
        <v>375</v>
      </c>
      <c r="C587" s="60">
        <v>2089.6</v>
      </c>
      <c r="D587" s="49">
        <f t="shared" si="12"/>
        <v>-4.5038045837808238E-2</v>
      </c>
      <c r="J587" s="58" t="s">
        <v>2074</v>
      </c>
      <c r="K587" s="60">
        <v>7654.25</v>
      </c>
      <c r="L587" s="63" t="s">
        <v>1117</v>
      </c>
      <c r="M587" s="90"/>
      <c r="N587" s="90">
        <v>149</v>
      </c>
    </row>
    <row r="588" spans="2:14" x14ac:dyDescent="0.3">
      <c r="B588" s="58">
        <v>45576</v>
      </c>
      <c r="C588" s="60">
        <v>2188.15</v>
      </c>
      <c r="D588" s="49">
        <f t="shared" si="12"/>
        <v>-4.5059788775421161E-2</v>
      </c>
      <c r="J588" s="58" t="s">
        <v>2075</v>
      </c>
      <c r="K588" s="60">
        <v>7715.65</v>
      </c>
      <c r="L588" s="63" t="s">
        <v>1118</v>
      </c>
      <c r="M588" s="90"/>
      <c r="N588" s="90">
        <v>139</v>
      </c>
    </row>
    <row r="589" spans="2:14" x14ac:dyDescent="0.3">
      <c r="B589" s="58">
        <v>45362</v>
      </c>
      <c r="C589" s="60">
        <v>2291.4</v>
      </c>
      <c r="D589" s="49">
        <f t="shared" si="12"/>
        <v>-1.5658225401121162E-2</v>
      </c>
      <c r="J589" s="58" t="s">
        <v>2076</v>
      </c>
      <c r="K589" s="60">
        <v>7681.3</v>
      </c>
      <c r="L589" s="63" t="s">
        <v>1119</v>
      </c>
      <c r="M589" s="90"/>
      <c r="N589" s="90">
        <v>138</v>
      </c>
    </row>
    <row r="590" spans="2:14" x14ac:dyDescent="0.3">
      <c r="B590" s="58" t="s">
        <v>376</v>
      </c>
      <c r="C590" s="60">
        <v>2327.85</v>
      </c>
      <c r="D590" s="49">
        <f t="shared" si="12"/>
        <v>4.0240414693001991E-2</v>
      </c>
      <c r="J590" s="58" t="s">
        <v>2077</v>
      </c>
      <c r="K590" s="60">
        <v>7604.15</v>
      </c>
      <c r="L590" s="63" t="s">
        <v>1120</v>
      </c>
      <c r="M590" s="90"/>
      <c r="N590" s="90">
        <v>157</v>
      </c>
    </row>
    <row r="591" spans="2:14" x14ac:dyDescent="0.3">
      <c r="B591" s="58" t="s">
        <v>377</v>
      </c>
      <c r="C591" s="60">
        <v>2237.8000000000002</v>
      </c>
      <c r="D591" s="49">
        <f t="shared" si="12"/>
        <v>-2.0934963795856687E-2</v>
      </c>
      <c r="J591" s="58" t="s">
        <v>2078</v>
      </c>
      <c r="K591" s="60">
        <v>7700.45</v>
      </c>
      <c r="L591" s="63" t="s">
        <v>1121</v>
      </c>
      <c r="M591" s="90"/>
      <c r="N591" s="90">
        <v>205</v>
      </c>
    </row>
    <row r="592" spans="2:14" x14ac:dyDescent="0.3">
      <c r="B592" s="58" t="s">
        <v>378</v>
      </c>
      <c r="C592" s="60">
        <v>2285.65</v>
      </c>
      <c r="D592" s="49">
        <f t="shared" si="12"/>
        <v>-1.1589439771670595E-2</v>
      </c>
      <c r="J592" s="58" t="s">
        <v>2079</v>
      </c>
      <c r="K592" s="60">
        <v>7698.7</v>
      </c>
      <c r="L592" s="63" t="s">
        <v>1122</v>
      </c>
      <c r="M592" s="90"/>
      <c r="N592" s="90">
        <v>250</v>
      </c>
    </row>
    <row r="593" spans="2:14" x14ac:dyDescent="0.3">
      <c r="B593" s="58">
        <v>45453</v>
      </c>
      <c r="C593" s="60">
        <v>2312.4499999999998</v>
      </c>
      <c r="D593" s="49">
        <f t="shared" si="12"/>
        <v>-4.9840780688238384E-2</v>
      </c>
      <c r="J593" s="58" t="s">
        <v>2080</v>
      </c>
      <c r="K593" s="60">
        <v>7760.95</v>
      </c>
      <c r="L593" s="63" t="s">
        <v>1123</v>
      </c>
      <c r="M593" s="90"/>
      <c r="N593" s="90">
        <v>183</v>
      </c>
    </row>
    <row r="594" spans="2:14" x14ac:dyDescent="0.3">
      <c r="B594" s="58" t="s">
        <v>408</v>
      </c>
      <c r="C594" s="60">
        <v>2433.75</v>
      </c>
      <c r="D594" s="49">
        <f t="shared" si="12"/>
        <v>-1.9953287963596855E-2</v>
      </c>
      <c r="J594" s="58">
        <v>45265</v>
      </c>
      <c r="K594" s="60">
        <v>7702.95</v>
      </c>
      <c r="L594" s="63" t="s">
        <v>1124</v>
      </c>
      <c r="M594" s="90"/>
      <c r="N594" s="90">
        <v>246</v>
      </c>
    </row>
    <row r="595" spans="2:14" x14ac:dyDescent="0.3">
      <c r="B595" s="58" t="s">
        <v>409</v>
      </c>
      <c r="C595" s="60">
        <v>2483.3000000000002</v>
      </c>
      <c r="D595" s="49">
        <f t="shared" si="12"/>
        <v>1.6412901113294298E-2</v>
      </c>
      <c r="J595" s="58">
        <v>45235</v>
      </c>
      <c r="K595" s="60">
        <v>7835.45</v>
      </c>
      <c r="L595" s="63" t="s">
        <v>1125</v>
      </c>
      <c r="M595" s="90"/>
      <c r="N595" s="90">
        <v>320</v>
      </c>
    </row>
    <row r="596" spans="2:14" x14ac:dyDescent="0.3">
      <c r="B596" s="58" t="s">
        <v>410</v>
      </c>
      <c r="C596" s="60">
        <v>2443.1999999999998</v>
      </c>
      <c r="D596" s="49">
        <f t="shared" si="12"/>
        <v>-2.949413096585829E-2</v>
      </c>
      <c r="J596" s="58">
        <v>45204</v>
      </c>
      <c r="K596" s="60">
        <v>7743.2</v>
      </c>
      <c r="L596" s="63" t="s">
        <v>1126</v>
      </c>
      <c r="M596" s="90"/>
      <c r="N596" s="90">
        <v>234</v>
      </c>
    </row>
    <row r="597" spans="2:14" x14ac:dyDescent="0.3">
      <c r="B597" s="58">
        <v>45513</v>
      </c>
      <c r="C597" s="60">
        <v>2517.4499999999998</v>
      </c>
      <c r="D597" s="49">
        <f t="shared" si="12"/>
        <v>3.624351691775729E-2</v>
      </c>
      <c r="J597" s="58">
        <v>45174</v>
      </c>
      <c r="K597" s="60">
        <v>7716.25</v>
      </c>
      <c r="L597" s="63" t="s">
        <v>1127</v>
      </c>
      <c r="M597" s="90"/>
      <c r="N597" s="90">
        <v>289</v>
      </c>
    </row>
    <row r="598" spans="2:14" x14ac:dyDescent="0.3">
      <c r="B598" s="58">
        <v>45300</v>
      </c>
      <c r="C598" s="60">
        <v>2429.4</v>
      </c>
      <c r="D598" s="49">
        <f t="shared" si="12"/>
        <v>4.30414528905394E-2</v>
      </c>
      <c r="J598" s="58">
        <v>45143</v>
      </c>
      <c r="K598" s="60">
        <v>7735.45</v>
      </c>
      <c r="L598" s="63" t="s">
        <v>1128</v>
      </c>
      <c r="M598" s="90"/>
      <c r="N598" s="90">
        <v>295</v>
      </c>
    </row>
    <row r="599" spans="2:14" x14ac:dyDescent="0.3">
      <c r="B599" s="58" t="s">
        <v>411</v>
      </c>
      <c r="C599" s="60">
        <v>2329.15</v>
      </c>
      <c r="D599" s="49">
        <f t="shared" si="12"/>
        <v>2.3238300161376735E-3</v>
      </c>
      <c r="J599" s="58">
        <v>45051</v>
      </c>
      <c r="K599" s="60">
        <v>7628.8</v>
      </c>
      <c r="L599" s="63" t="s">
        <v>1129</v>
      </c>
      <c r="M599" s="90"/>
      <c r="N599" s="90">
        <v>319</v>
      </c>
    </row>
    <row r="600" spans="2:14" x14ac:dyDescent="0.3">
      <c r="B600" s="58" t="s">
        <v>412</v>
      </c>
      <c r="C600" s="60">
        <v>2323.75</v>
      </c>
      <c r="D600" s="49">
        <f t="shared" si="12"/>
        <v>-6.0524402241327602E-3</v>
      </c>
      <c r="J600" s="58">
        <v>45021</v>
      </c>
      <c r="K600" s="60">
        <v>7502.25</v>
      </c>
      <c r="L600" s="63" t="s">
        <v>1130</v>
      </c>
      <c r="M600" s="90"/>
      <c r="N600" s="90">
        <v>232</v>
      </c>
    </row>
    <row r="601" spans="2:14" x14ac:dyDescent="0.3">
      <c r="B601" s="58">
        <v>45604</v>
      </c>
      <c r="C601" s="60">
        <v>2337.9</v>
      </c>
      <c r="D601" s="49">
        <f t="shared" si="12"/>
        <v>-5.8046820182433567E-3</v>
      </c>
      <c r="J601" s="58">
        <v>44990</v>
      </c>
      <c r="K601" s="60">
        <v>7507.2</v>
      </c>
      <c r="L601" s="63" t="s">
        <v>1131</v>
      </c>
      <c r="M601" s="90"/>
      <c r="N601" s="90">
        <v>384</v>
      </c>
    </row>
    <row r="602" spans="2:14" x14ac:dyDescent="0.3">
      <c r="B602" s="58">
        <v>45390</v>
      </c>
      <c r="C602" s="60">
        <v>2351.5500000000002</v>
      </c>
      <c r="D602" s="49">
        <f t="shared" si="12"/>
        <v>-3.4390013550691934E-2</v>
      </c>
      <c r="J602" s="58">
        <v>44962</v>
      </c>
      <c r="K602" s="60">
        <v>7456.6</v>
      </c>
      <c r="L602" s="63" t="s">
        <v>1132</v>
      </c>
      <c r="M602" s="90"/>
      <c r="N602" s="90">
        <v>544</v>
      </c>
    </row>
    <row r="603" spans="2:14" x14ac:dyDescent="0.3">
      <c r="B603" s="58" t="s">
        <v>413</v>
      </c>
      <c r="C603" s="60">
        <v>2435.3000000000002</v>
      </c>
      <c r="D603" s="49">
        <f t="shared" si="12"/>
        <v>-6.8416119962511623E-2</v>
      </c>
      <c r="J603" s="58" t="s">
        <v>2081</v>
      </c>
      <c r="K603" s="60">
        <v>7556.2</v>
      </c>
      <c r="L603" s="63" t="s">
        <v>1133</v>
      </c>
      <c r="M603" s="90"/>
      <c r="N603" s="90">
        <v>457</v>
      </c>
    </row>
    <row r="604" spans="2:14" x14ac:dyDescent="0.3">
      <c r="B604" s="58" t="s">
        <v>414</v>
      </c>
      <c r="C604" s="60">
        <v>2614.15</v>
      </c>
      <c r="D604" s="49">
        <f t="shared" si="12"/>
        <v>-2.1566531796320954E-3</v>
      </c>
      <c r="J604" s="58" t="s">
        <v>2082</v>
      </c>
      <c r="K604" s="60">
        <v>7500.9</v>
      </c>
      <c r="L604" s="63" t="s">
        <v>1134</v>
      </c>
      <c r="M604" s="90"/>
      <c r="N604" s="90">
        <v>205</v>
      </c>
    </row>
    <row r="605" spans="2:14" x14ac:dyDescent="0.3">
      <c r="B605" s="58" t="s">
        <v>415</v>
      </c>
      <c r="C605" s="60">
        <v>2619.8000000000002</v>
      </c>
      <c r="D605" s="49">
        <f t="shared" si="12"/>
        <v>-2.4700779926660754E-2</v>
      </c>
      <c r="J605" s="58" t="s">
        <v>2083</v>
      </c>
      <c r="K605" s="60">
        <v>7456.9</v>
      </c>
      <c r="L605" s="63" t="s">
        <v>1135</v>
      </c>
      <c r="M605" s="90"/>
      <c r="N605" s="90">
        <v>230</v>
      </c>
    </row>
    <row r="606" spans="2:14" x14ac:dyDescent="0.3">
      <c r="B606" s="58">
        <v>45480</v>
      </c>
      <c r="C606" s="60">
        <v>2686.15</v>
      </c>
      <c r="D606" s="49">
        <f t="shared" si="12"/>
        <v>6.2371230567521696E-3</v>
      </c>
      <c r="J606" s="58" t="s">
        <v>2084</v>
      </c>
      <c r="K606" s="60">
        <v>7439.2</v>
      </c>
      <c r="L606" s="63" t="s">
        <v>1136</v>
      </c>
      <c r="M606" s="90"/>
      <c r="N606" s="90">
        <v>285</v>
      </c>
    </row>
    <row r="607" spans="2:14" x14ac:dyDescent="0.3">
      <c r="B607" s="58" t="s">
        <v>416</v>
      </c>
      <c r="C607" s="60">
        <v>2669.5</v>
      </c>
      <c r="D607" s="49">
        <f t="shared" si="12"/>
        <v>1.9262709761172836E-2</v>
      </c>
      <c r="J607" s="58" t="s">
        <v>2085</v>
      </c>
      <c r="K607" s="60">
        <v>7440.55</v>
      </c>
      <c r="L607" s="63" t="s">
        <v>1137</v>
      </c>
      <c r="M607" s="90"/>
      <c r="N607" s="90">
        <v>513</v>
      </c>
    </row>
    <row r="608" spans="2:14" x14ac:dyDescent="0.3">
      <c r="B608" s="58" t="s">
        <v>417</v>
      </c>
      <c r="C608" s="60">
        <v>2619.0500000000002</v>
      </c>
      <c r="D608" s="49">
        <f t="shared" si="12"/>
        <v>1.1138136051270342E-2</v>
      </c>
      <c r="J608" s="58" t="s">
        <v>2086</v>
      </c>
      <c r="K608" s="60">
        <v>7358.5</v>
      </c>
      <c r="L608" s="63" t="s">
        <v>1138</v>
      </c>
      <c r="M608" s="90"/>
      <c r="N608" s="90">
        <v>388</v>
      </c>
    </row>
    <row r="609" spans="2:14" x14ac:dyDescent="0.3">
      <c r="B609" s="58" t="s">
        <v>418</v>
      </c>
      <c r="C609" s="60">
        <v>2590.1999999999998</v>
      </c>
      <c r="D609" s="49">
        <f t="shared" si="12"/>
        <v>-2.686253146485329E-2</v>
      </c>
      <c r="J609" s="58" t="s">
        <v>2087</v>
      </c>
      <c r="K609" s="60">
        <v>7475.8</v>
      </c>
      <c r="L609" s="63" t="s">
        <v>1139</v>
      </c>
      <c r="M609" s="90"/>
      <c r="N609" s="90">
        <v>263</v>
      </c>
    </row>
    <row r="610" spans="2:14" x14ac:dyDescent="0.3">
      <c r="B610" s="58">
        <v>45541</v>
      </c>
      <c r="C610" s="60">
        <v>2661.7</v>
      </c>
      <c r="D610" s="49">
        <f t="shared" ref="D610:D647" si="13">(C610/C611)-1</f>
        <v>6.5063422832219553E-2</v>
      </c>
      <c r="J610" s="58" t="s">
        <v>2088</v>
      </c>
      <c r="K610" s="60">
        <v>7515.9</v>
      </c>
      <c r="L610" s="63" t="s">
        <v>1140</v>
      </c>
      <c r="M610" s="90"/>
      <c r="N610" s="90">
        <v>341</v>
      </c>
    </row>
    <row r="611" spans="2:14" x14ac:dyDescent="0.3">
      <c r="B611" s="58">
        <v>45328</v>
      </c>
      <c r="C611" s="60">
        <v>2499.1</v>
      </c>
      <c r="D611" s="49">
        <f t="shared" si="13"/>
        <v>-1.857524348099282E-2</v>
      </c>
      <c r="J611" s="58" t="s">
        <v>2089</v>
      </c>
      <c r="K611" s="60">
        <v>7595.3</v>
      </c>
      <c r="L611" s="63" t="s">
        <v>1141</v>
      </c>
      <c r="M611" s="90"/>
      <c r="N611" s="90">
        <v>437</v>
      </c>
    </row>
    <row r="612" spans="2:14" x14ac:dyDescent="0.3">
      <c r="B612" s="58" t="s">
        <v>419</v>
      </c>
      <c r="C612" s="60">
        <v>2546.4</v>
      </c>
      <c r="D612" s="49">
        <f t="shared" si="13"/>
        <v>-2.4087381431445731E-2</v>
      </c>
      <c r="J612" s="58" t="s">
        <v>2090</v>
      </c>
      <c r="K612" s="60">
        <v>7742.45</v>
      </c>
      <c r="L612" s="63" t="s">
        <v>1142</v>
      </c>
      <c r="M612" s="90"/>
      <c r="N612" s="90">
        <v>488</v>
      </c>
    </row>
    <row r="613" spans="2:14" x14ac:dyDescent="0.3">
      <c r="B613" s="58" t="s">
        <v>420</v>
      </c>
      <c r="C613" s="60">
        <v>2609.25</v>
      </c>
      <c r="D613" s="49">
        <f t="shared" si="13"/>
        <v>3.4616070897519835E-2</v>
      </c>
      <c r="J613" s="58" t="s">
        <v>2091</v>
      </c>
      <c r="K613" s="60">
        <v>7655.25</v>
      </c>
      <c r="L613" s="63" t="s">
        <v>1143</v>
      </c>
      <c r="M613" s="90"/>
      <c r="N613" s="90">
        <v>292</v>
      </c>
    </row>
    <row r="614" spans="2:14" x14ac:dyDescent="0.3">
      <c r="B614" s="58">
        <v>45631</v>
      </c>
      <c r="C614" s="60">
        <v>2521.9499999999998</v>
      </c>
      <c r="D614" s="49">
        <f t="shared" si="13"/>
        <v>6.8554964726817991E-2</v>
      </c>
      <c r="J614" s="58">
        <v>45264</v>
      </c>
      <c r="K614" s="60">
        <v>7682.85</v>
      </c>
      <c r="L614" s="63" t="s">
        <v>1144</v>
      </c>
      <c r="M614" s="90"/>
      <c r="N614" s="90">
        <v>264</v>
      </c>
    </row>
    <row r="615" spans="2:14" x14ac:dyDescent="0.3">
      <c r="B615" s="58">
        <v>45417</v>
      </c>
      <c r="C615" s="60">
        <v>2360.15</v>
      </c>
      <c r="D615" s="49">
        <f t="shared" si="13"/>
        <v>-6.7650312080271835E-2</v>
      </c>
      <c r="J615" s="58">
        <v>45234</v>
      </c>
      <c r="K615" s="60">
        <v>7741.45</v>
      </c>
      <c r="L615" s="63" t="s">
        <v>1145</v>
      </c>
      <c r="M615" s="90"/>
      <c r="N615" s="90">
        <v>354</v>
      </c>
    </row>
    <row r="616" spans="2:14" x14ac:dyDescent="0.3">
      <c r="B616" s="58" t="s">
        <v>421</v>
      </c>
      <c r="C616" s="60">
        <v>2531.4</v>
      </c>
      <c r="D616" s="49">
        <f t="shared" si="13"/>
        <v>-6.5138864215075198E-4</v>
      </c>
      <c r="J616" s="58">
        <v>45203</v>
      </c>
      <c r="K616" s="60">
        <v>7696.25</v>
      </c>
      <c r="L616" s="63" t="s">
        <v>1146</v>
      </c>
      <c r="M616" s="90"/>
      <c r="N616" s="90">
        <v>226</v>
      </c>
    </row>
    <row r="617" spans="2:14" x14ac:dyDescent="0.3">
      <c r="B617" s="58" t="s">
        <v>422</v>
      </c>
      <c r="C617" s="60">
        <v>2533.0500000000002</v>
      </c>
      <c r="D617" s="49">
        <f t="shared" si="13"/>
        <v>5.3177556493358091E-2</v>
      </c>
      <c r="J617" s="58">
        <v>45081</v>
      </c>
      <c r="K617" s="60">
        <v>7701.85</v>
      </c>
      <c r="L617" s="63" t="s">
        <v>1010</v>
      </c>
      <c r="M617" s="90"/>
      <c r="N617" s="90">
        <v>227</v>
      </c>
    </row>
    <row r="618" spans="2:14" x14ac:dyDescent="0.3">
      <c r="B618" s="58" t="s">
        <v>423</v>
      </c>
      <c r="C618" s="60">
        <v>2405.15</v>
      </c>
      <c r="D618" s="49">
        <f t="shared" si="13"/>
        <v>-2.558441032289438E-2</v>
      </c>
      <c r="J618" s="58">
        <v>45050</v>
      </c>
      <c r="K618" s="60">
        <v>7691.95</v>
      </c>
      <c r="L618" s="63" t="s">
        <v>1147</v>
      </c>
      <c r="M618" s="90"/>
      <c r="N618" s="90">
        <v>233</v>
      </c>
    </row>
    <row r="619" spans="2:14" x14ac:dyDescent="0.3">
      <c r="B619" s="58">
        <v>45477</v>
      </c>
      <c r="C619" s="60">
        <v>2468.3000000000002</v>
      </c>
      <c r="D619" s="49">
        <f t="shared" si="13"/>
        <v>-4.147411750999952E-2</v>
      </c>
      <c r="J619" s="58">
        <v>44989</v>
      </c>
      <c r="K619" s="60">
        <v>7640.5</v>
      </c>
      <c r="L619" s="63" t="s">
        <v>1148</v>
      </c>
      <c r="M619" s="90"/>
      <c r="N619" s="90">
        <v>360</v>
      </c>
    </row>
    <row r="620" spans="2:14" x14ac:dyDescent="0.3">
      <c r="B620" s="58" t="s">
        <v>424</v>
      </c>
      <c r="C620" s="60">
        <v>2575.1</v>
      </c>
      <c r="D620" s="49">
        <f t="shared" si="13"/>
        <v>3.3471124132118613E-2</v>
      </c>
      <c r="J620" s="58" t="s">
        <v>2092</v>
      </c>
      <c r="K620" s="60">
        <v>7622.15</v>
      </c>
      <c r="L620" s="63" t="s">
        <v>1149</v>
      </c>
      <c r="M620" s="90"/>
      <c r="N620" s="90">
        <v>378</v>
      </c>
    </row>
    <row r="621" spans="2:14" x14ac:dyDescent="0.3">
      <c r="B621" s="58" t="s">
        <v>425</v>
      </c>
      <c r="C621" s="60">
        <v>2491.6999999999998</v>
      </c>
      <c r="D621" s="49">
        <f t="shared" si="13"/>
        <v>1.9830144275043482E-2</v>
      </c>
      <c r="J621" s="58" t="s">
        <v>2093</v>
      </c>
      <c r="K621" s="60">
        <v>7570.75</v>
      </c>
      <c r="L621" s="63" t="s">
        <v>1150</v>
      </c>
      <c r="M621" s="90"/>
      <c r="N621" s="90">
        <v>445</v>
      </c>
    </row>
    <row r="622" spans="2:14" x14ac:dyDescent="0.3">
      <c r="B622" s="58" t="s">
        <v>426</v>
      </c>
      <c r="C622" s="60">
        <v>2443.25</v>
      </c>
      <c r="D622" s="49">
        <f t="shared" si="13"/>
        <v>-2.385185481132257E-2</v>
      </c>
      <c r="J622" s="58" t="s">
        <v>2094</v>
      </c>
      <c r="K622" s="60">
        <v>7403.1</v>
      </c>
      <c r="L622" s="63" t="s">
        <v>1151</v>
      </c>
      <c r="M622" s="90"/>
      <c r="N622" s="90">
        <v>249</v>
      </c>
    </row>
    <row r="623" spans="2:14" x14ac:dyDescent="0.3">
      <c r="B623" s="58">
        <v>45568</v>
      </c>
      <c r="C623" s="60">
        <v>2502.9499999999998</v>
      </c>
      <c r="D623" s="49">
        <f t="shared" si="13"/>
        <v>-5.1481734121570533E-2</v>
      </c>
      <c r="J623" s="58" t="s">
        <v>2095</v>
      </c>
      <c r="K623" s="60">
        <v>7450.2</v>
      </c>
      <c r="L623" s="63" t="s">
        <v>1152</v>
      </c>
      <c r="M623" s="90"/>
      <c r="N623" s="90">
        <v>251</v>
      </c>
    </row>
    <row r="624" spans="2:14" x14ac:dyDescent="0.3">
      <c r="B624" s="58">
        <v>45354</v>
      </c>
      <c r="C624" s="60">
        <v>2638.8</v>
      </c>
      <c r="D624" s="49">
        <f t="shared" si="13"/>
        <v>-2.1016898848058685E-2</v>
      </c>
      <c r="J624" s="58" t="s">
        <v>2096</v>
      </c>
      <c r="K624" s="60">
        <v>7405.65</v>
      </c>
      <c r="L624" s="63" t="s">
        <v>1153</v>
      </c>
      <c r="M624" s="90"/>
      <c r="N624" s="90">
        <v>228</v>
      </c>
    </row>
    <row r="625" spans="2:14" x14ac:dyDescent="0.3">
      <c r="B625" s="58" t="s">
        <v>427</v>
      </c>
      <c r="C625" s="60">
        <v>2695.45</v>
      </c>
      <c r="D625" s="49">
        <f t="shared" si="13"/>
        <v>5.9338321733124477E-3</v>
      </c>
      <c r="J625" s="58" t="s">
        <v>2097</v>
      </c>
      <c r="K625" s="60">
        <v>7407.95</v>
      </c>
      <c r="L625" s="63" t="s">
        <v>1154</v>
      </c>
      <c r="M625" s="90"/>
      <c r="N625" s="90">
        <v>232</v>
      </c>
    </row>
    <row r="626" spans="2:14" x14ac:dyDescent="0.3">
      <c r="B626" s="58" t="s">
        <v>428</v>
      </c>
      <c r="C626" s="60">
        <v>2679.55</v>
      </c>
      <c r="D626" s="49">
        <f t="shared" si="13"/>
        <v>-1.5016174092045254E-2</v>
      </c>
      <c r="J626" s="58" t="s">
        <v>2098</v>
      </c>
      <c r="K626" s="60">
        <v>7396.65</v>
      </c>
      <c r="L626" s="63" t="s">
        <v>1155</v>
      </c>
      <c r="M626" s="90"/>
      <c r="N626" s="90">
        <v>381</v>
      </c>
    </row>
    <row r="627" spans="2:14" x14ac:dyDescent="0.3">
      <c r="B627" s="58">
        <v>45598</v>
      </c>
      <c r="C627" s="60">
        <v>2720.4</v>
      </c>
      <c r="D627" s="49">
        <f t="shared" si="13"/>
        <v>3.5140122904815385E-2</v>
      </c>
      <c r="J627" s="58" t="s">
        <v>2099</v>
      </c>
      <c r="K627" s="60">
        <v>7352.75</v>
      </c>
      <c r="L627" s="63" t="s">
        <v>1156</v>
      </c>
      <c r="M627" s="90"/>
      <c r="N627" s="90">
        <v>350</v>
      </c>
    </row>
    <row r="628" spans="2:14" x14ac:dyDescent="0.3">
      <c r="B628" s="58">
        <v>45384</v>
      </c>
      <c r="C628" s="60">
        <v>2628.05</v>
      </c>
      <c r="D628" s="49">
        <f t="shared" si="13"/>
        <v>5.1451319290243935E-2</v>
      </c>
      <c r="J628" s="58" t="s">
        <v>2100</v>
      </c>
      <c r="K628" s="60">
        <v>7243.2</v>
      </c>
      <c r="L628" s="63" t="s">
        <v>1157</v>
      </c>
      <c r="M628" s="90"/>
      <c r="N628" s="90">
        <v>520</v>
      </c>
    </row>
    <row r="629" spans="2:14" x14ac:dyDescent="0.3">
      <c r="B629" s="58" t="s">
        <v>429</v>
      </c>
      <c r="C629" s="60">
        <v>2499.4499999999998</v>
      </c>
      <c r="D629" s="49">
        <f t="shared" si="13"/>
        <v>1.2886754604583217E-2</v>
      </c>
      <c r="J629" s="58" t="s">
        <v>2101</v>
      </c>
      <c r="K629" s="60">
        <v>7289.95</v>
      </c>
      <c r="L629" s="63" t="s">
        <v>1158</v>
      </c>
      <c r="M629" s="90"/>
      <c r="N629" s="90">
        <v>383</v>
      </c>
    </row>
    <row r="630" spans="2:14" x14ac:dyDescent="0.3">
      <c r="B630" s="58" t="s">
        <v>430</v>
      </c>
      <c r="C630" s="60">
        <v>2467.65</v>
      </c>
      <c r="D630" s="49">
        <f t="shared" si="13"/>
        <v>8.3680997760309239E-2</v>
      </c>
      <c r="J630" s="58" t="s">
        <v>2102</v>
      </c>
      <c r="K630" s="60">
        <v>7104.6</v>
      </c>
      <c r="L630" s="63" t="s">
        <v>1159</v>
      </c>
      <c r="M630" s="90"/>
      <c r="N630" s="90">
        <v>459</v>
      </c>
    </row>
    <row r="631" spans="2:14" x14ac:dyDescent="0.3">
      <c r="B631" s="58" t="s">
        <v>431</v>
      </c>
      <c r="C631" s="60">
        <v>2277.1</v>
      </c>
      <c r="D631" s="49">
        <f t="shared" si="13"/>
        <v>-2.370948379351745E-2</v>
      </c>
      <c r="J631" s="58" t="s">
        <v>2103</v>
      </c>
      <c r="K631" s="60">
        <v>7100.75</v>
      </c>
      <c r="L631" s="63" t="s">
        <v>1160</v>
      </c>
      <c r="M631" s="90"/>
      <c r="N631" s="90">
        <v>265</v>
      </c>
    </row>
    <row r="632" spans="2:14" x14ac:dyDescent="0.3">
      <c r="B632" s="58">
        <v>45474</v>
      </c>
      <c r="C632" s="60">
        <v>2332.4</v>
      </c>
      <c r="D632" s="49">
        <f t="shared" si="13"/>
        <v>-1.8948873793349863E-2</v>
      </c>
      <c r="J632" s="58" t="s">
        <v>2104</v>
      </c>
      <c r="K632" s="60">
        <v>7063.95</v>
      </c>
      <c r="L632" s="63" t="s">
        <v>1161</v>
      </c>
      <c r="M632" s="90"/>
      <c r="N632" s="90">
        <v>210</v>
      </c>
    </row>
    <row r="633" spans="2:14" x14ac:dyDescent="0.3">
      <c r="B633" s="58" t="s">
        <v>379</v>
      </c>
      <c r="C633" s="60">
        <v>2377.4499999999998</v>
      </c>
      <c r="D633" s="49">
        <f t="shared" si="13"/>
        <v>7.5161107970604712E-2</v>
      </c>
      <c r="J633" s="58" t="s">
        <v>2105</v>
      </c>
      <c r="K633" s="60">
        <v>7075.6</v>
      </c>
      <c r="L633" s="63" t="s">
        <v>1162</v>
      </c>
      <c r="M633" s="90"/>
      <c r="N633" s="90">
        <v>176</v>
      </c>
    </row>
    <row r="634" spans="2:14" x14ac:dyDescent="0.3">
      <c r="B634" s="58" t="s">
        <v>380</v>
      </c>
      <c r="C634" s="60">
        <v>2211.25</v>
      </c>
      <c r="D634" s="49">
        <f t="shared" si="13"/>
        <v>5.7634820040655343E-2</v>
      </c>
      <c r="J634" s="58">
        <v>45202</v>
      </c>
      <c r="K634" s="60">
        <v>7226.4</v>
      </c>
      <c r="L634" s="63" t="s">
        <v>1163</v>
      </c>
      <c r="M634" s="90"/>
      <c r="N634" s="90">
        <v>154</v>
      </c>
    </row>
    <row r="635" spans="2:14" x14ac:dyDescent="0.3">
      <c r="B635" s="58" t="s">
        <v>381</v>
      </c>
      <c r="C635" s="60">
        <v>2090.75</v>
      </c>
      <c r="D635" s="49">
        <f t="shared" si="13"/>
        <v>-5.4964178362374772E-2</v>
      </c>
      <c r="J635" s="58">
        <v>45172</v>
      </c>
      <c r="K635" s="60">
        <v>7242.95</v>
      </c>
      <c r="L635" s="63" t="s">
        <v>1164</v>
      </c>
      <c r="M635" s="90"/>
      <c r="N635" s="90">
        <v>158</v>
      </c>
    </row>
    <row r="636" spans="2:14" x14ac:dyDescent="0.3">
      <c r="B636" s="58">
        <v>45211</v>
      </c>
      <c r="C636" s="60">
        <v>2212.35</v>
      </c>
      <c r="D636" s="49">
        <f t="shared" si="13"/>
        <v>3.4872298624754272E-2</v>
      </c>
      <c r="J636" s="58">
        <v>45141</v>
      </c>
      <c r="K636" s="60">
        <v>7267.25</v>
      </c>
      <c r="L636" s="63" t="s">
        <v>1165</v>
      </c>
      <c r="M636" s="90"/>
      <c r="N636" s="90">
        <v>237</v>
      </c>
    </row>
    <row r="637" spans="2:14" x14ac:dyDescent="0.3">
      <c r="B637" s="58">
        <v>44997</v>
      </c>
      <c r="C637" s="60">
        <v>2137.8000000000002</v>
      </c>
      <c r="D637" s="49">
        <f t="shared" si="13"/>
        <v>0.12500986712274709</v>
      </c>
      <c r="J637" s="58">
        <v>45080</v>
      </c>
      <c r="K637" s="60">
        <v>7200.6</v>
      </c>
      <c r="L637" s="63" t="s">
        <v>1166</v>
      </c>
      <c r="M637" s="90"/>
      <c r="N637" s="90">
        <v>154</v>
      </c>
    </row>
    <row r="638" spans="2:14" x14ac:dyDescent="0.3">
      <c r="B638" s="58" t="s">
        <v>382</v>
      </c>
      <c r="C638" s="60">
        <v>1900.25</v>
      </c>
      <c r="D638" s="49">
        <f t="shared" si="13"/>
        <v>4.3806646525679671E-2</v>
      </c>
      <c r="J638" s="58">
        <v>44988</v>
      </c>
      <c r="K638" s="60">
        <v>7215.95</v>
      </c>
      <c r="L638" s="63" t="s">
        <v>1167</v>
      </c>
      <c r="M638" s="90"/>
      <c r="N638" s="90">
        <v>408</v>
      </c>
    </row>
    <row r="639" spans="2:14" x14ac:dyDescent="0.3">
      <c r="B639" s="58" t="s">
        <v>383</v>
      </c>
      <c r="C639" s="60">
        <v>1820.5</v>
      </c>
      <c r="D639" s="49">
        <f t="shared" si="13"/>
        <v>-1.5014202624103912E-2</v>
      </c>
      <c r="J639" s="58">
        <v>44960</v>
      </c>
      <c r="K639" s="60">
        <v>7289.2</v>
      </c>
      <c r="L639" s="63" t="s">
        <v>1168</v>
      </c>
      <c r="M639" s="90"/>
      <c r="N639" s="90">
        <v>180</v>
      </c>
    </row>
    <row r="640" spans="2:14" x14ac:dyDescent="0.3">
      <c r="B640" s="58">
        <v>45271</v>
      </c>
      <c r="C640" s="60">
        <v>1848.25</v>
      </c>
      <c r="D640" s="49">
        <f t="shared" si="13"/>
        <v>1.2573275625924474E-2</v>
      </c>
      <c r="J640" s="58">
        <v>44929</v>
      </c>
      <c r="K640" s="60">
        <v>7274.15</v>
      </c>
      <c r="L640" s="63" t="s">
        <v>1169</v>
      </c>
      <c r="M640" s="90"/>
      <c r="N640" s="90">
        <v>317</v>
      </c>
    </row>
    <row r="641" spans="2:14" x14ac:dyDescent="0.3">
      <c r="B641" s="58">
        <v>45057</v>
      </c>
      <c r="C641" s="60">
        <v>1825.3</v>
      </c>
      <c r="D641" s="49">
        <f t="shared" si="13"/>
        <v>-1.8576766943570688E-2</v>
      </c>
      <c r="J641" s="58" t="s">
        <v>2106</v>
      </c>
      <c r="K641" s="60">
        <v>7261.3</v>
      </c>
      <c r="L641" s="63" t="s">
        <v>1170</v>
      </c>
      <c r="M641" s="90"/>
      <c r="N641" s="90">
        <v>429</v>
      </c>
    </row>
    <row r="642" spans="2:14" x14ac:dyDescent="0.3">
      <c r="B642" s="58" t="s">
        <v>384</v>
      </c>
      <c r="C642" s="60">
        <v>1859.85</v>
      </c>
      <c r="D642" s="49">
        <f t="shared" si="13"/>
        <v>-9.664536741214147E-3</v>
      </c>
      <c r="J642" s="58" t="s">
        <v>2107</v>
      </c>
      <c r="K642" s="60">
        <v>7186.65</v>
      </c>
      <c r="L642" s="63" t="s">
        <v>1171</v>
      </c>
      <c r="M642" s="90"/>
      <c r="N642" s="90">
        <v>295</v>
      </c>
    </row>
    <row r="643" spans="2:14" x14ac:dyDescent="0.3">
      <c r="B643" s="58" t="s">
        <v>385</v>
      </c>
      <c r="C643" s="60">
        <v>1878</v>
      </c>
      <c r="D643" s="49">
        <f t="shared" si="13"/>
        <v>-4.3374169065023116E-2</v>
      </c>
      <c r="J643" s="58" t="s">
        <v>2108</v>
      </c>
      <c r="K643" s="60">
        <v>7216.7</v>
      </c>
      <c r="L643" s="63" t="s">
        <v>1172</v>
      </c>
      <c r="M643" s="90"/>
      <c r="N643" s="90">
        <v>206</v>
      </c>
    </row>
    <row r="644" spans="2:14" x14ac:dyDescent="0.3">
      <c r="B644" s="58" t="s">
        <v>386</v>
      </c>
      <c r="C644" s="60">
        <v>1963.15</v>
      </c>
      <c r="D644" s="49">
        <f t="shared" si="13"/>
        <v>-2.3527071053744186E-2</v>
      </c>
      <c r="J644" s="58" t="s">
        <v>2109</v>
      </c>
      <c r="K644" s="60">
        <v>7176.95</v>
      </c>
      <c r="L644" s="63" t="s">
        <v>1173</v>
      </c>
      <c r="M644" s="90"/>
      <c r="N644" s="90">
        <v>286</v>
      </c>
    </row>
    <row r="645" spans="2:14" x14ac:dyDescent="0.3">
      <c r="B645" s="58">
        <v>45148</v>
      </c>
      <c r="C645" s="60">
        <v>2010.45</v>
      </c>
      <c r="D645" s="49">
        <f t="shared" si="13"/>
        <v>2.4876240702509378E-4</v>
      </c>
      <c r="J645" s="58" t="s">
        <v>2110</v>
      </c>
      <c r="K645" s="60">
        <v>7205.75</v>
      </c>
      <c r="L645" s="63" t="s">
        <v>1174</v>
      </c>
      <c r="M645" s="90"/>
      <c r="N645" s="90">
        <v>402</v>
      </c>
    </row>
    <row r="646" spans="2:14" x14ac:dyDescent="0.3">
      <c r="B646" s="58">
        <v>44936</v>
      </c>
      <c r="C646" s="60">
        <v>2009.95</v>
      </c>
      <c r="D646" s="49">
        <f t="shared" si="13"/>
        <v>-1.1429991303266718E-3</v>
      </c>
      <c r="J646" s="58" t="s">
        <v>2111</v>
      </c>
      <c r="K646" s="60">
        <v>7340.55</v>
      </c>
      <c r="L646" s="63" t="s">
        <v>1175</v>
      </c>
      <c r="M646" s="90"/>
      <c r="N646" s="90">
        <v>399</v>
      </c>
    </row>
    <row r="647" spans="2:14" x14ac:dyDescent="0.3">
      <c r="B647" s="58" t="s">
        <v>432</v>
      </c>
      <c r="C647" s="60">
        <v>2012.25</v>
      </c>
      <c r="D647" s="49">
        <f t="shared" si="13"/>
        <v>1.7058377558756721E-2</v>
      </c>
      <c r="J647" s="58" t="s">
        <v>2112</v>
      </c>
      <c r="K647" s="60">
        <v>7426.85</v>
      </c>
      <c r="L647" s="63" t="s">
        <v>1176</v>
      </c>
      <c r="M647" s="90"/>
      <c r="N647" s="90">
        <v>713</v>
      </c>
    </row>
    <row r="648" spans="2:14" x14ac:dyDescent="0.3">
      <c r="B648" s="58" t="s">
        <v>433</v>
      </c>
      <c r="C648" s="60">
        <v>1978.5</v>
      </c>
      <c r="D648" s="49">
        <f>(C648/C649)-1</f>
        <v>-2.3854749981498391E-2</v>
      </c>
      <c r="J648" s="58" t="s">
        <v>2113</v>
      </c>
      <c r="K648" s="60">
        <v>7297.85</v>
      </c>
      <c r="L648" s="63">
        <v>1000</v>
      </c>
      <c r="M648" s="90"/>
      <c r="N648" s="90">
        <v>1000</v>
      </c>
    </row>
    <row r="649" spans="2:14" ht="15" thickBot="1" x14ac:dyDescent="0.35">
      <c r="B649" s="139">
        <v>45208</v>
      </c>
      <c r="C649" s="152">
        <v>2026.85</v>
      </c>
      <c r="D649" s="153"/>
      <c r="J649" s="58" t="s">
        <v>2114</v>
      </c>
      <c r="K649" s="60">
        <v>7171.75</v>
      </c>
      <c r="L649" s="63" t="s">
        <v>1177</v>
      </c>
      <c r="M649" s="90"/>
      <c r="N649" s="90">
        <v>264</v>
      </c>
    </row>
    <row r="650" spans="2:14" ht="15" thickTop="1" x14ac:dyDescent="0.3">
      <c r="J650" s="58" t="s">
        <v>2115</v>
      </c>
      <c r="K650" s="60">
        <v>7151.85</v>
      </c>
      <c r="L650" s="63" t="s">
        <v>1178</v>
      </c>
      <c r="M650" s="90"/>
      <c r="N650" s="90">
        <v>404</v>
      </c>
    </row>
    <row r="651" spans="2:14" x14ac:dyDescent="0.3">
      <c r="B651" s="137" t="s">
        <v>446</v>
      </c>
      <c r="J651" s="58" t="s">
        <v>2116</v>
      </c>
      <c r="K651" s="60">
        <v>7139.2</v>
      </c>
      <c r="L651" s="63" t="s">
        <v>1179</v>
      </c>
      <c r="M651" s="90"/>
      <c r="N651" s="90">
        <v>328</v>
      </c>
    </row>
    <row r="652" spans="2:14" x14ac:dyDescent="0.3">
      <c r="J652" s="58" t="s">
        <v>2117</v>
      </c>
      <c r="K652" s="60">
        <v>7179.25</v>
      </c>
      <c r="L652" s="63" t="s">
        <v>1180</v>
      </c>
      <c r="M652" s="90"/>
      <c r="N652" s="90">
        <v>323</v>
      </c>
    </row>
    <row r="653" spans="2:14" x14ac:dyDescent="0.3">
      <c r="B653" s="134" t="s">
        <v>97</v>
      </c>
      <c r="C653" s="133" t="s">
        <v>98</v>
      </c>
      <c r="D653" s="136" t="s">
        <v>99</v>
      </c>
      <c r="J653" s="58">
        <v>45201</v>
      </c>
      <c r="K653" s="60">
        <v>7206.05</v>
      </c>
      <c r="L653" s="63" t="s">
        <v>1181</v>
      </c>
      <c r="M653" s="90"/>
      <c r="N653" s="90">
        <v>407</v>
      </c>
    </row>
    <row r="654" spans="2:14" x14ac:dyDescent="0.3">
      <c r="B654" s="171">
        <v>45904</v>
      </c>
      <c r="C654" s="60">
        <v>12651</v>
      </c>
      <c r="J654" s="58">
        <v>45171</v>
      </c>
      <c r="K654" s="60">
        <v>7179.75</v>
      </c>
      <c r="L654" s="63" t="s">
        <v>1182</v>
      </c>
      <c r="M654" s="90"/>
      <c r="N654" s="90">
        <v>334</v>
      </c>
    </row>
    <row r="655" spans="2:14" x14ac:dyDescent="0.3">
      <c r="B655" s="171">
        <v>45903</v>
      </c>
      <c r="C655" s="60">
        <v>12733</v>
      </c>
      <c r="J655" s="58">
        <v>45140</v>
      </c>
      <c r="K655" s="60">
        <v>7250.35</v>
      </c>
      <c r="L655" s="63" t="s">
        <v>1183</v>
      </c>
      <c r="M655" s="90"/>
      <c r="N655" s="90">
        <v>559</v>
      </c>
    </row>
    <row r="656" spans="2:14" x14ac:dyDescent="0.3">
      <c r="B656" s="171">
        <v>45902</v>
      </c>
      <c r="C656" s="60">
        <v>12730</v>
      </c>
      <c r="J656" s="58">
        <v>45109</v>
      </c>
      <c r="K656" s="60">
        <v>7071.8</v>
      </c>
      <c r="L656" s="63" t="s">
        <v>1184</v>
      </c>
      <c r="M656" s="90"/>
      <c r="N656" s="90">
        <v>295</v>
      </c>
    </row>
    <row r="657" spans="2:14" x14ac:dyDescent="0.3">
      <c r="B657" s="171">
        <v>45901</v>
      </c>
      <c r="C657" s="60">
        <v>12826</v>
      </c>
      <c r="J657" s="58">
        <v>45079</v>
      </c>
      <c r="K657" s="60">
        <v>7127.25</v>
      </c>
      <c r="L657" s="63" t="s">
        <v>1185</v>
      </c>
      <c r="M657" s="90"/>
      <c r="N657" s="90">
        <v>314</v>
      </c>
    </row>
    <row r="658" spans="2:14" x14ac:dyDescent="0.3">
      <c r="B658" s="171">
        <v>45898</v>
      </c>
      <c r="C658" s="60">
        <v>12640</v>
      </c>
      <c r="J658" s="58">
        <v>44987</v>
      </c>
      <c r="K658" s="60">
        <v>7189.2</v>
      </c>
      <c r="L658" s="63" t="s">
        <v>1186</v>
      </c>
      <c r="M658" s="90"/>
      <c r="N658" s="90">
        <v>364</v>
      </c>
    </row>
    <row r="659" spans="2:14" x14ac:dyDescent="0.3">
      <c r="B659" s="171">
        <v>45897</v>
      </c>
      <c r="C659" s="60">
        <v>12521</v>
      </c>
      <c r="J659" s="58">
        <v>44959</v>
      </c>
      <c r="K659" s="60">
        <v>7167.65</v>
      </c>
      <c r="L659" s="63" t="s">
        <v>1187</v>
      </c>
      <c r="M659" s="90"/>
      <c r="N659" s="90">
        <v>647</v>
      </c>
    </row>
    <row r="660" spans="2:14" x14ac:dyDescent="0.3">
      <c r="B660" s="171">
        <v>45895</v>
      </c>
      <c r="C660" s="60">
        <v>12610</v>
      </c>
      <c r="J660" s="58">
        <v>44928</v>
      </c>
      <c r="K660" s="60">
        <v>7141.4</v>
      </c>
      <c r="L660" s="63" t="s">
        <v>1188</v>
      </c>
      <c r="M660" s="90"/>
      <c r="N660" s="90">
        <v>648</v>
      </c>
    </row>
    <row r="661" spans="2:14" x14ac:dyDescent="0.3">
      <c r="B661" s="171">
        <v>45894</v>
      </c>
      <c r="C661" s="60">
        <v>12606</v>
      </c>
      <c r="J661" s="58" t="s">
        <v>2118</v>
      </c>
      <c r="K661" s="60">
        <v>7085.55</v>
      </c>
      <c r="L661" s="63" t="s">
        <v>1189</v>
      </c>
      <c r="M661" s="90"/>
      <c r="N661" s="90">
        <v>593</v>
      </c>
    </row>
    <row r="662" spans="2:14" x14ac:dyDescent="0.3">
      <c r="B662" s="171">
        <v>45891</v>
      </c>
      <c r="C662" s="60">
        <v>12589</v>
      </c>
      <c r="J662" s="58" t="s">
        <v>2119</v>
      </c>
      <c r="K662" s="60">
        <v>6887.7</v>
      </c>
      <c r="L662" s="63" t="s">
        <v>1190</v>
      </c>
      <c r="M662" s="90"/>
      <c r="N662" s="90">
        <v>699</v>
      </c>
    </row>
    <row r="663" spans="2:14" x14ac:dyDescent="0.3">
      <c r="B663" s="171">
        <v>45890</v>
      </c>
      <c r="C663" s="60">
        <v>12870</v>
      </c>
      <c r="J663" s="58" t="s">
        <v>2120</v>
      </c>
      <c r="K663" s="60">
        <v>6715.6</v>
      </c>
      <c r="L663" s="63" t="s">
        <v>1191</v>
      </c>
      <c r="M663" s="90"/>
      <c r="N663" s="90">
        <v>635</v>
      </c>
    </row>
    <row r="664" spans="2:14" x14ac:dyDescent="0.3">
      <c r="B664" s="171">
        <v>45889</v>
      </c>
      <c r="C664" s="60">
        <v>12874</v>
      </c>
      <c r="J664" s="58" t="s">
        <v>2121</v>
      </c>
      <c r="K664" s="60">
        <v>6705.1</v>
      </c>
      <c r="L664" s="63" t="s">
        <v>1192</v>
      </c>
      <c r="M664" s="90"/>
      <c r="N664" s="90">
        <v>509</v>
      </c>
    </row>
    <row r="665" spans="2:14" x14ac:dyDescent="0.3">
      <c r="B665" s="171">
        <v>45888</v>
      </c>
      <c r="C665" s="60">
        <v>12863</v>
      </c>
      <c r="J665" s="58" t="s">
        <v>2122</v>
      </c>
      <c r="K665" s="60">
        <v>6809.7</v>
      </c>
      <c r="L665" s="63" t="s">
        <v>1193</v>
      </c>
      <c r="M665" s="90"/>
      <c r="N665" s="90">
        <v>444</v>
      </c>
    </row>
    <row r="666" spans="2:14" x14ac:dyDescent="0.3">
      <c r="B666" s="171">
        <v>45887</v>
      </c>
      <c r="C666" s="60">
        <v>12765</v>
      </c>
      <c r="J666" s="58" t="s">
        <v>2123</v>
      </c>
      <c r="K666" s="60">
        <v>6849.75</v>
      </c>
      <c r="L666" s="63" t="s">
        <v>1194</v>
      </c>
      <c r="M666" s="90"/>
      <c r="N666" s="90">
        <v>998</v>
      </c>
    </row>
    <row r="667" spans="2:14" x14ac:dyDescent="0.3">
      <c r="B667" s="171">
        <v>45883</v>
      </c>
      <c r="C667" s="60">
        <v>12317</v>
      </c>
      <c r="J667" s="58" t="s">
        <v>2124</v>
      </c>
      <c r="K667" s="60">
        <v>7177.15</v>
      </c>
      <c r="L667" s="63" t="s">
        <v>1195</v>
      </c>
      <c r="M667" s="90"/>
      <c r="N667" s="90">
        <v>353</v>
      </c>
    </row>
    <row r="668" spans="2:14" x14ac:dyDescent="0.3">
      <c r="B668" s="171">
        <v>45882</v>
      </c>
      <c r="C668" s="60">
        <v>12401</v>
      </c>
      <c r="J668" s="58" t="s">
        <v>2125</v>
      </c>
      <c r="K668" s="60">
        <v>7212.35</v>
      </c>
      <c r="L668" s="63" t="s">
        <v>1196</v>
      </c>
      <c r="M668" s="90"/>
      <c r="N668" s="90">
        <v>412</v>
      </c>
    </row>
    <row r="669" spans="2:14" x14ac:dyDescent="0.3">
      <c r="B669" s="171">
        <v>45881</v>
      </c>
      <c r="C669" s="60">
        <v>12449</v>
      </c>
      <c r="J669" s="58" t="s">
        <v>2126</v>
      </c>
      <c r="K669" s="60">
        <v>7283.45</v>
      </c>
      <c r="L669" s="63" t="s">
        <v>1197</v>
      </c>
      <c r="M669" s="90"/>
      <c r="N669" s="90">
        <v>447</v>
      </c>
    </row>
    <row r="670" spans="2:14" x14ac:dyDescent="0.3">
      <c r="B670" s="171">
        <v>45880</v>
      </c>
      <c r="C670" s="60">
        <v>12405</v>
      </c>
      <c r="J670" s="58" t="s">
        <v>2127</v>
      </c>
      <c r="K670" s="60">
        <v>7377.65</v>
      </c>
      <c r="L670" s="63" t="s">
        <v>1198</v>
      </c>
      <c r="M670" s="90"/>
      <c r="N670" s="90">
        <v>385</v>
      </c>
    </row>
    <row r="671" spans="2:14" x14ac:dyDescent="0.3">
      <c r="B671" s="171">
        <v>45877</v>
      </c>
      <c r="C671" s="60">
        <v>12157</v>
      </c>
      <c r="J671" s="58" t="s">
        <v>2128</v>
      </c>
      <c r="K671" s="60">
        <v>7284.85</v>
      </c>
      <c r="L671" s="63" t="s">
        <v>1199</v>
      </c>
      <c r="M671" s="90"/>
      <c r="N671" s="90">
        <v>440</v>
      </c>
    </row>
    <row r="672" spans="2:14" x14ac:dyDescent="0.3">
      <c r="B672" s="171">
        <v>45876</v>
      </c>
      <c r="C672" s="60">
        <v>12273</v>
      </c>
      <c r="J672" s="58" t="s">
        <v>2129</v>
      </c>
      <c r="K672" s="60">
        <v>7248.9</v>
      </c>
      <c r="L672" s="63" t="s">
        <v>1200</v>
      </c>
      <c r="M672" s="90"/>
      <c r="N672" s="90">
        <v>462</v>
      </c>
    </row>
    <row r="673" spans="2:14" x14ac:dyDescent="0.3">
      <c r="B673" s="171">
        <v>45875</v>
      </c>
      <c r="C673" s="60">
        <v>12226</v>
      </c>
      <c r="J673" s="58">
        <v>45261</v>
      </c>
      <c r="K673" s="60">
        <v>7153.35</v>
      </c>
      <c r="L673" s="63" t="s">
        <v>1201</v>
      </c>
      <c r="M673" s="90"/>
      <c r="N673" s="90">
        <v>566</v>
      </c>
    </row>
    <row r="674" spans="2:14" x14ac:dyDescent="0.3">
      <c r="B674" s="171">
        <v>45874</v>
      </c>
      <c r="C674" s="60">
        <v>12298</v>
      </c>
      <c r="J674" s="58">
        <v>45231</v>
      </c>
      <c r="K674" s="60">
        <v>7021.95</v>
      </c>
      <c r="L674" s="63" t="s">
        <v>1202</v>
      </c>
      <c r="M674" s="90"/>
      <c r="N674" s="90">
        <v>295</v>
      </c>
    </row>
    <row r="675" spans="2:14" x14ac:dyDescent="0.3">
      <c r="B675" s="171">
        <v>45873</v>
      </c>
      <c r="C675" s="60">
        <v>12257</v>
      </c>
      <c r="J675" s="58">
        <v>45200</v>
      </c>
      <c r="K675" s="60">
        <v>6920.3</v>
      </c>
      <c r="L675" s="63" t="s">
        <v>1203</v>
      </c>
      <c r="M675" s="90"/>
      <c r="N675" s="90">
        <v>263</v>
      </c>
    </row>
    <row r="676" spans="2:14" x14ac:dyDescent="0.3">
      <c r="B676" s="171">
        <v>45870</v>
      </c>
      <c r="C676" s="60">
        <v>12113</v>
      </c>
      <c r="J676" s="58">
        <v>45170</v>
      </c>
      <c r="K676" s="60">
        <v>7034.85</v>
      </c>
      <c r="L676" s="63" t="s">
        <v>1204</v>
      </c>
      <c r="M676" s="90"/>
      <c r="N676" s="90">
        <v>298</v>
      </c>
    </row>
    <row r="677" spans="2:14" x14ac:dyDescent="0.3">
      <c r="B677" s="171">
        <v>45869</v>
      </c>
      <c r="C677" s="60">
        <v>12249</v>
      </c>
      <c r="J677" s="58">
        <v>45078</v>
      </c>
      <c r="K677" s="60">
        <v>6982.2</v>
      </c>
      <c r="L677" s="63" t="s">
        <v>1205</v>
      </c>
      <c r="M677" s="90"/>
      <c r="N677" s="90">
        <v>160</v>
      </c>
    </row>
    <row r="678" spans="2:14" x14ac:dyDescent="0.3">
      <c r="B678" s="171">
        <v>45868</v>
      </c>
      <c r="C678" s="60">
        <v>12268</v>
      </c>
      <c r="J678" s="58">
        <v>45047</v>
      </c>
      <c r="K678" s="60">
        <v>7007</v>
      </c>
      <c r="L678" s="63" t="s">
        <v>1206</v>
      </c>
      <c r="M678" s="90"/>
      <c r="N678" s="90">
        <v>236</v>
      </c>
    </row>
    <row r="679" spans="2:14" x14ac:dyDescent="0.3">
      <c r="B679" s="171">
        <v>45867</v>
      </c>
      <c r="C679" s="60">
        <v>12221</v>
      </c>
      <c r="J679" s="58">
        <v>45017</v>
      </c>
      <c r="K679" s="60">
        <v>7005.35</v>
      </c>
      <c r="L679" s="63" t="s">
        <v>1207</v>
      </c>
      <c r="M679" s="90"/>
      <c r="N679" s="90">
        <v>319</v>
      </c>
    </row>
    <row r="680" spans="2:14" x14ac:dyDescent="0.3">
      <c r="B680" s="171">
        <v>45866</v>
      </c>
      <c r="C680" s="60">
        <v>12240</v>
      </c>
      <c r="J680" s="58">
        <v>44986</v>
      </c>
      <c r="K680" s="60">
        <v>6993.6</v>
      </c>
      <c r="L680" s="63" t="s">
        <v>1208</v>
      </c>
      <c r="M680" s="90"/>
      <c r="N680" s="90">
        <v>188</v>
      </c>
    </row>
    <row r="681" spans="2:14" x14ac:dyDescent="0.3">
      <c r="B681" s="171">
        <v>45863</v>
      </c>
      <c r="C681" s="60">
        <v>12250</v>
      </c>
      <c r="J681" s="58">
        <v>44958</v>
      </c>
      <c r="K681" s="60">
        <v>7017.95</v>
      </c>
      <c r="L681" s="63" t="s">
        <v>1209</v>
      </c>
      <c r="M681" s="90"/>
      <c r="N681" s="90">
        <v>212</v>
      </c>
    </row>
    <row r="682" spans="2:14" x14ac:dyDescent="0.3">
      <c r="B682" s="171">
        <v>45862</v>
      </c>
      <c r="C682" s="60">
        <v>12304</v>
      </c>
      <c r="J682" s="58" t="s">
        <v>2130</v>
      </c>
      <c r="K682" s="60">
        <v>6959.05</v>
      </c>
      <c r="L682" s="63" t="s">
        <v>1210</v>
      </c>
      <c r="M682" s="90">
        <v>2022</v>
      </c>
      <c r="N682" s="90">
        <v>232</v>
      </c>
    </row>
    <row r="683" spans="2:14" x14ac:dyDescent="0.3">
      <c r="B683" s="171">
        <v>45861</v>
      </c>
      <c r="C683" s="60">
        <v>12372</v>
      </c>
      <c r="J683" s="58" t="s">
        <v>2131</v>
      </c>
      <c r="K683" s="60">
        <v>6982.2</v>
      </c>
      <c r="L683" s="63" t="s">
        <v>1211</v>
      </c>
      <c r="M683" s="90"/>
      <c r="N683" s="90">
        <v>449</v>
      </c>
    </row>
    <row r="684" spans="2:14" x14ac:dyDescent="0.3">
      <c r="B684" s="171">
        <v>45860</v>
      </c>
      <c r="C684" s="60">
        <v>12452</v>
      </c>
      <c r="J684" s="58" t="s">
        <v>2132</v>
      </c>
      <c r="K684" s="60">
        <v>7053.8</v>
      </c>
      <c r="L684" s="63" t="s">
        <v>1212</v>
      </c>
      <c r="M684" s="90"/>
      <c r="N684" s="90">
        <v>260</v>
      </c>
    </row>
    <row r="685" spans="2:14" x14ac:dyDescent="0.3">
      <c r="B685" s="171">
        <v>45859</v>
      </c>
      <c r="C685" s="60">
        <v>12577</v>
      </c>
      <c r="J685" s="58" t="s">
        <v>2133</v>
      </c>
      <c r="K685" s="60">
        <v>7107.2</v>
      </c>
      <c r="L685" s="63" t="s">
        <v>1213</v>
      </c>
      <c r="M685" s="90"/>
      <c r="N685" s="90">
        <v>295</v>
      </c>
    </row>
    <row r="686" spans="2:14" x14ac:dyDescent="0.3">
      <c r="B686" s="171">
        <v>45856</v>
      </c>
      <c r="C686" s="60">
        <v>12498</v>
      </c>
      <c r="J686" s="58" t="s">
        <v>2134</v>
      </c>
      <c r="K686" s="60">
        <v>7074</v>
      </c>
      <c r="L686" s="63" t="s">
        <v>1214</v>
      </c>
      <c r="M686" s="90"/>
      <c r="N686" s="90">
        <v>328</v>
      </c>
    </row>
    <row r="687" spans="2:14" x14ac:dyDescent="0.3">
      <c r="B687" s="171">
        <v>45855</v>
      </c>
      <c r="C687" s="60">
        <v>12495</v>
      </c>
      <c r="J687" s="58" t="s">
        <v>2135</v>
      </c>
      <c r="K687" s="60">
        <v>6909.4</v>
      </c>
      <c r="L687" s="63" t="s">
        <v>1215</v>
      </c>
      <c r="M687" s="90"/>
      <c r="N687" s="90">
        <v>289</v>
      </c>
    </row>
    <row r="688" spans="2:14" x14ac:dyDescent="0.3">
      <c r="B688" s="171">
        <v>45854</v>
      </c>
      <c r="C688" s="60">
        <v>12453</v>
      </c>
      <c r="J688" s="58" t="s">
        <v>2136</v>
      </c>
      <c r="K688" s="60">
        <v>7012.4</v>
      </c>
      <c r="L688" s="63" t="s">
        <v>1216</v>
      </c>
      <c r="M688" s="90"/>
      <c r="N688" s="90">
        <v>338</v>
      </c>
    </row>
    <row r="689" spans="2:14" x14ac:dyDescent="0.3">
      <c r="B689" s="171">
        <v>45853</v>
      </c>
      <c r="C689" s="60">
        <v>12502</v>
      </c>
      <c r="J689" s="58" t="s">
        <v>2137</v>
      </c>
      <c r="K689" s="60">
        <v>6950.7</v>
      </c>
      <c r="L689" s="63" t="s">
        <v>1217</v>
      </c>
      <c r="M689" s="90"/>
      <c r="N689" s="90">
        <v>388</v>
      </c>
    </row>
    <row r="690" spans="2:14" x14ac:dyDescent="0.3">
      <c r="B690" s="171">
        <v>45852</v>
      </c>
      <c r="C690" s="60">
        <v>12516</v>
      </c>
      <c r="J690" s="58" t="s">
        <v>2138</v>
      </c>
      <c r="K690" s="60">
        <v>7098</v>
      </c>
      <c r="L690" s="63" t="s">
        <v>1218</v>
      </c>
      <c r="M690" s="90"/>
      <c r="N690" s="90">
        <v>488</v>
      </c>
    </row>
    <row r="691" spans="2:14" x14ac:dyDescent="0.3">
      <c r="B691" s="171">
        <v>45849</v>
      </c>
      <c r="C691" s="60">
        <v>12495</v>
      </c>
      <c r="J691" s="58" t="s">
        <v>2139</v>
      </c>
      <c r="K691" s="60">
        <v>7076</v>
      </c>
      <c r="L691" s="63" t="s">
        <v>1219</v>
      </c>
      <c r="M691" s="90"/>
      <c r="N691" s="90">
        <v>251</v>
      </c>
    </row>
    <row r="692" spans="2:14" x14ac:dyDescent="0.3">
      <c r="B692" s="171">
        <v>45848</v>
      </c>
      <c r="C692" s="60">
        <v>12516</v>
      </c>
      <c r="J692" s="58" t="s">
        <v>2140</v>
      </c>
      <c r="K692" s="60">
        <v>7014.1</v>
      </c>
      <c r="L692" s="63" t="s">
        <v>1220</v>
      </c>
      <c r="M692" s="90"/>
      <c r="N692" s="90">
        <v>285</v>
      </c>
    </row>
    <row r="693" spans="2:14" x14ac:dyDescent="0.3">
      <c r="B693" s="171">
        <v>45847</v>
      </c>
      <c r="C693" s="60">
        <v>12562</v>
      </c>
      <c r="J693" s="58" t="s">
        <v>2141</v>
      </c>
      <c r="K693" s="60">
        <v>7113.9</v>
      </c>
      <c r="L693" s="63" t="s">
        <v>1221</v>
      </c>
      <c r="M693" s="90"/>
      <c r="N693" s="90">
        <v>241</v>
      </c>
    </row>
    <row r="694" spans="2:14" x14ac:dyDescent="0.3">
      <c r="B694" s="171">
        <v>45846</v>
      </c>
      <c r="C694" s="60">
        <v>12445</v>
      </c>
      <c r="J694" s="58" t="s">
        <v>2142</v>
      </c>
      <c r="K694" s="60">
        <v>7197.55</v>
      </c>
      <c r="L694" s="63" t="s">
        <v>1222</v>
      </c>
      <c r="M694" s="90"/>
      <c r="N694" s="90">
        <v>226</v>
      </c>
    </row>
    <row r="695" spans="2:14" x14ac:dyDescent="0.3">
      <c r="B695" s="171">
        <v>45845</v>
      </c>
      <c r="C695" s="60">
        <v>12345</v>
      </c>
      <c r="J695" s="58" t="s">
        <v>2143</v>
      </c>
      <c r="K695" s="60">
        <v>7225.3</v>
      </c>
      <c r="L695" s="63" t="s">
        <v>1223</v>
      </c>
      <c r="M695" s="90"/>
      <c r="N695" s="90">
        <v>285</v>
      </c>
    </row>
    <row r="696" spans="2:14" x14ac:dyDescent="0.3">
      <c r="B696" s="171">
        <v>45842</v>
      </c>
      <c r="C696" s="60">
        <v>12506</v>
      </c>
      <c r="J696" s="58">
        <v>44907</v>
      </c>
      <c r="K696" s="60">
        <v>7146.85</v>
      </c>
      <c r="L696" s="63" t="s">
        <v>1224</v>
      </c>
      <c r="M696" s="90"/>
      <c r="N696" s="90">
        <v>260</v>
      </c>
    </row>
    <row r="697" spans="2:14" x14ac:dyDescent="0.3">
      <c r="B697" s="171">
        <v>45841</v>
      </c>
      <c r="C697" s="60">
        <v>12398</v>
      </c>
      <c r="J697" s="58">
        <v>44816</v>
      </c>
      <c r="K697" s="60">
        <v>7077.4</v>
      </c>
      <c r="L697" s="63" t="s">
        <v>1225</v>
      </c>
      <c r="M697" s="90"/>
      <c r="N697" s="90">
        <v>211</v>
      </c>
    </row>
    <row r="698" spans="2:14" x14ac:dyDescent="0.3">
      <c r="B698" s="171">
        <v>45840</v>
      </c>
      <c r="C698" s="60">
        <v>12436</v>
      </c>
      <c r="J698" s="58">
        <v>44785</v>
      </c>
      <c r="K698" s="60">
        <v>7179.05</v>
      </c>
      <c r="L698" s="63" t="s">
        <v>1226</v>
      </c>
      <c r="M698" s="90"/>
      <c r="N698" s="90">
        <v>262</v>
      </c>
    </row>
    <row r="699" spans="2:14" x14ac:dyDescent="0.3">
      <c r="B699" s="171">
        <v>45839</v>
      </c>
      <c r="C699" s="60">
        <v>12210</v>
      </c>
      <c r="J699" s="58">
        <v>44754</v>
      </c>
      <c r="K699" s="60">
        <v>7162.2</v>
      </c>
      <c r="L699" s="63" t="s">
        <v>1227</v>
      </c>
      <c r="M699" s="90"/>
      <c r="N699" s="90">
        <v>324</v>
      </c>
    </row>
    <row r="700" spans="2:14" x14ac:dyDescent="0.3">
      <c r="B700" s="171">
        <v>45838</v>
      </c>
      <c r="C700" s="60">
        <v>12093</v>
      </c>
      <c r="J700" s="58">
        <v>44724</v>
      </c>
      <c r="K700" s="60">
        <v>7242.05</v>
      </c>
      <c r="L700" s="63" t="s">
        <v>1228</v>
      </c>
      <c r="M700" s="90"/>
      <c r="N700" s="90">
        <v>312</v>
      </c>
    </row>
    <row r="701" spans="2:14" x14ac:dyDescent="0.3">
      <c r="B701" s="171">
        <v>45835</v>
      </c>
      <c r="C701" s="60">
        <v>12213</v>
      </c>
      <c r="J701" s="58">
        <v>44693</v>
      </c>
      <c r="K701" s="60">
        <v>7198.6</v>
      </c>
      <c r="L701" s="63" t="s">
        <v>1229</v>
      </c>
      <c r="M701" s="90"/>
      <c r="N701" s="90">
        <v>235</v>
      </c>
    </row>
    <row r="702" spans="2:14" x14ac:dyDescent="0.3">
      <c r="B702" s="171">
        <v>45834</v>
      </c>
      <c r="C702" s="60">
        <v>11951</v>
      </c>
      <c r="J702" s="58">
        <v>44604</v>
      </c>
      <c r="K702" s="60">
        <v>7237.05</v>
      </c>
      <c r="L702" s="63" t="s">
        <v>1230</v>
      </c>
      <c r="M702" s="90"/>
      <c r="N702" s="90">
        <v>442</v>
      </c>
    </row>
    <row r="703" spans="2:14" x14ac:dyDescent="0.3">
      <c r="B703" s="171">
        <v>45833</v>
      </c>
      <c r="C703" s="60">
        <v>11733</v>
      </c>
      <c r="J703" s="58">
        <v>44573</v>
      </c>
      <c r="K703" s="60">
        <v>7274</v>
      </c>
      <c r="L703" s="63">
        <v>1000</v>
      </c>
      <c r="M703" s="90"/>
      <c r="N703" s="90">
        <v>1000</v>
      </c>
    </row>
    <row r="704" spans="2:14" x14ac:dyDescent="0.3">
      <c r="B704" s="171">
        <v>45832</v>
      </c>
      <c r="C704" s="60">
        <v>11579</v>
      </c>
      <c r="J704" s="58" t="s">
        <v>2144</v>
      </c>
      <c r="K704" s="60">
        <v>7077</v>
      </c>
      <c r="L704" s="63" t="s">
        <v>1231</v>
      </c>
      <c r="M704" s="90"/>
      <c r="N704" s="90">
        <v>489</v>
      </c>
    </row>
    <row r="705" spans="2:14" x14ac:dyDescent="0.3">
      <c r="B705" s="171">
        <v>45831</v>
      </c>
      <c r="C705" s="60">
        <v>11449</v>
      </c>
      <c r="J705" s="58" t="s">
        <v>2145</v>
      </c>
      <c r="K705" s="60">
        <v>6928.9</v>
      </c>
      <c r="L705" s="63" t="s">
        <v>1232</v>
      </c>
      <c r="M705" s="90"/>
      <c r="N705" s="90">
        <v>336</v>
      </c>
    </row>
    <row r="706" spans="2:14" x14ac:dyDescent="0.3">
      <c r="B706" s="171">
        <v>45828</v>
      </c>
      <c r="C706" s="60">
        <v>11458</v>
      </c>
      <c r="J706" s="58" t="s">
        <v>2146</v>
      </c>
      <c r="K706" s="60">
        <v>6892.3</v>
      </c>
      <c r="L706" s="63" t="s">
        <v>1233</v>
      </c>
      <c r="M706" s="90"/>
      <c r="N706" s="90">
        <v>239</v>
      </c>
    </row>
    <row r="707" spans="2:14" x14ac:dyDescent="0.3">
      <c r="B707" s="171">
        <v>45827</v>
      </c>
      <c r="C707" s="60">
        <v>11420</v>
      </c>
      <c r="J707" s="58" t="s">
        <v>2147</v>
      </c>
      <c r="K707" s="60">
        <v>6874</v>
      </c>
      <c r="L707" s="63" t="s">
        <v>1234</v>
      </c>
      <c r="M707" s="90"/>
      <c r="N707" s="90">
        <v>377</v>
      </c>
    </row>
    <row r="708" spans="2:14" x14ac:dyDescent="0.3">
      <c r="B708" s="171">
        <v>45826</v>
      </c>
      <c r="C708" s="60">
        <v>11406</v>
      </c>
      <c r="J708" s="58" t="s">
        <v>2148</v>
      </c>
      <c r="K708" s="60">
        <v>6860.2</v>
      </c>
      <c r="L708" s="63" t="s">
        <v>1235</v>
      </c>
      <c r="M708" s="90"/>
      <c r="N708" s="90">
        <v>297</v>
      </c>
    </row>
    <row r="709" spans="2:14" x14ac:dyDescent="0.3">
      <c r="B709" s="171">
        <v>45825</v>
      </c>
      <c r="C709" s="60">
        <v>11383</v>
      </c>
      <c r="J709" s="58" t="s">
        <v>2149</v>
      </c>
      <c r="K709" s="60">
        <v>6824.05</v>
      </c>
      <c r="L709" s="63" t="s">
        <v>1236</v>
      </c>
      <c r="M709" s="90"/>
      <c r="N709" s="90">
        <v>258</v>
      </c>
    </row>
    <row r="710" spans="2:14" x14ac:dyDescent="0.3">
      <c r="B710" s="171">
        <v>45824</v>
      </c>
      <c r="C710" s="60">
        <v>11495</v>
      </c>
      <c r="J710" s="58" t="s">
        <v>2150</v>
      </c>
      <c r="K710" s="60">
        <v>6843.05</v>
      </c>
      <c r="L710" s="63" t="s">
        <v>1237</v>
      </c>
      <c r="M710" s="90"/>
      <c r="N710" s="90">
        <v>393</v>
      </c>
    </row>
    <row r="711" spans="2:14" x14ac:dyDescent="0.3">
      <c r="B711" s="171">
        <v>45821</v>
      </c>
      <c r="C711" s="60">
        <v>11224</v>
      </c>
      <c r="J711" s="58" t="s">
        <v>2151</v>
      </c>
      <c r="K711" s="60">
        <v>6754.85</v>
      </c>
      <c r="L711" s="63" t="s">
        <v>1238</v>
      </c>
      <c r="M711" s="90"/>
      <c r="N711" s="90">
        <v>249</v>
      </c>
    </row>
    <row r="712" spans="2:14" x14ac:dyDescent="0.3">
      <c r="B712" s="171">
        <v>45820</v>
      </c>
      <c r="C712" s="60">
        <v>11323</v>
      </c>
      <c r="J712" s="58" t="s">
        <v>2152</v>
      </c>
      <c r="K712" s="60">
        <v>6814.45</v>
      </c>
      <c r="L712" s="63" t="s">
        <v>1239</v>
      </c>
      <c r="M712" s="90"/>
      <c r="N712" s="90">
        <v>297</v>
      </c>
    </row>
    <row r="713" spans="2:14" x14ac:dyDescent="0.3">
      <c r="B713" s="171">
        <v>45819</v>
      </c>
      <c r="C713" s="60">
        <v>11464</v>
      </c>
      <c r="J713" s="58" t="s">
        <v>2153</v>
      </c>
      <c r="K713" s="60">
        <v>6871.85</v>
      </c>
      <c r="L713" s="63" t="s">
        <v>1240</v>
      </c>
      <c r="M713" s="90"/>
      <c r="N713" s="90">
        <v>196</v>
      </c>
    </row>
    <row r="714" spans="2:14" x14ac:dyDescent="0.3">
      <c r="B714" s="171">
        <v>45818</v>
      </c>
      <c r="C714" s="60">
        <v>11391</v>
      </c>
      <c r="J714" s="58" t="s">
        <v>2154</v>
      </c>
      <c r="K714" s="60">
        <v>6912</v>
      </c>
      <c r="L714" s="63" t="s">
        <v>1241</v>
      </c>
      <c r="M714" s="90"/>
      <c r="N714" s="90">
        <v>307</v>
      </c>
    </row>
    <row r="715" spans="2:14" x14ac:dyDescent="0.3">
      <c r="B715" s="171">
        <v>45817</v>
      </c>
      <c r="C715" s="60">
        <v>11260</v>
      </c>
      <c r="J715" s="58" t="s">
        <v>2155</v>
      </c>
      <c r="K715" s="60">
        <v>6964.55</v>
      </c>
      <c r="L715" s="63" t="s">
        <v>1242</v>
      </c>
      <c r="M715" s="90"/>
      <c r="N715" s="90">
        <v>625</v>
      </c>
    </row>
    <row r="716" spans="2:14" x14ac:dyDescent="0.3">
      <c r="B716" s="171">
        <v>45814</v>
      </c>
      <c r="C716" s="60">
        <v>11253</v>
      </c>
      <c r="J716" s="58" t="s">
        <v>2156</v>
      </c>
      <c r="K716" s="60">
        <v>6854.4</v>
      </c>
      <c r="L716" s="63" t="s">
        <v>1243</v>
      </c>
      <c r="M716" s="90"/>
      <c r="N716" s="90">
        <v>484</v>
      </c>
    </row>
    <row r="717" spans="2:14" x14ac:dyDescent="0.3">
      <c r="B717" s="171">
        <v>45813</v>
      </c>
      <c r="C717" s="60">
        <v>11159</v>
      </c>
      <c r="J717" s="58">
        <v>44876</v>
      </c>
      <c r="K717" s="60">
        <v>6813.2</v>
      </c>
      <c r="L717" s="63" t="s">
        <v>1244</v>
      </c>
      <c r="M717" s="90"/>
      <c r="N717" s="90">
        <v>293</v>
      </c>
    </row>
    <row r="718" spans="2:14" x14ac:dyDescent="0.3">
      <c r="B718" s="171">
        <v>45812</v>
      </c>
      <c r="C718" s="60">
        <v>11033</v>
      </c>
      <c r="J718" s="58">
        <v>44845</v>
      </c>
      <c r="K718" s="60">
        <v>6801.3</v>
      </c>
      <c r="L718" s="63" t="s">
        <v>1245</v>
      </c>
      <c r="M718" s="90"/>
      <c r="N718" s="90">
        <v>330</v>
      </c>
    </row>
    <row r="719" spans="2:14" x14ac:dyDescent="0.3">
      <c r="B719" s="171">
        <v>45811</v>
      </c>
      <c r="C719" s="60">
        <v>11035</v>
      </c>
      <c r="J719" s="58">
        <v>44815</v>
      </c>
      <c r="K719" s="60">
        <v>6903.5</v>
      </c>
      <c r="L719" s="63" t="s">
        <v>1246</v>
      </c>
      <c r="M719" s="90"/>
      <c r="N719" s="90">
        <v>312</v>
      </c>
    </row>
    <row r="720" spans="2:14" x14ac:dyDescent="0.3">
      <c r="B720" s="171">
        <v>45810</v>
      </c>
      <c r="C720" s="60">
        <v>11195</v>
      </c>
      <c r="J720" s="58">
        <v>44753</v>
      </c>
      <c r="K720" s="60">
        <v>6973.5</v>
      </c>
      <c r="L720" s="63" t="s">
        <v>1247</v>
      </c>
      <c r="M720" s="90"/>
      <c r="N720" s="90">
        <v>353</v>
      </c>
    </row>
    <row r="721" spans="2:14" x14ac:dyDescent="0.3">
      <c r="B721" s="171">
        <v>45807</v>
      </c>
      <c r="C721" s="60">
        <v>11210</v>
      </c>
      <c r="J721" s="58">
        <v>44662</v>
      </c>
      <c r="K721" s="60">
        <v>6893.05</v>
      </c>
      <c r="L721" s="63" t="s">
        <v>1248</v>
      </c>
      <c r="M721" s="90"/>
      <c r="N721" s="90">
        <v>646</v>
      </c>
    </row>
    <row r="722" spans="2:14" x14ac:dyDescent="0.3">
      <c r="B722" s="171">
        <v>45806</v>
      </c>
      <c r="C722" s="60">
        <v>11269</v>
      </c>
      <c r="J722" s="58">
        <v>44631</v>
      </c>
      <c r="K722" s="60">
        <v>6728.25</v>
      </c>
      <c r="L722" s="63" t="s">
        <v>1249</v>
      </c>
      <c r="M722" s="90"/>
      <c r="N722" s="90">
        <v>217</v>
      </c>
    </row>
    <row r="723" spans="2:14" x14ac:dyDescent="0.3">
      <c r="B723" s="171">
        <v>45805</v>
      </c>
      <c r="C723" s="60">
        <v>11238</v>
      </c>
      <c r="J723" s="58">
        <v>44603</v>
      </c>
      <c r="K723" s="60">
        <v>6779.9</v>
      </c>
      <c r="L723" s="63" t="s">
        <v>1250</v>
      </c>
      <c r="M723" s="90"/>
      <c r="N723" s="90">
        <v>255</v>
      </c>
    </row>
    <row r="724" spans="2:14" x14ac:dyDescent="0.3">
      <c r="B724" s="171">
        <v>45804</v>
      </c>
      <c r="C724" s="60">
        <v>11421</v>
      </c>
      <c r="J724" s="58">
        <v>44572</v>
      </c>
      <c r="K724" s="60">
        <v>6820.9</v>
      </c>
      <c r="L724" s="63" t="s">
        <v>1251</v>
      </c>
      <c r="M724" s="90"/>
      <c r="N724" s="90">
        <v>429</v>
      </c>
    </row>
    <row r="725" spans="2:14" x14ac:dyDescent="0.3">
      <c r="B725" s="171">
        <v>45803</v>
      </c>
      <c r="C725" s="60">
        <v>11689</v>
      </c>
      <c r="J725" s="58" t="s">
        <v>2157</v>
      </c>
      <c r="K725" s="60">
        <v>6714.95</v>
      </c>
      <c r="L725" s="63" t="s">
        <v>1252</v>
      </c>
      <c r="M725" s="90"/>
      <c r="N725" s="90">
        <v>538</v>
      </c>
    </row>
    <row r="726" spans="2:14" x14ac:dyDescent="0.3">
      <c r="B726" s="171">
        <v>45800</v>
      </c>
      <c r="C726" s="60">
        <v>11746</v>
      </c>
      <c r="J726" s="58" t="s">
        <v>2158</v>
      </c>
      <c r="K726" s="60">
        <v>6445.85</v>
      </c>
      <c r="L726" s="63" t="s">
        <v>1253</v>
      </c>
      <c r="M726" s="90"/>
      <c r="N726" s="90">
        <v>151</v>
      </c>
    </row>
    <row r="727" spans="2:14" x14ac:dyDescent="0.3">
      <c r="B727" s="171">
        <v>45799</v>
      </c>
      <c r="C727" s="60">
        <v>11680</v>
      </c>
      <c r="J727" s="58" t="s">
        <v>2159</v>
      </c>
      <c r="K727" s="60">
        <v>6436.8</v>
      </c>
      <c r="L727" s="63" t="s">
        <v>1254</v>
      </c>
      <c r="M727" s="90"/>
      <c r="N727" s="90">
        <v>248</v>
      </c>
    </row>
    <row r="728" spans="2:14" x14ac:dyDescent="0.3">
      <c r="B728" s="171">
        <v>45798</v>
      </c>
      <c r="C728" s="60">
        <v>11666</v>
      </c>
      <c r="J728" s="58" t="s">
        <v>2160</v>
      </c>
      <c r="K728" s="60">
        <v>6415.7</v>
      </c>
      <c r="L728" s="63" t="s">
        <v>1255</v>
      </c>
      <c r="M728" s="90"/>
      <c r="N728" s="90">
        <v>313</v>
      </c>
    </row>
    <row r="729" spans="2:14" x14ac:dyDescent="0.3">
      <c r="B729" s="171">
        <v>45797</v>
      </c>
      <c r="C729" s="60">
        <v>11697</v>
      </c>
      <c r="J729" s="58" t="s">
        <v>2161</v>
      </c>
      <c r="K729" s="60">
        <v>6394.6</v>
      </c>
      <c r="L729" s="63" t="s">
        <v>1256</v>
      </c>
      <c r="M729" s="90"/>
      <c r="N729" s="90">
        <v>56</v>
      </c>
    </row>
    <row r="730" spans="2:14" x14ac:dyDescent="0.3">
      <c r="B730" s="171">
        <v>45796</v>
      </c>
      <c r="C730" s="60">
        <v>11929</v>
      </c>
      <c r="J730" s="58" t="s">
        <v>2162</v>
      </c>
      <c r="K730" s="60">
        <v>6362.9</v>
      </c>
      <c r="L730" s="63" t="s">
        <v>1257</v>
      </c>
      <c r="M730" s="90"/>
      <c r="N730" s="90">
        <v>307</v>
      </c>
    </row>
    <row r="731" spans="2:14" x14ac:dyDescent="0.3">
      <c r="B731" s="171">
        <v>45793</v>
      </c>
      <c r="C731" s="60">
        <v>11905</v>
      </c>
      <c r="J731" s="58" t="s">
        <v>2163</v>
      </c>
      <c r="K731" s="60">
        <v>6302.3</v>
      </c>
      <c r="L731" s="63" t="s">
        <v>1258</v>
      </c>
      <c r="M731" s="90"/>
      <c r="N731" s="90">
        <v>476</v>
      </c>
    </row>
    <row r="732" spans="2:14" x14ac:dyDescent="0.3">
      <c r="B732" s="171">
        <v>45792</v>
      </c>
      <c r="C732" s="60">
        <v>11894</v>
      </c>
      <c r="J732" s="58" t="s">
        <v>2164</v>
      </c>
      <c r="K732" s="60">
        <v>6398.4</v>
      </c>
      <c r="L732" s="63" t="s">
        <v>1259</v>
      </c>
      <c r="M732" s="90"/>
      <c r="N732" s="90">
        <v>919</v>
      </c>
    </row>
    <row r="733" spans="2:14" x14ac:dyDescent="0.3">
      <c r="B733" s="171">
        <v>45791</v>
      </c>
      <c r="C733" s="60">
        <v>11672</v>
      </c>
      <c r="J733" s="58" t="s">
        <v>2165</v>
      </c>
      <c r="K733" s="60">
        <v>6346.75</v>
      </c>
      <c r="L733" s="63" t="s">
        <v>1260</v>
      </c>
      <c r="M733" s="90"/>
      <c r="N733" s="90">
        <v>558</v>
      </c>
    </row>
    <row r="734" spans="2:14" x14ac:dyDescent="0.3">
      <c r="B734" s="171">
        <v>45790</v>
      </c>
      <c r="C734" s="60">
        <v>11661</v>
      </c>
      <c r="J734" s="58" t="s">
        <v>2166</v>
      </c>
      <c r="K734" s="60">
        <v>6271.5</v>
      </c>
      <c r="L734" s="63" t="s">
        <v>1261</v>
      </c>
      <c r="M734" s="90"/>
      <c r="N734" s="90">
        <v>453</v>
      </c>
    </row>
    <row r="735" spans="2:14" x14ac:dyDescent="0.3">
      <c r="B735" s="171">
        <v>45789</v>
      </c>
      <c r="C735" s="60">
        <v>11736</v>
      </c>
      <c r="J735" s="58" t="s">
        <v>2167</v>
      </c>
      <c r="K735" s="60">
        <v>6192</v>
      </c>
      <c r="L735" s="63" t="s">
        <v>1262</v>
      </c>
      <c r="M735" s="90"/>
      <c r="N735" s="90">
        <v>249</v>
      </c>
    </row>
    <row r="736" spans="2:14" x14ac:dyDescent="0.3">
      <c r="B736" s="171">
        <v>45786</v>
      </c>
      <c r="C736" s="60">
        <v>11364</v>
      </c>
      <c r="J736" s="58" t="s">
        <v>2168</v>
      </c>
      <c r="K736" s="60">
        <v>6181.75</v>
      </c>
      <c r="L736" s="63" t="s">
        <v>1263</v>
      </c>
      <c r="M736" s="90"/>
      <c r="N736" s="90">
        <v>314</v>
      </c>
    </row>
    <row r="737" spans="2:14" x14ac:dyDescent="0.3">
      <c r="B737" s="171">
        <v>45785</v>
      </c>
      <c r="C737" s="60">
        <v>11631</v>
      </c>
      <c r="J737" s="58">
        <v>44905</v>
      </c>
      <c r="K737" s="60">
        <v>6177.7</v>
      </c>
      <c r="L737" s="63" t="s">
        <v>1264</v>
      </c>
      <c r="M737" s="90"/>
      <c r="N737" s="90">
        <v>223</v>
      </c>
    </row>
    <row r="738" spans="2:14" x14ac:dyDescent="0.3">
      <c r="B738" s="171">
        <v>45784</v>
      </c>
      <c r="C738" s="60">
        <v>11658</v>
      </c>
      <c r="J738" s="58">
        <v>44875</v>
      </c>
      <c r="K738" s="60">
        <v>6076.75</v>
      </c>
      <c r="L738" s="63" t="s">
        <v>1265</v>
      </c>
      <c r="M738" s="90"/>
      <c r="N738" s="90">
        <v>276</v>
      </c>
    </row>
    <row r="739" spans="2:14" x14ac:dyDescent="0.3">
      <c r="B739" s="171">
        <v>45783</v>
      </c>
      <c r="C739" s="60">
        <v>11693</v>
      </c>
      <c r="J739" s="58">
        <v>44844</v>
      </c>
      <c r="K739" s="60">
        <v>6149.9</v>
      </c>
      <c r="L739" s="63" t="s">
        <v>1266</v>
      </c>
      <c r="M739" s="90"/>
      <c r="N739" s="90">
        <v>282</v>
      </c>
    </row>
    <row r="740" spans="2:14" x14ac:dyDescent="0.3">
      <c r="B740" s="171">
        <v>45782</v>
      </c>
      <c r="C740" s="60">
        <v>11670</v>
      </c>
      <c r="J740" s="58">
        <v>44752</v>
      </c>
      <c r="K740" s="60">
        <v>6203.5</v>
      </c>
      <c r="L740" s="63" t="s">
        <v>1267</v>
      </c>
      <c r="M740" s="90"/>
      <c r="N740" s="90">
        <v>454</v>
      </c>
    </row>
    <row r="741" spans="2:14" x14ac:dyDescent="0.3">
      <c r="B741" s="171">
        <v>45779</v>
      </c>
      <c r="C741" s="60">
        <v>11644</v>
      </c>
      <c r="J741" s="58">
        <v>44722</v>
      </c>
      <c r="K741" s="60">
        <v>6287.25</v>
      </c>
      <c r="L741" s="63" t="s">
        <v>1268</v>
      </c>
      <c r="M741" s="90"/>
      <c r="N741" s="90">
        <v>495</v>
      </c>
    </row>
    <row r="742" spans="2:14" x14ac:dyDescent="0.3">
      <c r="B742" s="171">
        <v>45777</v>
      </c>
      <c r="C742" s="60">
        <v>11641</v>
      </c>
      <c r="J742" s="58">
        <v>44661</v>
      </c>
      <c r="K742" s="60">
        <v>6307.55</v>
      </c>
      <c r="L742" s="63" t="s">
        <v>1269</v>
      </c>
      <c r="M742" s="90"/>
      <c r="N742" s="90">
        <v>307</v>
      </c>
    </row>
    <row r="743" spans="2:14" x14ac:dyDescent="0.3">
      <c r="B743" s="171">
        <v>45776</v>
      </c>
      <c r="C743" s="60">
        <v>11869</v>
      </c>
      <c r="J743" s="58">
        <v>44630</v>
      </c>
      <c r="K743" s="60">
        <v>6242.55</v>
      </c>
      <c r="L743" s="63" t="s">
        <v>1270</v>
      </c>
      <c r="M743" s="90"/>
      <c r="N743" s="90">
        <v>337</v>
      </c>
    </row>
    <row r="744" spans="2:14" x14ac:dyDescent="0.3">
      <c r="B744" s="171">
        <v>45775</v>
      </c>
      <c r="C744" s="60">
        <v>12114</v>
      </c>
      <c r="J744" s="58" t="s">
        <v>2169</v>
      </c>
      <c r="K744" s="60">
        <v>6255.1</v>
      </c>
      <c r="L744" s="63" t="s">
        <v>1271</v>
      </c>
      <c r="M744" s="90"/>
      <c r="N744" s="90">
        <v>442</v>
      </c>
    </row>
    <row r="745" spans="2:14" x14ac:dyDescent="0.3">
      <c r="B745" s="171">
        <v>45772</v>
      </c>
      <c r="C745" s="60">
        <v>12237</v>
      </c>
      <c r="J745" s="58" t="s">
        <v>2170</v>
      </c>
      <c r="K745" s="60">
        <v>6175.9</v>
      </c>
      <c r="L745" s="63" t="s">
        <v>1272</v>
      </c>
      <c r="M745" s="90"/>
      <c r="N745" s="90">
        <v>407</v>
      </c>
    </row>
    <row r="746" spans="2:14" x14ac:dyDescent="0.3">
      <c r="B746" s="171">
        <v>45771</v>
      </c>
      <c r="C746" s="60">
        <v>12159</v>
      </c>
      <c r="J746" s="58" t="s">
        <v>2171</v>
      </c>
      <c r="K746" s="60">
        <v>6172.95</v>
      </c>
      <c r="L746" s="63" t="s">
        <v>1273</v>
      </c>
      <c r="M746" s="90"/>
      <c r="N746" s="90">
        <v>378</v>
      </c>
    </row>
    <row r="747" spans="2:14" x14ac:dyDescent="0.3">
      <c r="B747" s="171">
        <v>45770</v>
      </c>
      <c r="C747" s="60">
        <v>11949</v>
      </c>
      <c r="J747" s="58" t="s">
        <v>2172</v>
      </c>
      <c r="K747" s="60">
        <v>6192.85</v>
      </c>
      <c r="L747" s="63" t="s">
        <v>1274</v>
      </c>
      <c r="M747" s="90"/>
      <c r="N747" s="90">
        <v>467</v>
      </c>
    </row>
    <row r="748" spans="2:14" x14ac:dyDescent="0.3">
      <c r="B748" s="171">
        <v>45769</v>
      </c>
      <c r="C748" s="60">
        <v>11959</v>
      </c>
      <c r="J748" s="58" t="s">
        <v>2173</v>
      </c>
      <c r="K748" s="60">
        <v>6177.1</v>
      </c>
      <c r="L748" s="63" t="s">
        <v>1275</v>
      </c>
      <c r="M748" s="90"/>
      <c r="N748" s="90">
        <v>497</v>
      </c>
    </row>
    <row r="749" spans="2:14" x14ac:dyDescent="0.3">
      <c r="B749" s="171">
        <v>45768</v>
      </c>
      <c r="C749" s="60">
        <v>11934</v>
      </c>
      <c r="J749" s="58" t="s">
        <v>2174</v>
      </c>
      <c r="K749" s="60">
        <v>6139.95</v>
      </c>
      <c r="L749" s="63" t="s">
        <v>1276</v>
      </c>
      <c r="M749" s="90"/>
      <c r="N749" s="90">
        <v>570</v>
      </c>
    </row>
    <row r="750" spans="2:14" x14ac:dyDescent="0.3">
      <c r="B750" s="171">
        <v>45764</v>
      </c>
      <c r="C750" s="60">
        <v>11901</v>
      </c>
      <c r="J750" s="58" t="s">
        <v>2175</v>
      </c>
      <c r="K750" s="60">
        <v>6239.4</v>
      </c>
      <c r="L750" s="63" t="s">
        <v>1277</v>
      </c>
      <c r="M750" s="90"/>
      <c r="N750" s="90">
        <v>492</v>
      </c>
    </row>
    <row r="751" spans="2:14" x14ac:dyDescent="0.3">
      <c r="B751" s="171">
        <v>45763</v>
      </c>
      <c r="C751" s="60">
        <v>11728</v>
      </c>
      <c r="J751" s="58" t="s">
        <v>2176</v>
      </c>
      <c r="K751" s="60">
        <v>6313.75</v>
      </c>
      <c r="L751" s="63" t="s">
        <v>1278</v>
      </c>
      <c r="M751" s="90"/>
      <c r="N751" s="90">
        <v>616</v>
      </c>
    </row>
    <row r="752" spans="2:14" x14ac:dyDescent="0.3">
      <c r="B752" s="171">
        <v>45762</v>
      </c>
      <c r="C752" s="60">
        <v>11719</v>
      </c>
      <c r="J752" s="58" t="s">
        <v>2177</v>
      </c>
      <c r="K752" s="60">
        <v>6484.65</v>
      </c>
      <c r="L752" s="63" t="s">
        <v>1279</v>
      </c>
      <c r="M752" s="90"/>
      <c r="N752" s="90">
        <v>373</v>
      </c>
    </row>
    <row r="753" spans="2:14" x14ac:dyDescent="0.3">
      <c r="B753" s="171">
        <v>45758</v>
      </c>
      <c r="C753" s="60">
        <v>11502.65</v>
      </c>
      <c r="J753" s="58" t="s">
        <v>2178</v>
      </c>
      <c r="K753" s="60">
        <v>6459.85</v>
      </c>
      <c r="L753" s="63" t="s">
        <v>1280</v>
      </c>
      <c r="M753" s="90"/>
      <c r="N753" s="90">
        <v>808</v>
      </c>
    </row>
    <row r="754" spans="2:14" x14ac:dyDescent="0.3">
      <c r="B754" s="171">
        <v>45756</v>
      </c>
      <c r="C754" s="60">
        <v>11397.05</v>
      </c>
      <c r="J754" s="58" t="s">
        <v>2179</v>
      </c>
      <c r="K754" s="60">
        <v>6481.4</v>
      </c>
      <c r="L754" s="63" t="s">
        <v>1281</v>
      </c>
      <c r="M754" s="90"/>
      <c r="N754" s="90">
        <v>831</v>
      </c>
    </row>
    <row r="755" spans="2:14" x14ac:dyDescent="0.3">
      <c r="B755" s="171">
        <v>45755</v>
      </c>
      <c r="C755" s="60">
        <v>11270.45</v>
      </c>
      <c r="J755" s="58" t="s">
        <v>2180</v>
      </c>
      <c r="K755" s="60">
        <v>6790.05</v>
      </c>
      <c r="L755" s="63" t="s">
        <v>1282</v>
      </c>
      <c r="M755" s="90"/>
      <c r="N755" s="90">
        <v>437</v>
      </c>
    </row>
    <row r="756" spans="2:14" x14ac:dyDescent="0.3">
      <c r="B756" s="171">
        <v>45754</v>
      </c>
      <c r="C756" s="60">
        <v>11191.6</v>
      </c>
      <c r="J756" s="58" t="s">
        <v>2181</v>
      </c>
      <c r="K756" s="60">
        <v>6875.75</v>
      </c>
      <c r="L756" s="63" t="s">
        <v>1283</v>
      </c>
      <c r="M756" s="90"/>
      <c r="N756" s="90">
        <v>543</v>
      </c>
    </row>
    <row r="757" spans="2:14" x14ac:dyDescent="0.3">
      <c r="B757" s="171">
        <v>45751</v>
      </c>
      <c r="C757" s="60">
        <v>11498.65</v>
      </c>
      <c r="J757" s="58" t="s">
        <v>2182</v>
      </c>
      <c r="K757" s="60">
        <v>6896.3</v>
      </c>
      <c r="L757" s="63" t="s">
        <v>1284</v>
      </c>
      <c r="M757" s="90"/>
      <c r="N757" s="90">
        <v>412</v>
      </c>
    </row>
    <row r="758" spans="2:14" x14ac:dyDescent="0.3">
      <c r="B758" s="171">
        <v>45750</v>
      </c>
      <c r="C758" s="60">
        <v>11606.6</v>
      </c>
      <c r="J758" s="58">
        <v>44904</v>
      </c>
      <c r="K758" s="60">
        <v>6869.6</v>
      </c>
      <c r="L758" s="63" t="s">
        <v>1285</v>
      </c>
      <c r="M758" s="90"/>
      <c r="N758" s="90">
        <v>488</v>
      </c>
    </row>
    <row r="759" spans="2:14" x14ac:dyDescent="0.3">
      <c r="B759" s="171">
        <v>45749</v>
      </c>
      <c r="C759" s="60">
        <v>11250.95</v>
      </c>
      <c r="J759" s="58">
        <v>44813</v>
      </c>
      <c r="K759" s="60">
        <v>6783.65</v>
      </c>
      <c r="L759" s="63" t="s">
        <v>1286</v>
      </c>
      <c r="M759" s="90"/>
      <c r="N759" s="90">
        <v>567</v>
      </c>
    </row>
    <row r="760" spans="2:14" x14ac:dyDescent="0.3">
      <c r="B760" s="171">
        <v>45748</v>
      </c>
      <c r="C760" s="60">
        <v>11378.65</v>
      </c>
      <c r="J760" s="58">
        <v>44782</v>
      </c>
      <c r="K760" s="60">
        <v>6919.65</v>
      </c>
      <c r="L760" s="63" t="s">
        <v>1287</v>
      </c>
      <c r="M760" s="90"/>
      <c r="N760" s="90">
        <v>879</v>
      </c>
    </row>
    <row r="761" spans="2:14" x14ac:dyDescent="0.3">
      <c r="B761" s="171">
        <v>45744</v>
      </c>
      <c r="C761" s="60">
        <v>11509.55</v>
      </c>
      <c r="J761" s="58">
        <v>44751</v>
      </c>
      <c r="K761" s="60">
        <v>6770.8</v>
      </c>
      <c r="L761" s="63" t="s">
        <v>1288</v>
      </c>
      <c r="M761" s="90"/>
      <c r="N761" s="90">
        <v>918</v>
      </c>
    </row>
    <row r="762" spans="2:14" x14ac:dyDescent="0.3">
      <c r="B762" s="171">
        <v>45743</v>
      </c>
      <c r="C762" s="60">
        <v>11599.6</v>
      </c>
      <c r="J762" s="58">
        <v>44721</v>
      </c>
      <c r="K762" s="60">
        <v>6495.5</v>
      </c>
      <c r="L762" s="63" t="s">
        <v>1289</v>
      </c>
      <c r="M762" s="90"/>
      <c r="N762" s="90">
        <v>341</v>
      </c>
    </row>
    <row r="763" spans="2:14" x14ac:dyDescent="0.3">
      <c r="B763" s="171">
        <v>45742</v>
      </c>
      <c r="C763" s="60">
        <v>11402.1</v>
      </c>
      <c r="J763" s="58">
        <v>44690</v>
      </c>
      <c r="K763" s="60">
        <v>6521.95</v>
      </c>
      <c r="L763" s="63" t="s">
        <v>1290</v>
      </c>
      <c r="M763" s="90"/>
      <c r="N763" s="90">
        <v>385</v>
      </c>
    </row>
    <row r="764" spans="2:14" x14ac:dyDescent="0.3">
      <c r="B764" s="171">
        <v>45741</v>
      </c>
      <c r="C764" s="60">
        <v>11421.2</v>
      </c>
      <c r="J764" s="58">
        <v>44601</v>
      </c>
      <c r="K764" s="60">
        <v>6577.5</v>
      </c>
      <c r="L764" s="63" t="s">
        <v>1291</v>
      </c>
      <c r="M764" s="90"/>
      <c r="N764" s="90">
        <v>268</v>
      </c>
    </row>
    <row r="765" spans="2:14" x14ac:dyDescent="0.3">
      <c r="B765" s="171">
        <v>45740</v>
      </c>
      <c r="C765" s="60">
        <v>11051.2</v>
      </c>
      <c r="J765" s="58">
        <v>44570</v>
      </c>
      <c r="K765" s="60">
        <v>6632.5</v>
      </c>
      <c r="L765" s="63" t="s">
        <v>1292</v>
      </c>
      <c r="M765" s="90"/>
      <c r="N765" s="90">
        <v>386</v>
      </c>
    </row>
    <row r="766" spans="2:14" x14ac:dyDescent="0.3">
      <c r="B766" s="171">
        <v>45737</v>
      </c>
      <c r="C766" s="60">
        <v>10976.75</v>
      </c>
      <c r="J766" s="58" t="s">
        <v>2183</v>
      </c>
      <c r="K766" s="60">
        <v>6677.85</v>
      </c>
      <c r="L766" s="63" t="s">
        <v>1293</v>
      </c>
      <c r="M766" s="90"/>
      <c r="N766" s="90">
        <v>467</v>
      </c>
    </row>
    <row r="767" spans="2:14" x14ac:dyDescent="0.3">
      <c r="B767" s="171">
        <v>45736</v>
      </c>
      <c r="C767" s="60">
        <v>10948.15</v>
      </c>
      <c r="J767" s="58" t="s">
        <v>2184</v>
      </c>
      <c r="K767" s="60">
        <v>6506.3</v>
      </c>
      <c r="L767" s="63" t="s">
        <v>1294</v>
      </c>
      <c r="M767" s="90"/>
      <c r="N767" s="90">
        <v>366</v>
      </c>
    </row>
    <row r="768" spans="2:14" x14ac:dyDescent="0.3">
      <c r="B768" s="171">
        <v>45735</v>
      </c>
      <c r="C768" s="60">
        <v>10933.25</v>
      </c>
      <c r="J768" s="58" t="s">
        <v>2185</v>
      </c>
      <c r="K768" s="60">
        <v>6517.15</v>
      </c>
      <c r="L768" s="63" t="s">
        <v>1295</v>
      </c>
      <c r="M768" s="90"/>
      <c r="N768" s="90">
        <v>415</v>
      </c>
    </row>
    <row r="769" spans="2:14" x14ac:dyDescent="0.3">
      <c r="B769" s="171">
        <v>45734</v>
      </c>
      <c r="C769" s="60">
        <v>10698.1</v>
      </c>
      <c r="J769" s="58" t="s">
        <v>2186</v>
      </c>
      <c r="K769" s="60">
        <v>6475.05</v>
      </c>
      <c r="L769" s="63" t="s">
        <v>1296</v>
      </c>
      <c r="M769" s="90"/>
      <c r="N769" s="90">
        <v>470</v>
      </c>
    </row>
    <row r="770" spans="2:14" x14ac:dyDescent="0.3">
      <c r="B770" s="171">
        <v>45733</v>
      </c>
      <c r="C770" s="60">
        <v>10547.1</v>
      </c>
      <c r="J770" s="58" t="s">
        <v>2187</v>
      </c>
      <c r="K770" s="60">
        <v>6508.35</v>
      </c>
      <c r="L770" s="63" t="s">
        <v>1297</v>
      </c>
      <c r="M770" s="90"/>
      <c r="N770" s="90">
        <v>223</v>
      </c>
    </row>
    <row r="771" spans="2:14" x14ac:dyDescent="0.3">
      <c r="B771" s="171">
        <v>45729</v>
      </c>
      <c r="C771" s="60">
        <v>10452.1</v>
      </c>
      <c r="J771" s="58" t="s">
        <v>2188</v>
      </c>
      <c r="K771" s="60">
        <v>6495.4</v>
      </c>
      <c r="L771" s="63" t="s">
        <v>1298</v>
      </c>
      <c r="M771" s="90"/>
      <c r="N771" s="90">
        <v>379</v>
      </c>
    </row>
    <row r="772" spans="2:14" x14ac:dyDescent="0.3">
      <c r="B772" s="171">
        <v>45728</v>
      </c>
      <c r="C772" s="60">
        <v>10520.4</v>
      </c>
      <c r="J772" s="58" t="s">
        <v>2189</v>
      </c>
      <c r="K772" s="60">
        <v>6467.5</v>
      </c>
      <c r="L772" s="63" t="s">
        <v>1299</v>
      </c>
      <c r="M772" s="90"/>
      <c r="N772" s="90">
        <v>345</v>
      </c>
    </row>
    <row r="773" spans="2:14" x14ac:dyDescent="0.3">
      <c r="B773" s="171">
        <v>45727</v>
      </c>
      <c r="C773" s="60">
        <v>10439.25</v>
      </c>
      <c r="J773" s="58" t="s">
        <v>2190</v>
      </c>
      <c r="K773" s="60">
        <v>6647.55</v>
      </c>
      <c r="L773" s="63" t="s">
        <v>1300</v>
      </c>
      <c r="M773" s="90"/>
      <c r="N773" s="90">
        <v>641</v>
      </c>
    </row>
    <row r="774" spans="2:14" x14ac:dyDescent="0.3">
      <c r="B774" s="171">
        <v>45726</v>
      </c>
      <c r="C774" s="60">
        <v>10520.1</v>
      </c>
      <c r="J774" s="58" t="s">
        <v>2191</v>
      </c>
      <c r="K774" s="60">
        <v>6703.95</v>
      </c>
      <c r="L774" s="63" t="s">
        <v>1301</v>
      </c>
      <c r="M774" s="90"/>
      <c r="N774" s="90">
        <v>300</v>
      </c>
    </row>
    <row r="775" spans="2:14" x14ac:dyDescent="0.3">
      <c r="B775" s="171">
        <v>45723</v>
      </c>
      <c r="C775" s="60">
        <v>10582.4</v>
      </c>
      <c r="J775" s="58" t="s">
        <v>2192</v>
      </c>
      <c r="K775" s="60">
        <v>6609.85</v>
      </c>
      <c r="L775" s="63" t="s">
        <v>1302</v>
      </c>
      <c r="M775" s="90"/>
      <c r="N775" s="90">
        <v>341</v>
      </c>
    </row>
    <row r="776" spans="2:14" x14ac:dyDescent="0.3">
      <c r="B776" s="171">
        <v>45722</v>
      </c>
      <c r="C776" s="60">
        <v>10493.5</v>
      </c>
      <c r="J776" s="58" t="s">
        <v>2193</v>
      </c>
      <c r="K776" s="60">
        <v>6656</v>
      </c>
      <c r="L776" s="63" t="s">
        <v>1303</v>
      </c>
      <c r="M776" s="90"/>
      <c r="N776" s="90">
        <v>270</v>
      </c>
    </row>
    <row r="777" spans="2:14" x14ac:dyDescent="0.3">
      <c r="B777" s="171">
        <v>45721</v>
      </c>
      <c r="C777" s="60">
        <v>10464.200000000001</v>
      </c>
      <c r="J777" s="58">
        <v>44903</v>
      </c>
      <c r="K777" s="60">
        <v>6559.3</v>
      </c>
      <c r="L777" s="63" t="s">
        <v>1304</v>
      </c>
      <c r="M777" s="90"/>
      <c r="N777" s="90">
        <v>269</v>
      </c>
    </row>
    <row r="778" spans="2:14" x14ac:dyDescent="0.3">
      <c r="B778" s="171">
        <v>45720</v>
      </c>
      <c r="C778" s="60">
        <v>10370.1</v>
      </c>
      <c r="J778" s="58">
        <v>44873</v>
      </c>
      <c r="K778" s="60">
        <v>6597.1</v>
      </c>
      <c r="L778" s="63" t="s">
        <v>1305</v>
      </c>
      <c r="M778" s="90"/>
      <c r="N778" s="90">
        <v>303</v>
      </c>
    </row>
    <row r="779" spans="2:14" x14ac:dyDescent="0.3">
      <c r="B779" s="171">
        <v>45719</v>
      </c>
      <c r="C779" s="60">
        <v>10340.799999999999</v>
      </c>
      <c r="J779" s="58">
        <v>44842</v>
      </c>
      <c r="K779" s="60">
        <v>6595.65</v>
      </c>
      <c r="L779" s="63" t="s">
        <v>1306</v>
      </c>
      <c r="M779" s="90"/>
      <c r="N779" s="90">
        <v>271</v>
      </c>
    </row>
    <row r="780" spans="2:14" x14ac:dyDescent="0.3">
      <c r="B780" s="171">
        <v>45716</v>
      </c>
      <c r="C780" s="60">
        <v>10128.450000000001</v>
      </c>
      <c r="J780" s="58">
        <v>44781</v>
      </c>
      <c r="K780" s="60">
        <v>6677.85</v>
      </c>
      <c r="L780" s="63" t="s">
        <v>1307</v>
      </c>
      <c r="M780" s="90"/>
      <c r="N780" s="90">
        <v>313</v>
      </c>
    </row>
    <row r="781" spans="2:14" x14ac:dyDescent="0.3">
      <c r="B781" s="171">
        <v>45715</v>
      </c>
      <c r="C781" s="60">
        <v>10447.65</v>
      </c>
      <c r="J781" s="58">
        <v>44689</v>
      </c>
      <c r="K781" s="60">
        <v>6775.2</v>
      </c>
      <c r="L781" s="63" t="s">
        <v>1308</v>
      </c>
      <c r="M781" s="90"/>
      <c r="N781" s="90">
        <v>741</v>
      </c>
    </row>
    <row r="782" spans="2:14" x14ac:dyDescent="0.3">
      <c r="B782" s="171">
        <v>45713</v>
      </c>
      <c r="C782" s="60">
        <v>10964.15</v>
      </c>
      <c r="J782" s="58">
        <v>44659</v>
      </c>
      <c r="K782" s="60">
        <v>6588.05</v>
      </c>
      <c r="L782" s="63" t="s">
        <v>1309</v>
      </c>
      <c r="M782" s="90"/>
      <c r="N782" s="90">
        <v>275</v>
      </c>
    </row>
    <row r="783" spans="2:14" x14ac:dyDescent="0.3">
      <c r="B783" s="171">
        <v>45712</v>
      </c>
      <c r="C783" s="60">
        <v>11042.65</v>
      </c>
      <c r="J783" s="58">
        <v>44628</v>
      </c>
      <c r="K783" s="60">
        <v>6602.7</v>
      </c>
      <c r="L783" s="63" t="s">
        <v>1310</v>
      </c>
      <c r="M783" s="90"/>
      <c r="N783" s="90">
        <v>266</v>
      </c>
    </row>
    <row r="784" spans="2:14" x14ac:dyDescent="0.3">
      <c r="B784" s="171">
        <v>45709</v>
      </c>
      <c r="C784" s="60">
        <v>11157.25</v>
      </c>
      <c r="J784" s="58">
        <v>44600</v>
      </c>
      <c r="K784" s="60">
        <v>6651.3</v>
      </c>
      <c r="L784" s="63" t="s">
        <v>1311</v>
      </c>
      <c r="M784" s="90"/>
      <c r="N784" s="90">
        <v>274</v>
      </c>
    </row>
    <row r="785" spans="2:14" x14ac:dyDescent="0.3">
      <c r="B785" s="171">
        <v>45708</v>
      </c>
      <c r="C785" s="60">
        <v>11287.6</v>
      </c>
      <c r="J785" s="58">
        <v>44569</v>
      </c>
      <c r="K785" s="60">
        <v>6657.65</v>
      </c>
      <c r="L785" s="63" t="s">
        <v>1312</v>
      </c>
      <c r="M785" s="90"/>
      <c r="N785" s="90">
        <v>414</v>
      </c>
    </row>
    <row r="786" spans="2:14" x14ac:dyDescent="0.3">
      <c r="B786" s="171">
        <v>45707</v>
      </c>
      <c r="C786" s="60">
        <v>11291.55</v>
      </c>
      <c r="J786" s="58" t="s">
        <v>2194</v>
      </c>
      <c r="K786" s="60">
        <v>6544.8</v>
      </c>
      <c r="L786" s="63" t="s">
        <v>1313</v>
      </c>
      <c r="M786" s="90"/>
      <c r="N786" s="90">
        <v>360</v>
      </c>
    </row>
    <row r="787" spans="2:14" x14ac:dyDescent="0.3">
      <c r="B787" s="171">
        <v>45706</v>
      </c>
      <c r="C787" s="60">
        <v>11308.9</v>
      </c>
      <c r="J787" s="58" t="s">
        <v>2195</v>
      </c>
      <c r="K787" s="60">
        <v>6471.25</v>
      </c>
      <c r="L787" s="63" t="s">
        <v>1314</v>
      </c>
      <c r="M787" s="90"/>
      <c r="N787" s="90">
        <v>462</v>
      </c>
    </row>
    <row r="788" spans="2:14" x14ac:dyDescent="0.3">
      <c r="B788" s="171">
        <v>45705</v>
      </c>
      <c r="C788" s="60">
        <v>11490.1</v>
      </c>
      <c r="J788" s="58" t="s">
        <v>2196</v>
      </c>
      <c r="K788" s="60">
        <v>6535.35</v>
      </c>
      <c r="L788" s="63" t="s">
        <v>1315</v>
      </c>
      <c r="M788" s="90"/>
      <c r="N788" s="90">
        <v>424</v>
      </c>
    </row>
    <row r="789" spans="2:14" x14ac:dyDescent="0.3">
      <c r="B789" s="171">
        <v>45702</v>
      </c>
      <c r="C789" s="60">
        <v>11263.85</v>
      </c>
      <c r="J789" s="58" t="s">
        <v>2197</v>
      </c>
      <c r="K789" s="60">
        <v>6399.65</v>
      </c>
      <c r="L789" s="63" t="s">
        <v>1316</v>
      </c>
      <c r="M789" s="90"/>
      <c r="N789" s="90">
        <v>549</v>
      </c>
    </row>
    <row r="790" spans="2:14" x14ac:dyDescent="0.3">
      <c r="B790" s="171">
        <v>45701</v>
      </c>
      <c r="C790" s="60">
        <v>11546.45</v>
      </c>
      <c r="J790" s="58" t="s">
        <v>2198</v>
      </c>
      <c r="K790" s="60">
        <v>6382.9</v>
      </c>
      <c r="L790" s="63" t="s">
        <v>1317</v>
      </c>
      <c r="M790" s="90"/>
      <c r="N790" s="90">
        <v>919</v>
      </c>
    </row>
    <row r="791" spans="2:14" x14ac:dyDescent="0.3">
      <c r="B791" s="171">
        <v>45700</v>
      </c>
      <c r="C791" s="60">
        <v>11478.5</v>
      </c>
      <c r="J791" s="58" t="s">
        <v>2199</v>
      </c>
      <c r="K791" s="60">
        <v>6458.7</v>
      </c>
      <c r="L791" s="63">
        <v>1500</v>
      </c>
      <c r="M791" s="90"/>
      <c r="N791" s="90">
        <v>1500</v>
      </c>
    </row>
    <row r="792" spans="2:14" x14ac:dyDescent="0.3">
      <c r="B792" s="171">
        <v>45699</v>
      </c>
      <c r="C792" s="60">
        <v>11300.2</v>
      </c>
      <c r="J792" s="58" t="s">
        <v>2200</v>
      </c>
      <c r="K792" s="60">
        <v>6130.7</v>
      </c>
      <c r="L792" s="63" t="s">
        <v>1318</v>
      </c>
      <c r="M792" s="90"/>
      <c r="N792" s="90">
        <v>328</v>
      </c>
    </row>
    <row r="793" spans="2:14" x14ac:dyDescent="0.3">
      <c r="B793" s="171">
        <v>45698</v>
      </c>
      <c r="C793" s="60">
        <v>11532.3</v>
      </c>
      <c r="J793" s="58" t="s">
        <v>2201</v>
      </c>
      <c r="K793" s="60">
        <v>6089</v>
      </c>
      <c r="L793" s="63" t="s">
        <v>1319</v>
      </c>
      <c r="M793" s="90"/>
      <c r="N793" s="90">
        <v>371</v>
      </c>
    </row>
    <row r="794" spans="2:14" x14ac:dyDescent="0.3">
      <c r="B794" s="171">
        <v>45695</v>
      </c>
      <c r="C794" s="60">
        <v>11640.6</v>
      </c>
      <c r="J794" s="58" t="s">
        <v>2202</v>
      </c>
      <c r="K794" s="60">
        <v>6085.85</v>
      </c>
      <c r="L794" s="63" t="s">
        <v>1320</v>
      </c>
      <c r="M794" s="90"/>
      <c r="N794" s="90">
        <v>555</v>
      </c>
    </row>
    <row r="795" spans="2:14" x14ac:dyDescent="0.3">
      <c r="B795" s="171">
        <v>45694</v>
      </c>
      <c r="C795" s="60">
        <v>11477.35</v>
      </c>
      <c r="J795" s="58" t="s">
        <v>2203</v>
      </c>
      <c r="K795" s="60">
        <v>5982.4</v>
      </c>
      <c r="L795" s="63" t="s">
        <v>1321</v>
      </c>
      <c r="M795" s="90"/>
      <c r="N795" s="90">
        <v>512</v>
      </c>
    </row>
    <row r="796" spans="2:14" x14ac:dyDescent="0.3">
      <c r="B796" s="171">
        <v>45693</v>
      </c>
      <c r="C796" s="60">
        <v>11585.7</v>
      </c>
      <c r="J796" s="58" t="s">
        <v>2204</v>
      </c>
      <c r="K796" s="60">
        <v>5807.05</v>
      </c>
      <c r="L796" s="63" t="s">
        <v>1322</v>
      </c>
      <c r="M796" s="90"/>
      <c r="N796" s="90">
        <v>255</v>
      </c>
    </row>
    <row r="797" spans="2:14" x14ac:dyDescent="0.3">
      <c r="B797" s="171">
        <v>45692</v>
      </c>
      <c r="C797" s="60">
        <v>11519.15</v>
      </c>
      <c r="J797" s="58" t="s">
        <v>2205</v>
      </c>
      <c r="K797" s="60">
        <v>5735.05</v>
      </c>
      <c r="L797" s="63" t="s">
        <v>1323</v>
      </c>
      <c r="M797" s="90"/>
      <c r="N797" s="90">
        <v>285</v>
      </c>
    </row>
    <row r="798" spans="2:14" x14ac:dyDescent="0.3">
      <c r="B798" s="171">
        <v>45691</v>
      </c>
      <c r="C798" s="60">
        <v>11174.65</v>
      </c>
      <c r="J798" s="58" t="s">
        <v>2206</v>
      </c>
      <c r="K798" s="60">
        <v>5798.95</v>
      </c>
      <c r="L798" s="63" t="s">
        <v>1324</v>
      </c>
      <c r="M798" s="90"/>
      <c r="N798" s="90">
        <v>263</v>
      </c>
    </row>
    <row r="799" spans="2:14" x14ac:dyDescent="0.3">
      <c r="B799" s="171">
        <v>45689</v>
      </c>
      <c r="C799" s="60">
        <v>11259.15</v>
      </c>
      <c r="J799" s="58">
        <v>44902</v>
      </c>
      <c r="K799" s="60">
        <v>5778.85</v>
      </c>
      <c r="L799" s="63" t="s">
        <v>1325</v>
      </c>
      <c r="M799" s="90"/>
      <c r="N799" s="90">
        <v>171</v>
      </c>
    </row>
    <row r="800" spans="2:14" x14ac:dyDescent="0.3">
      <c r="B800" s="171">
        <v>45688</v>
      </c>
      <c r="C800" s="60">
        <v>11487.45</v>
      </c>
      <c r="J800" s="58">
        <v>44872</v>
      </c>
      <c r="K800" s="60">
        <v>5854.25</v>
      </c>
      <c r="L800" s="63" t="s">
        <v>1326</v>
      </c>
      <c r="M800" s="90"/>
      <c r="N800" s="90">
        <v>189</v>
      </c>
    </row>
    <row r="801" spans="2:14" x14ac:dyDescent="0.3">
      <c r="B801" s="171">
        <v>45687</v>
      </c>
      <c r="C801" s="60">
        <v>11479.4</v>
      </c>
      <c r="J801" s="58">
        <v>44780</v>
      </c>
      <c r="K801" s="60">
        <v>5839.1</v>
      </c>
      <c r="L801" s="63" t="s">
        <v>1327</v>
      </c>
      <c r="M801" s="90"/>
      <c r="N801" s="90">
        <v>410</v>
      </c>
    </row>
    <row r="802" spans="2:14" x14ac:dyDescent="0.3">
      <c r="B802" s="171">
        <v>45686</v>
      </c>
      <c r="C802" s="60">
        <v>11544.85</v>
      </c>
      <c r="J802" s="58">
        <v>44749</v>
      </c>
      <c r="K802" s="60">
        <v>5838.85</v>
      </c>
      <c r="L802" s="63" t="s">
        <v>1328</v>
      </c>
      <c r="M802" s="90"/>
      <c r="N802" s="90">
        <v>261</v>
      </c>
    </row>
    <row r="803" spans="2:14" x14ac:dyDescent="0.3">
      <c r="B803" s="171">
        <v>45685</v>
      </c>
      <c r="C803" s="60">
        <v>11296.35</v>
      </c>
      <c r="J803" s="58">
        <v>44719</v>
      </c>
      <c r="K803" s="60">
        <v>5828.05</v>
      </c>
      <c r="L803" s="63" t="s">
        <v>1329</v>
      </c>
      <c r="M803" s="90"/>
      <c r="N803" s="90">
        <v>371</v>
      </c>
    </row>
    <row r="804" spans="2:14" x14ac:dyDescent="0.3">
      <c r="B804" s="171">
        <v>45684</v>
      </c>
      <c r="C804" s="60">
        <v>11239.5</v>
      </c>
      <c r="J804" s="58">
        <v>44688</v>
      </c>
      <c r="K804" s="60">
        <v>5729.95</v>
      </c>
      <c r="L804" s="63" t="s">
        <v>1330</v>
      </c>
      <c r="M804" s="90"/>
      <c r="N804" s="90">
        <v>307</v>
      </c>
    </row>
    <row r="805" spans="2:14" x14ac:dyDescent="0.3">
      <c r="B805" s="171">
        <v>45681</v>
      </c>
      <c r="C805" s="60">
        <v>11285.85</v>
      </c>
      <c r="J805" s="58">
        <v>44658</v>
      </c>
      <c r="K805" s="60">
        <v>5709.05</v>
      </c>
      <c r="L805" s="63" t="s">
        <v>1331</v>
      </c>
      <c r="M805" s="90"/>
      <c r="N805" s="90">
        <v>165</v>
      </c>
    </row>
    <row r="806" spans="2:14" x14ac:dyDescent="0.3">
      <c r="B806" s="171">
        <v>45680</v>
      </c>
      <c r="C806" s="60">
        <v>11420.9</v>
      </c>
      <c r="J806" s="58">
        <v>44568</v>
      </c>
      <c r="K806" s="60">
        <v>5691.7</v>
      </c>
      <c r="L806" s="63" t="s">
        <v>1332</v>
      </c>
      <c r="M806" s="90"/>
      <c r="N806" s="90">
        <v>329</v>
      </c>
    </row>
    <row r="807" spans="2:14" x14ac:dyDescent="0.3">
      <c r="B807" s="171">
        <v>45679</v>
      </c>
      <c r="C807" s="60">
        <v>10693.75</v>
      </c>
      <c r="J807" s="58" t="s">
        <v>2207</v>
      </c>
      <c r="K807" s="60">
        <v>5607.3</v>
      </c>
      <c r="L807" s="63" t="s">
        <v>1333</v>
      </c>
      <c r="M807" s="90"/>
      <c r="N807" s="90">
        <v>572</v>
      </c>
    </row>
    <row r="808" spans="2:14" x14ac:dyDescent="0.3">
      <c r="B808" s="171">
        <v>45678</v>
      </c>
      <c r="C808" s="60">
        <v>10667.8</v>
      </c>
      <c r="J808" s="58" t="s">
        <v>2208</v>
      </c>
      <c r="K808" s="60">
        <v>5618.3</v>
      </c>
      <c r="L808" s="63" t="s">
        <v>1334</v>
      </c>
      <c r="M808" s="90"/>
      <c r="N808" s="90">
        <v>490</v>
      </c>
    </row>
    <row r="809" spans="2:14" x14ac:dyDescent="0.3">
      <c r="B809" s="171">
        <v>45677</v>
      </c>
      <c r="C809" s="60">
        <v>10624.45</v>
      </c>
      <c r="J809" s="58" t="s">
        <v>2209</v>
      </c>
      <c r="K809" s="60">
        <v>5572.75</v>
      </c>
      <c r="L809" s="63" t="s">
        <v>1335</v>
      </c>
      <c r="M809" s="90"/>
      <c r="N809" s="90">
        <v>278</v>
      </c>
    </row>
    <row r="810" spans="2:14" x14ac:dyDescent="0.3">
      <c r="B810" s="171">
        <v>45674</v>
      </c>
      <c r="C810" s="60">
        <v>10580</v>
      </c>
      <c r="J810" s="58" t="s">
        <v>2210</v>
      </c>
      <c r="K810" s="60">
        <v>5560.25</v>
      </c>
      <c r="L810" s="63" t="s">
        <v>1336</v>
      </c>
      <c r="M810" s="90"/>
      <c r="N810" s="90">
        <v>226</v>
      </c>
    </row>
    <row r="811" spans="2:14" x14ac:dyDescent="0.3">
      <c r="B811" s="171">
        <v>45673</v>
      </c>
      <c r="C811" s="60">
        <v>10636.2</v>
      </c>
      <c r="J811" s="58" t="s">
        <v>2211</v>
      </c>
      <c r="K811" s="60">
        <v>5468.3</v>
      </c>
      <c r="L811" s="63" t="s">
        <v>1337</v>
      </c>
      <c r="M811" s="90"/>
      <c r="N811" s="90">
        <v>265</v>
      </c>
    </row>
    <row r="812" spans="2:14" x14ac:dyDescent="0.3">
      <c r="B812" s="171">
        <v>45672</v>
      </c>
      <c r="C812" s="60">
        <v>10521.65</v>
      </c>
      <c r="J812" s="58" t="s">
        <v>2212</v>
      </c>
      <c r="K812" s="60">
        <v>5410.3</v>
      </c>
      <c r="L812" s="63" t="s">
        <v>1338</v>
      </c>
      <c r="M812" s="90"/>
      <c r="N812" s="90">
        <v>296</v>
      </c>
    </row>
    <row r="813" spans="2:14" x14ac:dyDescent="0.3">
      <c r="B813" s="171">
        <v>45671</v>
      </c>
      <c r="C813" s="60">
        <v>10483.75</v>
      </c>
      <c r="J813" s="58" t="s">
        <v>2213</v>
      </c>
      <c r="K813" s="60">
        <v>5409.95</v>
      </c>
      <c r="L813" s="63" t="s">
        <v>1339</v>
      </c>
      <c r="M813" s="90"/>
      <c r="N813" s="90">
        <v>214</v>
      </c>
    </row>
    <row r="814" spans="2:14" x14ac:dyDescent="0.3">
      <c r="B814" s="171">
        <v>45670</v>
      </c>
      <c r="C814" s="60">
        <v>10615.15</v>
      </c>
      <c r="J814" s="58" t="s">
        <v>2214</v>
      </c>
      <c r="K814" s="60">
        <v>5418.9</v>
      </c>
      <c r="L814" s="63" t="s">
        <v>1340</v>
      </c>
      <c r="M814" s="90"/>
      <c r="N814" s="90">
        <v>292</v>
      </c>
    </row>
    <row r="815" spans="2:14" x14ac:dyDescent="0.3">
      <c r="B815" s="171">
        <v>45667</v>
      </c>
      <c r="C815" s="60">
        <v>10865.2</v>
      </c>
      <c r="J815" s="58" t="s">
        <v>2215</v>
      </c>
      <c r="K815" s="60">
        <v>5333.3</v>
      </c>
      <c r="L815" s="63" t="s">
        <v>1341</v>
      </c>
      <c r="M815" s="90"/>
      <c r="N815" s="90">
        <v>506</v>
      </c>
    </row>
    <row r="816" spans="2:14" x14ac:dyDescent="0.3">
      <c r="B816" s="171">
        <v>45666</v>
      </c>
      <c r="C816" s="60">
        <v>11259.8</v>
      </c>
      <c r="J816" s="58" t="s">
        <v>2216</v>
      </c>
      <c r="K816" s="60">
        <v>5177.3</v>
      </c>
      <c r="L816" s="63" t="s">
        <v>1342</v>
      </c>
      <c r="M816" s="90"/>
      <c r="N816" s="90">
        <v>819</v>
      </c>
    </row>
    <row r="817" spans="2:14" x14ac:dyDescent="0.3">
      <c r="B817" s="171">
        <v>45665</v>
      </c>
      <c r="C817" s="60">
        <v>11403.55</v>
      </c>
      <c r="J817" s="58" t="s">
        <v>2217</v>
      </c>
      <c r="K817" s="60">
        <v>5305.25</v>
      </c>
      <c r="L817" s="63" t="s">
        <v>1343</v>
      </c>
      <c r="M817" s="90"/>
      <c r="N817" s="90">
        <v>732</v>
      </c>
    </row>
    <row r="818" spans="2:14" x14ac:dyDescent="0.3">
      <c r="B818" s="171">
        <v>45664</v>
      </c>
      <c r="C818" s="60">
        <v>11618.55</v>
      </c>
      <c r="J818" s="58" t="s">
        <v>2218</v>
      </c>
      <c r="K818" s="60">
        <v>5454.15</v>
      </c>
      <c r="L818" s="63" t="s">
        <v>1344</v>
      </c>
      <c r="M818" s="90"/>
      <c r="N818" s="90">
        <v>286</v>
      </c>
    </row>
    <row r="819" spans="2:14" x14ac:dyDescent="0.3">
      <c r="B819" s="171">
        <v>45663</v>
      </c>
      <c r="C819" s="60">
        <v>11503.6</v>
      </c>
      <c r="J819" s="58" t="s">
        <v>2219</v>
      </c>
      <c r="K819" s="60">
        <v>5428.6</v>
      </c>
      <c r="L819" s="63" t="s">
        <v>1345</v>
      </c>
      <c r="M819" s="90"/>
      <c r="N819" s="90">
        <v>610</v>
      </c>
    </row>
    <row r="820" spans="2:14" x14ac:dyDescent="0.3">
      <c r="B820" s="171">
        <v>45660</v>
      </c>
      <c r="C820" s="60">
        <v>11786</v>
      </c>
      <c r="J820" s="58" t="s">
        <v>2220</v>
      </c>
      <c r="K820" s="60">
        <v>5356.15</v>
      </c>
      <c r="L820" s="63" t="s">
        <v>1346</v>
      </c>
      <c r="M820" s="90"/>
      <c r="N820" s="90">
        <v>441</v>
      </c>
    </row>
    <row r="821" spans="2:14" x14ac:dyDescent="0.3">
      <c r="B821" s="171">
        <v>45659</v>
      </c>
      <c r="C821" s="60">
        <v>11797.7</v>
      </c>
      <c r="J821" s="58">
        <v>44840</v>
      </c>
      <c r="K821" s="60">
        <v>5511.05</v>
      </c>
      <c r="L821" s="63" t="s">
        <v>1347</v>
      </c>
      <c r="M821" s="90"/>
      <c r="N821" s="90">
        <v>493</v>
      </c>
    </row>
    <row r="822" spans="2:14" x14ac:dyDescent="0.3">
      <c r="B822" s="171">
        <v>45658</v>
      </c>
      <c r="C822" s="60">
        <v>11447</v>
      </c>
      <c r="J822" s="58">
        <v>44810</v>
      </c>
      <c r="K822" s="60">
        <v>5481.9</v>
      </c>
      <c r="L822" s="63" t="s">
        <v>1348</v>
      </c>
      <c r="M822" s="90"/>
      <c r="N822" s="90">
        <v>375</v>
      </c>
    </row>
    <row r="823" spans="2:14" x14ac:dyDescent="0.3">
      <c r="B823" s="171">
        <v>45657</v>
      </c>
      <c r="C823" s="60">
        <v>11426.35</v>
      </c>
      <c r="J823" s="58">
        <v>44779</v>
      </c>
      <c r="K823" s="60">
        <v>5531.85</v>
      </c>
      <c r="L823" s="63" t="s">
        <v>1349</v>
      </c>
      <c r="M823" s="90"/>
      <c r="N823" s="90">
        <v>605</v>
      </c>
    </row>
    <row r="824" spans="2:14" x14ac:dyDescent="0.3">
      <c r="B824" s="171">
        <v>45656</v>
      </c>
      <c r="C824" s="60">
        <v>11288.35</v>
      </c>
      <c r="J824" s="58">
        <v>44748</v>
      </c>
      <c r="K824" s="60">
        <v>5555.2</v>
      </c>
      <c r="L824" s="63">
        <v>1200</v>
      </c>
      <c r="M824" s="90"/>
      <c r="N824" s="90">
        <v>1200</v>
      </c>
    </row>
    <row r="825" spans="2:14" x14ac:dyDescent="0.3">
      <c r="B825" s="171">
        <v>45653</v>
      </c>
      <c r="C825" s="60">
        <v>11406.55</v>
      </c>
      <c r="J825" s="58">
        <v>44718</v>
      </c>
      <c r="K825" s="60">
        <v>5581.35</v>
      </c>
      <c r="L825" s="63" t="s">
        <v>1350</v>
      </c>
      <c r="M825" s="90"/>
      <c r="N825" s="90">
        <v>999</v>
      </c>
    </row>
    <row r="826" spans="2:14" x14ac:dyDescent="0.3">
      <c r="B826" s="171">
        <v>45652</v>
      </c>
      <c r="C826" s="60">
        <v>11460.65</v>
      </c>
      <c r="J826" s="58">
        <v>44626</v>
      </c>
      <c r="K826" s="60">
        <v>5678.85</v>
      </c>
      <c r="L826" s="63">
        <v>2000</v>
      </c>
      <c r="M826" s="90"/>
      <c r="N826" s="90">
        <v>2000</v>
      </c>
    </row>
    <row r="827" spans="2:14" x14ac:dyDescent="0.3">
      <c r="B827" s="171">
        <v>45650</v>
      </c>
      <c r="C827" s="60">
        <v>11390.35</v>
      </c>
      <c r="J827" s="58">
        <v>44598</v>
      </c>
      <c r="K827" s="60">
        <v>6007.85</v>
      </c>
      <c r="L827" s="63" t="s">
        <v>1351</v>
      </c>
      <c r="M827" s="90"/>
      <c r="N827" s="90">
        <v>320</v>
      </c>
    </row>
    <row r="828" spans="2:14" x14ac:dyDescent="0.3">
      <c r="B828" s="171">
        <v>45649</v>
      </c>
      <c r="C828" s="60">
        <v>11472.6</v>
      </c>
      <c r="J828" s="58">
        <v>44567</v>
      </c>
      <c r="K828" s="60">
        <v>5975.65</v>
      </c>
      <c r="L828" s="63" t="s">
        <v>1352</v>
      </c>
      <c r="M828" s="90"/>
      <c r="N828" s="90">
        <v>268</v>
      </c>
    </row>
    <row r="829" spans="2:14" x14ac:dyDescent="0.3">
      <c r="B829" s="171">
        <v>45646</v>
      </c>
      <c r="C829" s="60">
        <v>11422.8</v>
      </c>
      <c r="J829" s="58" t="s">
        <v>2221</v>
      </c>
      <c r="K829" s="60">
        <v>6082.6</v>
      </c>
      <c r="L829" s="63" t="s">
        <v>1353</v>
      </c>
      <c r="M829" s="90"/>
      <c r="N829" s="90">
        <v>431</v>
      </c>
    </row>
    <row r="830" spans="2:14" x14ac:dyDescent="0.3">
      <c r="B830" s="171">
        <v>45645</v>
      </c>
      <c r="C830" s="60">
        <v>11670.8</v>
      </c>
      <c r="J830" s="58" t="s">
        <v>2222</v>
      </c>
      <c r="K830" s="60">
        <v>6102.65</v>
      </c>
      <c r="L830" s="63" t="s">
        <v>1354</v>
      </c>
      <c r="M830" s="90"/>
      <c r="N830" s="90">
        <v>330</v>
      </c>
    </row>
    <row r="831" spans="2:14" x14ac:dyDescent="0.3">
      <c r="B831" s="171">
        <v>45644</v>
      </c>
      <c r="C831" s="60">
        <v>11763.95</v>
      </c>
      <c r="J831" s="58" t="s">
        <v>2223</v>
      </c>
      <c r="K831" s="60">
        <v>5948</v>
      </c>
      <c r="L831" s="63" t="s">
        <v>1355</v>
      </c>
      <c r="M831" s="90"/>
      <c r="N831" s="90">
        <v>290</v>
      </c>
    </row>
    <row r="832" spans="2:14" x14ac:dyDescent="0.3">
      <c r="B832" s="171">
        <v>45643</v>
      </c>
      <c r="C832" s="60">
        <v>11774.95</v>
      </c>
      <c r="J832" s="58" t="s">
        <v>2224</v>
      </c>
      <c r="K832" s="60">
        <v>5874.25</v>
      </c>
      <c r="L832" s="63" t="s">
        <v>1356</v>
      </c>
      <c r="M832" s="90"/>
      <c r="N832" s="90">
        <v>512</v>
      </c>
    </row>
    <row r="833" spans="2:14" x14ac:dyDescent="0.3">
      <c r="B833" s="171">
        <v>45642</v>
      </c>
      <c r="C833" s="60">
        <v>11942.5</v>
      </c>
      <c r="J833" s="58" t="s">
        <v>2225</v>
      </c>
      <c r="K833" s="60">
        <v>5792.2</v>
      </c>
      <c r="L833" s="63" t="s">
        <v>1357</v>
      </c>
      <c r="M833" s="90"/>
      <c r="N833" s="90">
        <v>571</v>
      </c>
    </row>
    <row r="834" spans="2:14" x14ac:dyDescent="0.3">
      <c r="B834" s="171">
        <v>45639</v>
      </c>
      <c r="C834" s="60">
        <v>12083.9</v>
      </c>
      <c r="J834" s="58" t="s">
        <v>2226</v>
      </c>
      <c r="K834" s="60">
        <v>5868.05</v>
      </c>
      <c r="L834" s="63" t="s">
        <v>1358</v>
      </c>
      <c r="M834" s="90"/>
      <c r="N834" s="90">
        <v>458</v>
      </c>
    </row>
    <row r="835" spans="2:14" x14ac:dyDescent="0.3">
      <c r="B835" s="171">
        <v>45638</v>
      </c>
      <c r="C835" s="60">
        <v>11856.95</v>
      </c>
      <c r="J835" s="58" t="s">
        <v>2227</v>
      </c>
      <c r="K835" s="60">
        <v>5916.3</v>
      </c>
      <c r="L835" s="63" t="s">
        <v>1359</v>
      </c>
      <c r="M835" s="90"/>
      <c r="N835" s="90">
        <v>528</v>
      </c>
    </row>
    <row r="836" spans="2:14" x14ac:dyDescent="0.3">
      <c r="B836" s="171">
        <v>45637</v>
      </c>
      <c r="C836" s="60">
        <v>11898.5</v>
      </c>
      <c r="J836" s="58" t="s">
        <v>2228</v>
      </c>
      <c r="K836" s="60">
        <v>6128.65</v>
      </c>
      <c r="L836" s="63" t="s">
        <v>1360</v>
      </c>
      <c r="M836" s="90"/>
      <c r="N836" s="90">
        <v>374</v>
      </c>
    </row>
    <row r="837" spans="2:14" x14ac:dyDescent="0.3">
      <c r="B837" s="171">
        <v>45636</v>
      </c>
      <c r="C837" s="60">
        <v>11745.8</v>
      </c>
      <c r="J837" s="58" t="s">
        <v>2229</v>
      </c>
      <c r="K837" s="60">
        <v>6072.6</v>
      </c>
      <c r="L837" s="63" t="s">
        <v>1361</v>
      </c>
      <c r="M837" s="90"/>
      <c r="N837" s="90">
        <v>259</v>
      </c>
    </row>
    <row r="838" spans="2:14" x14ac:dyDescent="0.3">
      <c r="B838" s="171">
        <v>45635</v>
      </c>
      <c r="C838" s="60">
        <v>11814.8</v>
      </c>
      <c r="J838" s="58" t="s">
        <v>2230</v>
      </c>
      <c r="K838" s="60">
        <v>6233.75</v>
      </c>
      <c r="L838" s="63" t="s">
        <v>1329</v>
      </c>
      <c r="M838" s="90"/>
      <c r="N838" s="90">
        <v>371</v>
      </c>
    </row>
    <row r="839" spans="2:14" x14ac:dyDescent="0.3">
      <c r="B839" s="171">
        <v>45632</v>
      </c>
      <c r="C839" s="60">
        <v>11848.5</v>
      </c>
      <c r="J839" s="58" t="s">
        <v>2231</v>
      </c>
      <c r="K839" s="60">
        <v>6107.75</v>
      </c>
      <c r="L839" s="63" t="s">
        <v>1362</v>
      </c>
      <c r="M839" s="90"/>
      <c r="N839" s="90">
        <v>637</v>
      </c>
    </row>
    <row r="840" spans="2:14" x14ac:dyDescent="0.3">
      <c r="B840" s="171">
        <v>45631</v>
      </c>
      <c r="C840" s="60">
        <v>11932.8</v>
      </c>
      <c r="J840" s="58" t="s">
        <v>2232</v>
      </c>
      <c r="K840" s="60">
        <v>6012.8</v>
      </c>
      <c r="L840" s="63" t="s">
        <v>1363</v>
      </c>
      <c r="M840" s="90"/>
      <c r="N840" s="90">
        <v>685</v>
      </c>
    </row>
    <row r="841" spans="2:14" x14ac:dyDescent="0.3">
      <c r="B841" s="171">
        <v>45630</v>
      </c>
      <c r="C841" s="60">
        <v>11766.8</v>
      </c>
      <c r="J841" s="58" t="s">
        <v>2233</v>
      </c>
      <c r="K841" s="60">
        <v>6196.55</v>
      </c>
      <c r="L841" s="63" t="s">
        <v>1207</v>
      </c>
      <c r="M841" s="90"/>
      <c r="N841" s="90">
        <v>319</v>
      </c>
    </row>
    <row r="842" spans="2:14" x14ac:dyDescent="0.3">
      <c r="B842" s="171">
        <v>45629</v>
      </c>
      <c r="C842" s="60">
        <v>11852.35</v>
      </c>
      <c r="J842" s="58">
        <v>44900</v>
      </c>
      <c r="K842" s="60">
        <v>6185.45</v>
      </c>
      <c r="L842" s="63" t="s">
        <v>1364</v>
      </c>
      <c r="M842" s="90"/>
      <c r="N842" s="90">
        <v>323</v>
      </c>
    </row>
    <row r="843" spans="2:14" x14ac:dyDescent="0.3">
      <c r="B843" s="171">
        <v>45628</v>
      </c>
      <c r="C843" s="60">
        <v>11648.55</v>
      </c>
      <c r="J843" s="58">
        <v>44870</v>
      </c>
      <c r="K843" s="60">
        <v>6340.2</v>
      </c>
      <c r="L843" s="63" t="s">
        <v>1365</v>
      </c>
      <c r="M843" s="90"/>
      <c r="N843" s="90">
        <v>217</v>
      </c>
    </row>
    <row r="844" spans="2:14" x14ac:dyDescent="0.3">
      <c r="B844" s="171">
        <v>45625</v>
      </c>
      <c r="C844" s="60">
        <v>11202.15</v>
      </c>
      <c r="J844" s="58">
        <v>44839</v>
      </c>
      <c r="K844" s="60">
        <v>6366.45</v>
      </c>
      <c r="L844" s="63" t="s">
        <v>1366</v>
      </c>
      <c r="M844" s="90"/>
      <c r="N844" s="90">
        <v>359</v>
      </c>
    </row>
    <row r="845" spans="2:14" x14ac:dyDescent="0.3">
      <c r="B845" s="171">
        <v>45624</v>
      </c>
      <c r="C845" s="60">
        <v>10997.8</v>
      </c>
      <c r="J845" s="58">
        <v>44809</v>
      </c>
      <c r="K845" s="60">
        <v>6224.6</v>
      </c>
      <c r="L845" s="63" t="s">
        <v>1367</v>
      </c>
      <c r="M845" s="90"/>
      <c r="N845" s="90">
        <v>355</v>
      </c>
    </row>
    <row r="846" spans="2:14" x14ac:dyDescent="0.3">
      <c r="B846" s="171">
        <v>45623</v>
      </c>
      <c r="C846" s="60">
        <v>11139.9</v>
      </c>
      <c r="J846" s="58">
        <v>44717</v>
      </c>
      <c r="K846" s="60">
        <v>6200.2</v>
      </c>
      <c r="L846" s="63" t="s">
        <v>1368</v>
      </c>
      <c r="M846" s="90"/>
      <c r="N846" s="90">
        <v>499</v>
      </c>
    </row>
    <row r="847" spans="2:14" x14ac:dyDescent="0.3">
      <c r="B847" s="171">
        <v>45622</v>
      </c>
      <c r="C847" s="60">
        <v>11121.05</v>
      </c>
      <c r="J847" s="58">
        <v>44686</v>
      </c>
      <c r="K847" s="60">
        <v>6355.7</v>
      </c>
      <c r="L847" s="63" t="s">
        <v>1369</v>
      </c>
      <c r="M847" s="90"/>
      <c r="N847" s="90">
        <v>344</v>
      </c>
    </row>
    <row r="848" spans="2:14" x14ac:dyDescent="0.3">
      <c r="B848" s="171">
        <v>45621</v>
      </c>
      <c r="C848" s="60">
        <v>11457.45</v>
      </c>
      <c r="J848" s="58">
        <v>44656</v>
      </c>
      <c r="K848" s="60">
        <v>6521.95</v>
      </c>
      <c r="L848" s="63" t="s">
        <v>1370</v>
      </c>
      <c r="M848" s="90"/>
      <c r="N848" s="90">
        <v>228</v>
      </c>
    </row>
    <row r="849" spans="2:14" x14ac:dyDescent="0.3">
      <c r="B849" s="171">
        <v>45618</v>
      </c>
      <c r="C849" s="60">
        <v>11375.3</v>
      </c>
      <c r="J849" s="58">
        <v>44597</v>
      </c>
      <c r="K849" s="60">
        <v>6679</v>
      </c>
      <c r="L849" s="63" t="s">
        <v>1371</v>
      </c>
      <c r="M849" s="90"/>
      <c r="N849" s="90">
        <v>329</v>
      </c>
    </row>
    <row r="850" spans="2:14" x14ac:dyDescent="0.3">
      <c r="B850" s="171">
        <v>45617</v>
      </c>
      <c r="C850" s="60">
        <v>10954.85</v>
      </c>
      <c r="J850" s="58" t="s">
        <v>2234</v>
      </c>
      <c r="K850" s="60">
        <v>6630.25</v>
      </c>
      <c r="L850" s="63">
        <v>1000</v>
      </c>
      <c r="M850" s="90"/>
      <c r="N850" s="90">
        <v>1000</v>
      </c>
    </row>
    <row r="851" spans="2:14" x14ac:dyDescent="0.3">
      <c r="B851" s="171">
        <v>45615</v>
      </c>
      <c r="C851" s="60">
        <v>10769.55</v>
      </c>
      <c r="J851" s="58" t="s">
        <v>2235</v>
      </c>
      <c r="K851" s="60">
        <v>6616.95</v>
      </c>
      <c r="L851" s="63" t="s">
        <v>1372</v>
      </c>
      <c r="M851" s="90"/>
      <c r="N851" s="90">
        <v>243</v>
      </c>
    </row>
    <row r="852" spans="2:14" x14ac:dyDescent="0.3">
      <c r="B852" s="171">
        <v>45614</v>
      </c>
      <c r="C852" s="60">
        <v>10630.9</v>
      </c>
      <c r="J852" s="58" t="s">
        <v>2236</v>
      </c>
      <c r="K852" s="60">
        <v>6548.45</v>
      </c>
      <c r="L852" s="63" t="s">
        <v>1373</v>
      </c>
      <c r="M852" s="90"/>
      <c r="N852" s="90">
        <v>327</v>
      </c>
    </row>
    <row r="853" spans="2:14" x14ac:dyDescent="0.3">
      <c r="B853" s="171">
        <v>45610</v>
      </c>
      <c r="C853" s="60">
        <v>10728.5</v>
      </c>
      <c r="J853" s="58" t="s">
        <v>2237</v>
      </c>
      <c r="K853" s="60">
        <v>6660.2</v>
      </c>
      <c r="L853" s="63" t="s">
        <v>1374</v>
      </c>
      <c r="M853" s="90"/>
      <c r="N853" s="90">
        <v>279</v>
      </c>
    </row>
    <row r="854" spans="2:14" x14ac:dyDescent="0.3">
      <c r="B854" s="171">
        <v>45609</v>
      </c>
      <c r="C854" s="60">
        <v>10782.2</v>
      </c>
      <c r="J854" s="58" t="s">
        <v>2238</v>
      </c>
      <c r="K854" s="60">
        <v>6595.05</v>
      </c>
      <c r="L854" s="63" t="s">
        <v>1375</v>
      </c>
      <c r="M854" s="90"/>
      <c r="N854" s="90">
        <v>227</v>
      </c>
    </row>
    <row r="855" spans="2:14" x14ac:dyDescent="0.3">
      <c r="B855" s="171">
        <v>45608</v>
      </c>
      <c r="C855" s="60">
        <v>10892</v>
      </c>
      <c r="J855" s="58" t="s">
        <v>2239</v>
      </c>
      <c r="K855" s="60">
        <v>6744.1</v>
      </c>
      <c r="L855" s="63" t="s">
        <v>1376</v>
      </c>
      <c r="M855" s="90"/>
      <c r="N855" s="90">
        <v>237</v>
      </c>
    </row>
    <row r="856" spans="2:14" x14ac:dyDescent="0.3">
      <c r="B856" s="171">
        <v>45607</v>
      </c>
      <c r="C856" s="60">
        <v>10970.45</v>
      </c>
      <c r="J856" s="58" t="s">
        <v>2240</v>
      </c>
      <c r="K856" s="60">
        <v>6846.5</v>
      </c>
      <c r="L856" s="63" t="s">
        <v>631</v>
      </c>
      <c r="M856" s="90"/>
      <c r="N856" s="90">
        <v>181</v>
      </c>
    </row>
    <row r="857" spans="2:14" x14ac:dyDescent="0.3">
      <c r="B857" s="171">
        <v>45604</v>
      </c>
      <c r="C857" s="60">
        <v>11043.35</v>
      </c>
      <c r="J857" s="58" t="s">
        <v>2241</v>
      </c>
      <c r="K857" s="60">
        <v>6807.15</v>
      </c>
      <c r="L857" s="63" t="s">
        <v>1377</v>
      </c>
      <c r="M857" s="90"/>
      <c r="N857" s="90">
        <v>328</v>
      </c>
    </row>
    <row r="858" spans="2:14" x14ac:dyDescent="0.3">
      <c r="B858" s="171">
        <v>45603</v>
      </c>
      <c r="C858" s="60">
        <v>11050.8</v>
      </c>
      <c r="J858" s="58" t="s">
        <v>2242</v>
      </c>
      <c r="K858" s="60">
        <v>6585.7</v>
      </c>
      <c r="L858" s="63" t="s">
        <v>1378</v>
      </c>
      <c r="M858" s="90"/>
      <c r="N858" s="90">
        <v>353</v>
      </c>
    </row>
    <row r="859" spans="2:14" x14ac:dyDescent="0.3">
      <c r="B859" s="171">
        <v>45602</v>
      </c>
      <c r="C859" s="60">
        <v>11274.4</v>
      </c>
      <c r="J859" s="58" t="s">
        <v>2243</v>
      </c>
      <c r="K859" s="60">
        <v>6639.6</v>
      </c>
      <c r="L859" s="63" t="s">
        <v>1379</v>
      </c>
      <c r="M859" s="90"/>
      <c r="N859" s="90">
        <v>240</v>
      </c>
    </row>
    <row r="860" spans="2:14" x14ac:dyDescent="0.3">
      <c r="B860" s="171">
        <v>45601</v>
      </c>
      <c r="C860" s="60">
        <v>11176.35</v>
      </c>
      <c r="J860" s="58" t="s">
        <v>2244</v>
      </c>
      <c r="K860" s="60">
        <v>6730.05</v>
      </c>
      <c r="L860" s="63" t="s">
        <v>1380</v>
      </c>
      <c r="M860" s="90"/>
      <c r="N860" s="90">
        <v>386</v>
      </c>
    </row>
    <row r="861" spans="2:14" x14ac:dyDescent="0.3">
      <c r="B861" s="171">
        <v>45600</v>
      </c>
      <c r="C861" s="60">
        <v>11001.85</v>
      </c>
      <c r="J861" s="58">
        <v>44899</v>
      </c>
      <c r="K861" s="60">
        <v>6775.55</v>
      </c>
      <c r="L861" s="63" t="s">
        <v>1381</v>
      </c>
      <c r="M861" s="90"/>
      <c r="N861" s="90">
        <v>385</v>
      </c>
    </row>
    <row r="862" spans="2:14" x14ac:dyDescent="0.3">
      <c r="B862" s="171">
        <v>45597</v>
      </c>
      <c r="C862" s="60">
        <v>11145.8</v>
      </c>
      <c r="J862" s="58">
        <v>44869</v>
      </c>
      <c r="K862" s="60">
        <v>6858.75</v>
      </c>
      <c r="L862" s="63" t="s">
        <v>1382</v>
      </c>
      <c r="M862" s="90"/>
      <c r="N862" s="90">
        <v>359</v>
      </c>
    </row>
    <row r="863" spans="2:14" x14ac:dyDescent="0.3">
      <c r="B863" s="171">
        <v>45596</v>
      </c>
      <c r="C863" s="60">
        <v>11065.65</v>
      </c>
      <c r="J863" s="58">
        <v>44777</v>
      </c>
      <c r="K863" s="60">
        <v>6837</v>
      </c>
      <c r="L863" s="63" t="s">
        <v>1383</v>
      </c>
      <c r="M863" s="90"/>
      <c r="N863" s="90">
        <v>309</v>
      </c>
    </row>
    <row r="864" spans="2:14" x14ac:dyDescent="0.3">
      <c r="B864" s="171">
        <v>45595</v>
      </c>
      <c r="C864" s="60">
        <v>11205.1</v>
      </c>
      <c r="J864" s="58">
        <v>44746</v>
      </c>
      <c r="K864" s="60">
        <v>6736.65</v>
      </c>
      <c r="L864" s="63" t="s">
        <v>1384</v>
      </c>
      <c r="M864" s="90"/>
      <c r="N864" s="90">
        <v>234</v>
      </c>
    </row>
    <row r="865" spans="2:14" x14ac:dyDescent="0.3">
      <c r="B865" s="171">
        <v>45594</v>
      </c>
      <c r="C865" s="60">
        <v>11112.1</v>
      </c>
      <c r="J865" s="58">
        <v>44716</v>
      </c>
      <c r="K865" s="60">
        <v>6736.15</v>
      </c>
      <c r="L865" s="63" t="s">
        <v>1385</v>
      </c>
      <c r="M865" s="90"/>
      <c r="N865" s="90">
        <v>297</v>
      </c>
    </row>
    <row r="866" spans="2:14" x14ac:dyDescent="0.3">
      <c r="B866" s="171">
        <v>45593</v>
      </c>
      <c r="C866" s="60">
        <v>11092.6</v>
      </c>
      <c r="J866" s="58">
        <v>44685</v>
      </c>
      <c r="K866" s="60">
        <v>6726.15</v>
      </c>
      <c r="L866" s="63" t="s">
        <v>1386</v>
      </c>
      <c r="M866" s="90"/>
      <c r="N866" s="90">
        <v>412</v>
      </c>
    </row>
    <row r="867" spans="2:14" x14ac:dyDescent="0.3">
      <c r="B867" s="171">
        <v>45590</v>
      </c>
      <c r="C867" s="60">
        <v>10995.2</v>
      </c>
      <c r="J867" s="58">
        <v>44655</v>
      </c>
      <c r="K867" s="60">
        <v>6743.9</v>
      </c>
      <c r="L867" s="63" t="s">
        <v>1387</v>
      </c>
      <c r="M867" s="90"/>
      <c r="N867" s="90">
        <v>268</v>
      </c>
    </row>
    <row r="868" spans="2:14" x14ac:dyDescent="0.3">
      <c r="B868" s="171">
        <v>45589</v>
      </c>
      <c r="C868" s="60">
        <v>11043.6</v>
      </c>
      <c r="J868" s="58">
        <v>44565</v>
      </c>
      <c r="K868" s="60">
        <v>6670.55</v>
      </c>
      <c r="L868" s="63" t="s">
        <v>1388</v>
      </c>
      <c r="M868" s="90"/>
      <c r="N868" s="90">
        <v>216</v>
      </c>
    </row>
    <row r="869" spans="2:14" x14ac:dyDescent="0.3">
      <c r="B869" s="171">
        <v>45588</v>
      </c>
      <c r="C869" s="60">
        <v>10753.05</v>
      </c>
      <c r="J869" s="58" t="s">
        <v>2245</v>
      </c>
      <c r="K869" s="60">
        <v>6602.3</v>
      </c>
      <c r="L869" s="63" t="s">
        <v>1389</v>
      </c>
      <c r="M869" s="90"/>
      <c r="N869" s="90">
        <v>399</v>
      </c>
    </row>
    <row r="870" spans="2:14" x14ac:dyDescent="0.3">
      <c r="B870" s="171">
        <v>45587</v>
      </c>
      <c r="C870" s="60">
        <v>10825.15</v>
      </c>
      <c r="J870" s="58" t="s">
        <v>2246</v>
      </c>
      <c r="K870" s="60">
        <v>6642.7</v>
      </c>
      <c r="L870" s="63" t="s">
        <v>1390</v>
      </c>
      <c r="M870" s="90"/>
      <c r="N870" s="90">
        <v>705</v>
      </c>
    </row>
    <row r="871" spans="2:14" x14ac:dyDescent="0.3">
      <c r="B871" s="171">
        <v>45586</v>
      </c>
      <c r="C871" s="60">
        <v>10869.3</v>
      </c>
      <c r="J871" s="58" t="s">
        <v>2247</v>
      </c>
      <c r="K871" s="60">
        <v>6526.6</v>
      </c>
      <c r="L871" s="63" t="s">
        <v>1391</v>
      </c>
      <c r="M871" s="90"/>
      <c r="N871" s="90">
        <v>671</v>
      </c>
    </row>
    <row r="872" spans="2:14" x14ac:dyDescent="0.3">
      <c r="B872" s="171">
        <v>45583</v>
      </c>
      <c r="C872" s="60">
        <v>11069.3</v>
      </c>
      <c r="J872" s="58" t="s">
        <v>2248</v>
      </c>
      <c r="K872" s="60">
        <v>6359.95</v>
      </c>
      <c r="L872" s="63" t="s">
        <v>1392</v>
      </c>
      <c r="M872" s="90"/>
      <c r="N872" s="90">
        <v>325</v>
      </c>
    </row>
    <row r="873" spans="2:14" x14ac:dyDescent="0.3">
      <c r="B873" s="171">
        <v>45582</v>
      </c>
      <c r="C873" s="60">
        <v>11017.3</v>
      </c>
      <c r="J873" s="58" t="s">
        <v>2249</v>
      </c>
      <c r="K873" s="60">
        <v>6312.7</v>
      </c>
      <c r="L873" s="63" t="s">
        <v>1039</v>
      </c>
      <c r="M873" s="90"/>
      <c r="N873" s="90">
        <v>321</v>
      </c>
    </row>
    <row r="874" spans="2:14" x14ac:dyDescent="0.3">
      <c r="B874" s="171">
        <v>45581</v>
      </c>
      <c r="C874" s="60">
        <v>11322.3</v>
      </c>
      <c r="J874" s="58" t="s">
        <v>2250</v>
      </c>
      <c r="K874" s="60">
        <v>6351.85</v>
      </c>
      <c r="L874" s="63" t="s">
        <v>1393</v>
      </c>
      <c r="M874" s="90"/>
      <c r="N874" s="90">
        <v>642</v>
      </c>
    </row>
    <row r="875" spans="2:14" x14ac:dyDescent="0.3">
      <c r="B875" s="171">
        <v>45580</v>
      </c>
      <c r="C875" s="60">
        <v>11416.9</v>
      </c>
      <c r="J875" s="58" t="s">
        <v>2251</v>
      </c>
      <c r="K875" s="60">
        <v>6234</v>
      </c>
      <c r="L875" s="63" t="s">
        <v>1394</v>
      </c>
      <c r="M875" s="90"/>
      <c r="N875" s="90">
        <v>664</v>
      </c>
    </row>
    <row r="876" spans="2:14" x14ac:dyDescent="0.3">
      <c r="B876" s="171">
        <v>45579</v>
      </c>
      <c r="C876" s="60">
        <v>11300.3</v>
      </c>
      <c r="J876" s="58" t="s">
        <v>2252</v>
      </c>
      <c r="K876" s="60">
        <v>6211.6</v>
      </c>
      <c r="L876" s="63">
        <v>1000</v>
      </c>
      <c r="M876" s="90"/>
      <c r="N876" s="90">
        <v>1000</v>
      </c>
    </row>
    <row r="877" spans="2:14" x14ac:dyDescent="0.3">
      <c r="B877" s="171">
        <v>45576</v>
      </c>
      <c r="C877" s="60">
        <v>11421.3</v>
      </c>
      <c r="J877" s="58" t="s">
        <v>2253</v>
      </c>
      <c r="K877" s="60">
        <v>6191.25</v>
      </c>
      <c r="L877" s="63" t="s">
        <v>1395</v>
      </c>
      <c r="M877" s="90"/>
      <c r="N877" s="90">
        <v>531</v>
      </c>
    </row>
    <row r="878" spans="2:14" x14ac:dyDescent="0.3">
      <c r="B878" s="171">
        <v>45575</v>
      </c>
      <c r="C878" s="60">
        <v>11430.05</v>
      </c>
      <c r="J878" s="58" t="s">
        <v>2254</v>
      </c>
      <c r="K878" s="60">
        <v>6373.6</v>
      </c>
      <c r="L878" s="63" t="s">
        <v>1396</v>
      </c>
      <c r="M878" s="90"/>
      <c r="N878" s="90">
        <v>979</v>
      </c>
    </row>
    <row r="879" spans="2:14" x14ac:dyDescent="0.3">
      <c r="B879" s="171">
        <v>45574</v>
      </c>
      <c r="C879" s="60">
        <v>11350.15</v>
      </c>
      <c r="J879" s="58" t="s">
        <v>2255</v>
      </c>
      <c r="K879" s="60">
        <v>6305.9</v>
      </c>
      <c r="L879" s="63" t="s">
        <v>1397</v>
      </c>
      <c r="M879" s="90"/>
      <c r="N879" s="90">
        <v>888</v>
      </c>
    </row>
    <row r="880" spans="2:14" x14ac:dyDescent="0.3">
      <c r="B880" s="171">
        <v>45573</v>
      </c>
      <c r="C880" s="60">
        <v>11389.8</v>
      </c>
      <c r="J880" s="58" t="s">
        <v>2256</v>
      </c>
      <c r="K880" s="60">
        <v>6021.25</v>
      </c>
      <c r="L880" s="63" t="s">
        <v>1398</v>
      </c>
      <c r="M880" s="90"/>
      <c r="N880" s="90">
        <v>819</v>
      </c>
    </row>
    <row r="881" spans="2:14" x14ac:dyDescent="0.3">
      <c r="B881" s="171">
        <v>45572</v>
      </c>
      <c r="C881" s="60">
        <v>11230.35</v>
      </c>
      <c r="J881" s="58" t="s">
        <v>2257</v>
      </c>
      <c r="K881" s="60">
        <v>6035.9</v>
      </c>
      <c r="L881" s="63" t="s">
        <v>1399</v>
      </c>
      <c r="M881" s="90"/>
      <c r="N881" s="90">
        <v>466</v>
      </c>
    </row>
    <row r="882" spans="2:14" x14ac:dyDescent="0.3">
      <c r="B882" s="171">
        <v>45569</v>
      </c>
      <c r="C882" s="60">
        <v>11450.25</v>
      </c>
      <c r="J882" s="58">
        <v>44868</v>
      </c>
      <c r="K882" s="60">
        <v>6021</v>
      </c>
      <c r="L882" s="63" t="s">
        <v>1400</v>
      </c>
      <c r="M882" s="90"/>
      <c r="N882" s="90">
        <v>533</v>
      </c>
    </row>
    <row r="883" spans="2:14" x14ac:dyDescent="0.3">
      <c r="B883" s="171">
        <v>45568</v>
      </c>
      <c r="C883" s="60">
        <v>11724.8</v>
      </c>
      <c r="J883" s="58">
        <v>44837</v>
      </c>
      <c r="K883" s="60">
        <v>6052.55</v>
      </c>
      <c r="L883" s="63" t="s">
        <v>1401</v>
      </c>
      <c r="M883" s="90"/>
      <c r="N883" s="90">
        <v>967</v>
      </c>
    </row>
    <row r="884" spans="2:14" x14ac:dyDescent="0.3">
      <c r="B884" s="171">
        <v>45566</v>
      </c>
      <c r="C884" s="60">
        <v>11837.15</v>
      </c>
      <c r="J884" s="58">
        <v>44807</v>
      </c>
      <c r="K884" s="60">
        <v>6017.35</v>
      </c>
      <c r="L884" s="63" t="s">
        <v>1402</v>
      </c>
      <c r="M884" s="90"/>
      <c r="N884" s="90">
        <v>813</v>
      </c>
    </row>
    <row r="885" spans="2:14" x14ac:dyDescent="0.3">
      <c r="B885" s="171">
        <v>45565</v>
      </c>
      <c r="C885" s="60">
        <v>11802</v>
      </c>
      <c r="J885" s="58">
        <v>44776</v>
      </c>
      <c r="K885" s="60">
        <v>5833.45</v>
      </c>
      <c r="L885" s="63" t="s">
        <v>1403</v>
      </c>
      <c r="M885" s="90"/>
      <c r="N885" s="90">
        <v>955</v>
      </c>
    </row>
    <row r="886" spans="2:14" x14ac:dyDescent="0.3">
      <c r="B886" s="171">
        <v>45562</v>
      </c>
      <c r="C886" s="60">
        <v>11952.3</v>
      </c>
      <c r="J886" s="58">
        <v>44745</v>
      </c>
      <c r="K886" s="60">
        <v>5698.1</v>
      </c>
      <c r="L886" s="63">
        <v>1000</v>
      </c>
      <c r="M886" s="90"/>
      <c r="N886" s="90">
        <v>1000</v>
      </c>
    </row>
    <row r="887" spans="2:14" x14ac:dyDescent="0.3">
      <c r="B887" s="171">
        <v>45561</v>
      </c>
      <c r="C887" s="60">
        <v>12065</v>
      </c>
      <c r="J887" s="58">
        <v>44654</v>
      </c>
      <c r="K887" s="60">
        <v>6050.3</v>
      </c>
      <c r="L887" s="63">
        <v>1000</v>
      </c>
      <c r="M887" s="90"/>
      <c r="N887" s="90">
        <v>1000</v>
      </c>
    </row>
    <row r="888" spans="2:14" x14ac:dyDescent="0.3">
      <c r="B888" s="171">
        <v>45560</v>
      </c>
      <c r="C888" s="60">
        <v>11816.3</v>
      </c>
      <c r="J888" s="58">
        <v>44623</v>
      </c>
      <c r="K888" s="60">
        <v>5980.7</v>
      </c>
      <c r="L888" s="63">
        <v>2500</v>
      </c>
      <c r="M888" s="90"/>
      <c r="N888" s="90">
        <v>2500</v>
      </c>
    </row>
    <row r="889" spans="2:14" x14ac:dyDescent="0.3">
      <c r="B889" s="171">
        <v>45559</v>
      </c>
      <c r="C889" s="60">
        <v>11761.65</v>
      </c>
      <c r="J889" s="58">
        <v>44595</v>
      </c>
      <c r="K889" s="60">
        <v>6399.35</v>
      </c>
      <c r="L889" s="63" t="s">
        <v>1404</v>
      </c>
      <c r="M889" s="90"/>
      <c r="N889" s="90">
        <v>686</v>
      </c>
    </row>
    <row r="890" spans="2:14" x14ac:dyDescent="0.3">
      <c r="B890" s="171">
        <v>45558</v>
      </c>
      <c r="C890" s="60">
        <v>11962.05</v>
      </c>
      <c r="J890" s="58" t="s">
        <v>2258</v>
      </c>
      <c r="K890" s="60">
        <v>6567.9</v>
      </c>
      <c r="L890" s="63" t="s">
        <v>1405</v>
      </c>
      <c r="M890" s="90"/>
      <c r="N890" s="90">
        <v>557</v>
      </c>
    </row>
    <row r="891" spans="2:14" x14ac:dyDescent="0.3">
      <c r="B891" s="171">
        <v>45555</v>
      </c>
      <c r="C891" s="60">
        <v>11798.3</v>
      </c>
      <c r="J891" s="58" t="s">
        <v>2259</v>
      </c>
      <c r="K891" s="60">
        <v>6570.25</v>
      </c>
      <c r="L891" s="63" t="s">
        <v>1406</v>
      </c>
      <c r="M891" s="90"/>
      <c r="N891" s="90">
        <v>376</v>
      </c>
    </row>
    <row r="892" spans="2:14" x14ac:dyDescent="0.3">
      <c r="B892" s="171">
        <v>45554</v>
      </c>
      <c r="C892" s="60">
        <v>11627.5</v>
      </c>
      <c r="J892" s="58" t="s">
        <v>2260</v>
      </c>
      <c r="K892" s="60">
        <v>6418.45</v>
      </c>
      <c r="L892" s="63" t="s">
        <v>1407</v>
      </c>
      <c r="M892" s="90"/>
      <c r="N892" s="90">
        <v>610</v>
      </c>
    </row>
    <row r="893" spans="2:14" x14ac:dyDescent="0.3">
      <c r="B893" s="171">
        <v>45553</v>
      </c>
      <c r="C893" s="60">
        <v>11630.9</v>
      </c>
      <c r="J893" s="58" t="s">
        <v>2261</v>
      </c>
      <c r="K893" s="60">
        <v>6780.2</v>
      </c>
      <c r="L893" s="63" t="s">
        <v>1408</v>
      </c>
      <c r="M893" s="90"/>
      <c r="N893" s="90">
        <v>506</v>
      </c>
    </row>
    <row r="894" spans="2:14" x14ac:dyDescent="0.3">
      <c r="B894" s="171">
        <v>45552</v>
      </c>
      <c r="C894" s="60">
        <v>11645.65</v>
      </c>
      <c r="J894" s="58" t="s">
        <v>2262</v>
      </c>
      <c r="K894" s="60">
        <v>6749.55</v>
      </c>
      <c r="L894" s="63" t="s">
        <v>1409</v>
      </c>
      <c r="M894" s="90"/>
      <c r="N894" s="90">
        <v>359</v>
      </c>
    </row>
    <row r="895" spans="2:14" x14ac:dyDescent="0.3">
      <c r="B895" s="171">
        <v>45551</v>
      </c>
      <c r="C895" s="60">
        <v>11642.65</v>
      </c>
      <c r="J895" s="58" t="s">
        <v>2263</v>
      </c>
      <c r="K895" s="60">
        <v>6813.45</v>
      </c>
      <c r="L895" s="63" t="s">
        <v>1410</v>
      </c>
      <c r="M895" s="90"/>
      <c r="N895" s="90">
        <v>424</v>
      </c>
    </row>
    <row r="896" spans="2:14" x14ac:dyDescent="0.3">
      <c r="B896" s="171">
        <v>45548</v>
      </c>
      <c r="C896" s="60">
        <v>11717.95</v>
      </c>
      <c r="J896" s="58" t="s">
        <v>2264</v>
      </c>
      <c r="K896" s="60">
        <v>6916.6</v>
      </c>
      <c r="L896" s="63" t="s">
        <v>1411</v>
      </c>
      <c r="M896" s="90"/>
      <c r="N896" s="90">
        <v>510</v>
      </c>
    </row>
    <row r="897" spans="2:14" x14ac:dyDescent="0.3">
      <c r="B897" s="171">
        <v>45547</v>
      </c>
      <c r="C897" s="60">
        <v>11710.25</v>
      </c>
      <c r="J897" s="58" t="s">
        <v>2265</v>
      </c>
      <c r="K897" s="60">
        <v>7045.95</v>
      </c>
      <c r="L897" s="63" t="s">
        <v>1412</v>
      </c>
      <c r="M897" s="90"/>
      <c r="N897" s="90">
        <v>499</v>
      </c>
    </row>
    <row r="898" spans="2:14" x14ac:dyDescent="0.3">
      <c r="B898" s="171">
        <v>45546</v>
      </c>
      <c r="C898" s="60">
        <v>11487.45</v>
      </c>
      <c r="J898" s="58" t="s">
        <v>2266</v>
      </c>
      <c r="K898" s="60">
        <v>7178.9</v>
      </c>
      <c r="L898" s="63" t="s">
        <v>1413</v>
      </c>
      <c r="M898" s="90"/>
      <c r="N898" s="90">
        <v>322</v>
      </c>
    </row>
    <row r="899" spans="2:14" x14ac:dyDescent="0.3">
      <c r="B899" s="171">
        <v>45545</v>
      </c>
      <c r="C899" s="60">
        <v>11541.05</v>
      </c>
      <c r="J899" s="58" t="s">
        <v>2267</v>
      </c>
      <c r="K899" s="60">
        <v>7290.3</v>
      </c>
      <c r="L899" s="63" t="s">
        <v>1414</v>
      </c>
      <c r="M899" s="90"/>
      <c r="N899" s="90">
        <v>255</v>
      </c>
    </row>
    <row r="900" spans="2:14" x14ac:dyDescent="0.3">
      <c r="B900" s="171">
        <v>45544</v>
      </c>
      <c r="C900" s="60">
        <v>11494.35</v>
      </c>
      <c r="J900" s="58" t="s">
        <v>2268</v>
      </c>
      <c r="K900" s="60">
        <v>7089.1</v>
      </c>
      <c r="L900" s="63" t="s">
        <v>1415</v>
      </c>
      <c r="M900" s="90"/>
      <c r="N900" s="90">
        <v>266</v>
      </c>
    </row>
    <row r="901" spans="2:14" x14ac:dyDescent="0.3">
      <c r="B901" s="171">
        <v>45541</v>
      </c>
      <c r="C901" s="60">
        <v>11432.85</v>
      </c>
      <c r="J901" s="58">
        <v>44867</v>
      </c>
      <c r="K901" s="60">
        <v>7323.6</v>
      </c>
      <c r="L901" s="63" t="s">
        <v>1416</v>
      </c>
      <c r="M901" s="90"/>
      <c r="N901" s="90">
        <v>265</v>
      </c>
    </row>
    <row r="902" spans="2:14" x14ac:dyDescent="0.3">
      <c r="B902" s="171">
        <v>45540</v>
      </c>
      <c r="C902" s="60">
        <v>11542.65</v>
      </c>
      <c r="J902" s="58">
        <v>44836</v>
      </c>
      <c r="K902" s="60">
        <v>7474.5</v>
      </c>
      <c r="L902" s="63" t="s">
        <v>1417</v>
      </c>
      <c r="M902" s="90"/>
      <c r="N902" s="90">
        <v>284</v>
      </c>
    </row>
    <row r="903" spans="2:14" x14ac:dyDescent="0.3">
      <c r="B903" s="171">
        <v>45539</v>
      </c>
      <c r="C903" s="60">
        <v>11580.45</v>
      </c>
      <c r="J903" s="58">
        <v>44806</v>
      </c>
      <c r="K903" s="60">
        <v>7504.05</v>
      </c>
      <c r="L903" s="63" t="s">
        <v>1418</v>
      </c>
      <c r="M903" s="90"/>
      <c r="N903" s="90">
        <v>253</v>
      </c>
    </row>
    <row r="904" spans="2:14" x14ac:dyDescent="0.3">
      <c r="B904" s="171">
        <v>45538</v>
      </c>
      <c r="C904" s="60">
        <v>11460.8</v>
      </c>
      <c r="J904" s="58">
        <v>44775</v>
      </c>
      <c r="K904" s="60">
        <v>7421.35</v>
      </c>
      <c r="L904" s="63" t="s">
        <v>1419</v>
      </c>
      <c r="M904" s="90"/>
      <c r="N904" s="90">
        <v>270</v>
      </c>
    </row>
    <row r="905" spans="2:14" x14ac:dyDescent="0.3">
      <c r="B905" s="171">
        <v>45537</v>
      </c>
      <c r="C905" s="60">
        <v>11424.9</v>
      </c>
      <c r="J905" s="58">
        <v>44744</v>
      </c>
      <c r="K905" s="60">
        <v>7469.35</v>
      </c>
      <c r="L905" s="63" t="s">
        <v>1420</v>
      </c>
      <c r="M905" s="90"/>
      <c r="N905" s="90">
        <v>391</v>
      </c>
    </row>
    <row r="906" spans="2:14" x14ac:dyDescent="0.3">
      <c r="B906" s="171">
        <v>45534</v>
      </c>
      <c r="C906" s="60">
        <v>11301.9</v>
      </c>
      <c r="J906" s="58">
        <v>44653</v>
      </c>
      <c r="K906" s="60">
        <v>7439.65</v>
      </c>
      <c r="L906" s="63" t="s">
        <v>1421</v>
      </c>
      <c r="M906" s="90"/>
      <c r="N906" s="90">
        <v>462</v>
      </c>
    </row>
    <row r="907" spans="2:14" x14ac:dyDescent="0.3">
      <c r="B907" s="171">
        <v>45533</v>
      </c>
      <c r="C907" s="60">
        <v>11222</v>
      </c>
      <c r="J907" s="58">
        <v>44622</v>
      </c>
      <c r="K907" s="60">
        <v>7375.35</v>
      </c>
      <c r="L907" s="63" t="s">
        <v>1422</v>
      </c>
      <c r="M907" s="90"/>
      <c r="N907" s="90">
        <v>167</v>
      </c>
    </row>
    <row r="908" spans="2:14" x14ac:dyDescent="0.3">
      <c r="B908" s="171">
        <v>45532</v>
      </c>
      <c r="C908" s="60">
        <v>11234.8</v>
      </c>
      <c r="J908" s="58">
        <v>44594</v>
      </c>
      <c r="K908" s="60">
        <v>7441</v>
      </c>
      <c r="L908" s="63" t="s">
        <v>1423</v>
      </c>
      <c r="M908" s="90"/>
      <c r="N908" s="90">
        <v>324</v>
      </c>
    </row>
    <row r="909" spans="2:14" x14ac:dyDescent="0.3">
      <c r="B909" s="171">
        <v>45531</v>
      </c>
      <c r="C909" s="60">
        <v>11300.35</v>
      </c>
      <c r="J909" s="58">
        <v>44563</v>
      </c>
      <c r="K909" s="60">
        <v>7516.25</v>
      </c>
      <c r="L909" s="63" t="s">
        <v>1424</v>
      </c>
      <c r="M909" s="90"/>
      <c r="N909" s="90">
        <v>731</v>
      </c>
    </row>
    <row r="910" spans="2:14" x14ac:dyDescent="0.3">
      <c r="B910" s="171">
        <v>45530</v>
      </c>
      <c r="C910" s="60">
        <v>11337.1</v>
      </c>
      <c r="J910" s="58" t="s">
        <v>2269</v>
      </c>
      <c r="K910" s="60">
        <v>7216.4</v>
      </c>
      <c r="L910" s="63" t="s">
        <v>1425</v>
      </c>
      <c r="M910" s="90"/>
      <c r="N910" s="90">
        <v>250</v>
      </c>
    </row>
    <row r="911" spans="2:14" x14ac:dyDescent="0.3">
      <c r="B911" s="171">
        <v>45527</v>
      </c>
      <c r="C911" s="60">
        <v>11341.8</v>
      </c>
      <c r="J911" s="58" t="s">
        <v>2270</v>
      </c>
      <c r="K911" s="60">
        <v>7109.85</v>
      </c>
      <c r="L911" s="63" t="s">
        <v>1426</v>
      </c>
      <c r="M911" s="90"/>
      <c r="N911" s="90">
        <v>511</v>
      </c>
    </row>
    <row r="912" spans="2:14" x14ac:dyDescent="0.3">
      <c r="B912" s="171">
        <v>45526</v>
      </c>
      <c r="C912" s="60">
        <v>11309.4</v>
      </c>
      <c r="J912" s="58" t="s">
        <v>2271</v>
      </c>
      <c r="K912" s="60">
        <v>7100.7</v>
      </c>
      <c r="L912" s="63" t="s">
        <v>1427</v>
      </c>
      <c r="M912" s="90"/>
      <c r="N912" s="90">
        <v>418</v>
      </c>
    </row>
    <row r="913" spans="2:14" x14ac:dyDescent="0.3">
      <c r="B913" s="171">
        <v>45525</v>
      </c>
      <c r="C913" s="60">
        <v>11200.9</v>
      </c>
      <c r="J913" s="58" t="s">
        <v>2272</v>
      </c>
      <c r="K913" s="60">
        <v>7098.35</v>
      </c>
      <c r="L913" s="63" t="s">
        <v>1428</v>
      </c>
      <c r="M913" s="90"/>
      <c r="N913" s="90">
        <v>467</v>
      </c>
    </row>
    <row r="914" spans="2:14" x14ac:dyDescent="0.3">
      <c r="B914" s="171">
        <v>45524</v>
      </c>
      <c r="C914" s="60">
        <v>11349.7</v>
      </c>
      <c r="J914" s="58" t="s">
        <v>2273</v>
      </c>
      <c r="K914" s="60">
        <v>7156</v>
      </c>
      <c r="L914" s="63" t="s">
        <v>923</v>
      </c>
      <c r="M914" s="90"/>
      <c r="N914" s="90">
        <v>319</v>
      </c>
    </row>
    <row r="915" spans="2:14" x14ac:dyDescent="0.3">
      <c r="B915" s="171">
        <v>45523</v>
      </c>
      <c r="C915" s="60">
        <v>11315.35</v>
      </c>
      <c r="J915" s="58" t="s">
        <v>2274</v>
      </c>
      <c r="K915" s="60">
        <v>7357.65</v>
      </c>
      <c r="L915" s="63" t="s">
        <v>1429</v>
      </c>
      <c r="M915" s="90"/>
      <c r="N915" s="90">
        <v>207</v>
      </c>
    </row>
    <row r="916" spans="2:14" x14ac:dyDescent="0.3">
      <c r="B916" s="171">
        <v>45520</v>
      </c>
      <c r="C916" s="60">
        <v>11295.7</v>
      </c>
      <c r="J916" s="58" t="s">
        <v>2275</v>
      </c>
      <c r="K916" s="60">
        <v>7465.5</v>
      </c>
      <c r="L916" s="63" t="s">
        <v>1430</v>
      </c>
      <c r="M916" s="90"/>
      <c r="N916" s="90">
        <v>249</v>
      </c>
    </row>
    <row r="917" spans="2:14" x14ac:dyDescent="0.3">
      <c r="B917" s="171">
        <v>45518</v>
      </c>
      <c r="C917" s="60">
        <v>11002.6</v>
      </c>
      <c r="J917" s="58" t="s">
        <v>2276</v>
      </c>
      <c r="K917" s="60">
        <v>7434.4</v>
      </c>
      <c r="L917" s="63" t="s">
        <v>1431</v>
      </c>
      <c r="M917" s="90"/>
      <c r="N917" s="90">
        <v>439</v>
      </c>
    </row>
    <row r="918" spans="2:14" x14ac:dyDescent="0.3">
      <c r="B918" s="171">
        <v>45517</v>
      </c>
      <c r="C918" s="60">
        <v>11271.2</v>
      </c>
      <c r="J918" s="58" t="s">
        <v>2277</v>
      </c>
      <c r="K918" s="60">
        <v>7555.9</v>
      </c>
      <c r="L918" s="63" t="s">
        <v>1432</v>
      </c>
      <c r="M918" s="90"/>
      <c r="N918" s="90">
        <v>565</v>
      </c>
    </row>
    <row r="919" spans="2:14" x14ac:dyDescent="0.3">
      <c r="B919" s="171">
        <v>45516</v>
      </c>
      <c r="C919" s="60">
        <v>11302.85</v>
      </c>
      <c r="J919" s="58" t="s">
        <v>2278</v>
      </c>
      <c r="K919" s="60">
        <v>7870.1</v>
      </c>
      <c r="L919" s="63">
        <v>1000</v>
      </c>
      <c r="M919" s="90"/>
      <c r="N919" s="90">
        <v>1000</v>
      </c>
    </row>
    <row r="920" spans="2:14" x14ac:dyDescent="0.3">
      <c r="B920" s="171">
        <v>45513</v>
      </c>
      <c r="C920" s="60">
        <v>11300.35</v>
      </c>
      <c r="J920" s="58" t="s">
        <v>2279</v>
      </c>
      <c r="K920" s="60">
        <v>7660.55</v>
      </c>
      <c r="L920" s="63" t="s">
        <v>1433</v>
      </c>
      <c r="M920" s="90"/>
      <c r="N920" s="90">
        <v>250</v>
      </c>
    </row>
    <row r="921" spans="2:14" x14ac:dyDescent="0.3">
      <c r="B921" s="171">
        <v>45512</v>
      </c>
      <c r="C921" s="60">
        <v>11258</v>
      </c>
      <c r="J921" s="58" t="s">
        <v>2280</v>
      </c>
      <c r="K921" s="60">
        <v>7606.8</v>
      </c>
      <c r="L921" s="63" t="s">
        <v>1434</v>
      </c>
      <c r="M921" s="90"/>
      <c r="N921" s="90">
        <v>274</v>
      </c>
    </row>
    <row r="922" spans="2:14" x14ac:dyDescent="0.3">
      <c r="B922" s="171">
        <v>45511</v>
      </c>
      <c r="C922" s="60">
        <v>11543.2</v>
      </c>
      <c r="J922" s="58">
        <v>44896</v>
      </c>
      <c r="K922" s="60">
        <v>7658.7</v>
      </c>
      <c r="L922" s="63" t="s">
        <v>1435</v>
      </c>
      <c r="M922" s="90"/>
      <c r="N922" s="90">
        <v>297</v>
      </c>
    </row>
    <row r="923" spans="2:14" x14ac:dyDescent="0.3">
      <c r="B923" s="171">
        <v>45510</v>
      </c>
      <c r="C923" s="60">
        <v>11325.3</v>
      </c>
      <c r="J923" s="58">
        <v>44866</v>
      </c>
      <c r="K923" s="60">
        <v>7606.3</v>
      </c>
      <c r="L923" s="63" t="s">
        <v>1436</v>
      </c>
      <c r="M923" s="90"/>
      <c r="N923" s="90">
        <v>234</v>
      </c>
    </row>
    <row r="924" spans="2:14" x14ac:dyDescent="0.3">
      <c r="B924" s="171">
        <v>45509</v>
      </c>
      <c r="C924" s="60">
        <v>11417.25</v>
      </c>
      <c r="J924" s="58">
        <v>44835</v>
      </c>
      <c r="K924" s="60">
        <v>7585.15</v>
      </c>
      <c r="L924" s="63" t="s">
        <v>1437</v>
      </c>
      <c r="M924" s="90"/>
      <c r="N924" s="90">
        <v>213</v>
      </c>
    </row>
    <row r="925" spans="2:14" x14ac:dyDescent="0.3">
      <c r="B925" s="171">
        <v>45506</v>
      </c>
      <c r="C925" s="60">
        <v>11764.5</v>
      </c>
      <c r="J925" s="58">
        <v>44743</v>
      </c>
      <c r="K925" s="60">
        <v>7557.95</v>
      </c>
      <c r="L925" s="63" t="s">
        <v>1438</v>
      </c>
      <c r="M925" s="90"/>
      <c r="N925" s="90">
        <v>543</v>
      </c>
    </row>
    <row r="926" spans="2:14" x14ac:dyDescent="0.3">
      <c r="B926" s="171">
        <v>45505</v>
      </c>
      <c r="C926" s="60">
        <v>11984.5</v>
      </c>
      <c r="J926" s="58">
        <v>44713</v>
      </c>
      <c r="K926" s="60">
        <v>7458.55</v>
      </c>
      <c r="L926" s="63" t="s">
        <v>1439</v>
      </c>
      <c r="M926" s="90"/>
      <c r="N926" s="90">
        <v>403</v>
      </c>
    </row>
    <row r="927" spans="2:14" x14ac:dyDescent="0.3">
      <c r="B927" s="171">
        <v>45504</v>
      </c>
      <c r="C927" s="60">
        <v>11887.2</v>
      </c>
      <c r="J927" s="58">
        <v>44682</v>
      </c>
      <c r="K927" s="60">
        <v>7659.55</v>
      </c>
      <c r="L927" s="63" t="s">
        <v>1440</v>
      </c>
      <c r="M927" s="90"/>
      <c r="N927" s="90">
        <v>400</v>
      </c>
    </row>
    <row r="928" spans="2:14" x14ac:dyDescent="0.3">
      <c r="B928" s="171">
        <v>45503</v>
      </c>
      <c r="C928" s="60">
        <v>11806.45</v>
      </c>
      <c r="J928" s="58">
        <v>44652</v>
      </c>
      <c r="K928" s="60">
        <v>7650.35</v>
      </c>
      <c r="L928" s="63" t="s">
        <v>1441</v>
      </c>
      <c r="M928" s="90"/>
      <c r="N928" s="90">
        <v>315</v>
      </c>
    </row>
    <row r="929" spans="2:14" x14ac:dyDescent="0.3">
      <c r="B929" s="171">
        <v>45502</v>
      </c>
      <c r="C929" s="60">
        <v>11873.8</v>
      </c>
      <c r="J929" s="58">
        <v>44621</v>
      </c>
      <c r="K929" s="60">
        <v>7723.9</v>
      </c>
      <c r="L929" s="63" t="s">
        <v>1442</v>
      </c>
      <c r="M929" s="90"/>
      <c r="N929" s="90">
        <v>250</v>
      </c>
    </row>
    <row r="930" spans="2:14" x14ac:dyDescent="0.3">
      <c r="B930" s="171">
        <v>45499</v>
      </c>
      <c r="C930" s="60">
        <v>11673.05</v>
      </c>
      <c r="J930" s="58" t="s">
        <v>2281</v>
      </c>
      <c r="K930" s="60">
        <v>7591.05</v>
      </c>
      <c r="L930" s="63" t="s">
        <v>1443</v>
      </c>
      <c r="M930" s="90">
        <v>2021</v>
      </c>
      <c r="N930" s="90">
        <v>258</v>
      </c>
    </row>
    <row r="931" spans="2:14" x14ac:dyDescent="0.3">
      <c r="B931" s="171">
        <v>45498</v>
      </c>
      <c r="C931" s="60">
        <v>11441.5</v>
      </c>
      <c r="J931" s="58" t="s">
        <v>2282</v>
      </c>
      <c r="K931" s="60">
        <v>7397.2</v>
      </c>
      <c r="L931" s="63" t="s">
        <v>749</v>
      </c>
      <c r="M931" s="90"/>
      <c r="N931" s="90">
        <v>243</v>
      </c>
    </row>
    <row r="932" spans="2:14" x14ac:dyDescent="0.3">
      <c r="B932" s="171">
        <v>45497</v>
      </c>
      <c r="C932" s="60">
        <v>11453.4</v>
      </c>
      <c r="J932" s="58" t="s">
        <v>2283</v>
      </c>
      <c r="K932" s="60">
        <v>7420.95</v>
      </c>
      <c r="L932" s="63" t="s">
        <v>1444</v>
      </c>
      <c r="M932" s="90"/>
      <c r="N932" s="90">
        <v>219</v>
      </c>
    </row>
    <row r="933" spans="2:14" x14ac:dyDescent="0.3">
      <c r="B933" s="171">
        <v>45496</v>
      </c>
      <c r="C933" s="60">
        <v>11545.8</v>
      </c>
      <c r="J933" s="58" t="s">
        <v>2284</v>
      </c>
      <c r="K933" s="60">
        <v>7406.1</v>
      </c>
      <c r="L933" s="63" t="s">
        <v>1445</v>
      </c>
      <c r="M933" s="90"/>
      <c r="N933" s="90">
        <v>185</v>
      </c>
    </row>
    <row r="934" spans="2:14" x14ac:dyDescent="0.3">
      <c r="B934" s="171">
        <v>45495</v>
      </c>
      <c r="C934" s="60">
        <v>11515.7</v>
      </c>
      <c r="J934" s="58" t="s">
        <v>2285</v>
      </c>
      <c r="K934" s="60">
        <v>7245.05</v>
      </c>
      <c r="L934" s="63" t="s">
        <v>1446</v>
      </c>
      <c r="M934" s="90"/>
      <c r="N934" s="90">
        <v>142</v>
      </c>
    </row>
    <row r="935" spans="2:14" x14ac:dyDescent="0.3">
      <c r="B935" s="171">
        <v>45492</v>
      </c>
      <c r="C935" s="60">
        <v>11258.3</v>
      </c>
      <c r="J935" s="58" t="s">
        <v>2286</v>
      </c>
      <c r="K935" s="60">
        <v>7224.8</v>
      </c>
      <c r="L935" s="63" t="s">
        <v>1447</v>
      </c>
      <c r="M935" s="90"/>
      <c r="N935" s="90">
        <v>270</v>
      </c>
    </row>
    <row r="936" spans="2:14" x14ac:dyDescent="0.3">
      <c r="B936" s="171">
        <v>45491</v>
      </c>
      <c r="C936" s="60">
        <v>11647.25</v>
      </c>
      <c r="J936" s="58" t="s">
        <v>2287</v>
      </c>
      <c r="K936" s="60">
        <v>7340.6</v>
      </c>
      <c r="L936" s="63" t="s">
        <v>1448</v>
      </c>
      <c r="M936" s="90"/>
      <c r="N936" s="90">
        <v>210</v>
      </c>
    </row>
    <row r="937" spans="2:14" x14ac:dyDescent="0.3">
      <c r="B937" s="171">
        <v>45489</v>
      </c>
      <c r="C937" s="60">
        <v>11658.7</v>
      </c>
      <c r="J937" s="58" t="s">
        <v>2288</v>
      </c>
      <c r="K937" s="60">
        <v>7377.25</v>
      </c>
      <c r="L937" s="63" t="s">
        <v>1449</v>
      </c>
      <c r="M937" s="90"/>
      <c r="N937" s="90">
        <v>158</v>
      </c>
    </row>
    <row r="938" spans="2:14" x14ac:dyDescent="0.3">
      <c r="B938" s="171">
        <v>45488</v>
      </c>
      <c r="C938" s="60">
        <v>11833.65</v>
      </c>
      <c r="J938" s="58" t="s">
        <v>2289</v>
      </c>
      <c r="K938" s="60">
        <v>7327.35</v>
      </c>
      <c r="L938" s="63" t="s">
        <v>1450</v>
      </c>
      <c r="M938" s="90"/>
      <c r="N938" s="90">
        <v>241</v>
      </c>
    </row>
    <row r="939" spans="2:14" x14ac:dyDescent="0.3">
      <c r="B939" s="171">
        <v>45485</v>
      </c>
      <c r="C939" s="60">
        <v>11602.3</v>
      </c>
      <c r="J939" s="58" t="s">
        <v>2290</v>
      </c>
      <c r="K939" s="60">
        <v>7160.85</v>
      </c>
      <c r="L939" s="63" t="s">
        <v>1451</v>
      </c>
      <c r="M939" s="90"/>
      <c r="N939" s="90">
        <v>285</v>
      </c>
    </row>
    <row r="940" spans="2:14" x14ac:dyDescent="0.3">
      <c r="B940" s="171">
        <v>45484</v>
      </c>
      <c r="C940" s="60">
        <v>11554.95</v>
      </c>
      <c r="J940" s="58" t="s">
        <v>2291</v>
      </c>
      <c r="K940" s="60">
        <v>7337.35</v>
      </c>
      <c r="L940" s="63" t="s">
        <v>1452</v>
      </c>
      <c r="M940" s="90"/>
      <c r="N940" s="90">
        <v>279</v>
      </c>
    </row>
    <row r="941" spans="2:14" x14ac:dyDescent="0.3">
      <c r="B941" s="171">
        <v>45483</v>
      </c>
      <c r="C941" s="60">
        <v>11634.25</v>
      </c>
      <c r="J941" s="58" t="s">
        <v>2292</v>
      </c>
      <c r="K941" s="60">
        <v>7413.75</v>
      </c>
      <c r="L941" s="63" t="s">
        <v>1453</v>
      </c>
      <c r="M941" s="90"/>
      <c r="N941" s="90">
        <v>140</v>
      </c>
    </row>
    <row r="942" spans="2:14" x14ac:dyDescent="0.3">
      <c r="B942" s="171">
        <v>45482</v>
      </c>
      <c r="C942" s="60">
        <v>11679.8</v>
      </c>
      <c r="J942" s="58" t="s">
        <v>2293</v>
      </c>
      <c r="K942" s="60">
        <v>7371.35</v>
      </c>
      <c r="L942" s="63" t="s">
        <v>1454</v>
      </c>
      <c r="M942" s="90"/>
      <c r="N942" s="90">
        <v>113</v>
      </c>
    </row>
    <row r="943" spans="2:14" x14ac:dyDescent="0.3">
      <c r="B943" s="171">
        <v>45481</v>
      </c>
      <c r="C943" s="60">
        <v>11582.9</v>
      </c>
      <c r="J943" s="58" t="s">
        <v>2294</v>
      </c>
      <c r="K943" s="60">
        <v>7386.4</v>
      </c>
      <c r="L943" s="63" t="s">
        <v>1455</v>
      </c>
      <c r="M943" s="90"/>
      <c r="N943" s="90">
        <v>210</v>
      </c>
    </row>
    <row r="944" spans="2:14" x14ac:dyDescent="0.3">
      <c r="B944" s="171">
        <v>45478</v>
      </c>
      <c r="C944" s="60">
        <v>11690.15</v>
      </c>
      <c r="J944" s="58" t="s">
        <v>2295</v>
      </c>
      <c r="K944" s="60">
        <v>7414.45</v>
      </c>
      <c r="L944" s="63" t="s">
        <v>1456</v>
      </c>
      <c r="M944" s="90"/>
      <c r="N944" s="90">
        <v>220</v>
      </c>
    </row>
    <row r="945" spans="2:14" x14ac:dyDescent="0.3">
      <c r="B945" s="171">
        <v>45477</v>
      </c>
      <c r="C945" s="60">
        <v>11760.05</v>
      </c>
      <c r="J945" s="58">
        <v>44481</v>
      </c>
      <c r="K945" s="60">
        <v>7440.45</v>
      </c>
      <c r="L945" s="63" t="s">
        <v>1457</v>
      </c>
      <c r="M945" s="90"/>
      <c r="N945" s="90">
        <v>144</v>
      </c>
    </row>
    <row r="946" spans="2:14" x14ac:dyDescent="0.3">
      <c r="B946" s="171">
        <v>45476</v>
      </c>
      <c r="C946" s="60">
        <v>11872.1</v>
      </c>
      <c r="J946" s="58">
        <v>44451</v>
      </c>
      <c r="K946" s="60">
        <v>7433.85</v>
      </c>
      <c r="L946" s="63" t="s">
        <v>1458</v>
      </c>
      <c r="M946" s="90"/>
      <c r="N946" s="90">
        <v>198</v>
      </c>
    </row>
    <row r="947" spans="2:14" x14ac:dyDescent="0.3">
      <c r="B947" s="171">
        <v>45475</v>
      </c>
      <c r="C947" s="60">
        <v>11853.95</v>
      </c>
      <c r="J947" s="58">
        <v>44420</v>
      </c>
      <c r="K947" s="60">
        <v>7423.95</v>
      </c>
      <c r="L947" s="63" t="s">
        <v>1459</v>
      </c>
      <c r="M947" s="90"/>
      <c r="N947" s="90">
        <v>209</v>
      </c>
    </row>
    <row r="948" spans="2:14" x14ac:dyDescent="0.3">
      <c r="B948" s="171">
        <v>45474</v>
      </c>
      <c r="C948" s="60">
        <v>11904.65</v>
      </c>
      <c r="J948" s="58">
        <v>44389</v>
      </c>
      <c r="K948" s="60">
        <v>7299.4</v>
      </c>
      <c r="L948" s="63" t="s">
        <v>1460</v>
      </c>
      <c r="M948" s="90"/>
      <c r="N948" s="90">
        <v>162</v>
      </c>
    </row>
    <row r="949" spans="2:14" x14ac:dyDescent="0.3">
      <c r="B949" s="171">
        <v>45471</v>
      </c>
      <c r="C949" s="60">
        <v>11667.9</v>
      </c>
      <c r="J949" s="58">
        <v>44359</v>
      </c>
      <c r="K949" s="60">
        <v>7214.6</v>
      </c>
      <c r="L949" s="63" t="s">
        <v>1461</v>
      </c>
      <c r="M949" s="90"/>
      <c r="N949" s="90">
        <v>173</v>
      </c>
    </row>
    <row r="950" spans="2:14" x14ac:dyDescent="0.3">
      <c r="B950" s="171">
        <v>45470</v>
      </c>
      <c r="C950" s="60">
        <v>11716.7</v>
      </c>
      <c r="J950" s="58">
        <v>44267</v>
      </c>
      <c r="K950" s="60">
        <v>7332.45</v>
      </c>
      <c r="L950" s="63" t="s">
        <v>1462</v>
      </c>
      <c r="M950" s="90"/>
      <c r="N950" s="90">
        <v>401</v>
      </c>
    </row>
    <row r="951" spans="2:14" x14ac:dyDescent="0.3">
      <c r="B951" s="171">
        <v>45469</v>
      </c>
      <c r="C951" s="60">
        <v>11143.1</v>
      </c>
      <c r="J951" s="58">
        <v>44239</v>
      </c>
      <c r="K951" s="60">
        <v>7323.2</v>
      </c>
      <c r="L951" s="63" t="s">
        <v>1463</v>
      </c>
      <c r="M951" s="90"/>
      <c r="N951" s="90">
        <v>239</v>
      </c>
    </row>
    <row r="952" spans="2:14" x14ac:dyDescent="0.3">
      <c r="B952" s="171">
        <v>45468</v>
      </c>
      <c r="C952" s="60">
        <v>10846.2</v>
      </c>
      <c r="J952" s="58">
        <v>44208</v>
      </c>
      <c r="K952" s="60">
        <v>7322.6</v>
      </c>
      <c r="L952" s="63" t="s">
        <v>1464</v>
      </c>
      <c r="M952" s="90"/>
      <c r="N952" s="90">
        <v>509</v>
      </c>
    </row>
    <row r="953" spans="2:14" x14ac:dyDescent="0.3">
      <c r="B953" s="171">
        <v>45467</v>
      </c>
      <c r="C953" s="60">
        <v>10786</v>
      </c>
      <c r="J953" s="58" t="s">
        <v>2296</v>
      </c>
      <c r="K953" s="60">
        <v>7433.75</v>
      </c>
      <c r="L953" s="63" t="s">
        <v>1465</v>
      </c>
      <c r="M953" s="90"/>
      <c r="N953" s="90">
        <v>547</v>
      </c>
    </row>
    <row r="954" spans="2:14" x14ac:dyDescent="0.3">
      <c r="B954" s="171">
        <v>45464</v>
      </c>
      <c r="C954" s="60">
        <v>10662.4</v>
      </c>
      <c r="J954" s="58" t="s">
        <v>2297</v>
      </c>
      <c r="K954" s="60">
        <v>7388.25</v>
      </c>
      <c r="L954" s="63" t="s">
        <v>1466</v>
      </c>
      <c r="M954" s="90"/>
      <c r="N954" s="90">
        <v>382</v>
      </c>
    </row>
    <row r="955" spans="2:14" x14ac:dyDescent="0.3">
      <c r="B955" s="171">
        <v>45463</v>
      </c>
      <c r="C955" s="60">
        <v>10903.2</v>
      </c>
      <c r="J955" s="58" t="s">
        <v>2298</v>
      </c>
      <c r="K955" s="60">
        <v>7394.75</v>
      </c>
      <c r="L955" s="63" t="s">
        <v>1467</v>
      </c>
      <c r="M955" s="90"/>
      <c r="N955" s="90">
        <v>265</v>
      </c>
    </row>
    <row r="956" spans="2:14" x14ac:dyDescent="0.3">
      <c r="B956" s="171">
        <v>45462</v>
      </c>
      <c r="C956" s="60">
        <v>10995.55</v>
      </c>
      <c r="J956" s="58" t="s">
        <v>2299</v>
      </c>
      <c r="K956" s="60">
        <v>7608.8</v>
      </c>
      <c r="L956" s="63" t="s">
        <v>1468</v>
      </c>
      <c r="M956" s="90"/>
      <c r="N956" s="90">
        <v>173</v>
      </c>
    </row>
    <row r="957" spans="2:14" x14ac:dyDescent="0.3">
      <c r="B957" s="171">
        <v>45461</v>
      </c>
      <c r="C957" s="60">
        <v>11119.05</v>
      </c>
      <c r="J957" s="58" t="s">
        <v>2300</v>
      </c>
      <c r="K957" s="60">
        <v>7577.3</v>
      </c>
      <c r="L957" s="63" t="s">
        <v>1469</v>
      </c>
      <c r="M957" s="90"/>
      <c r="N957" s="90">
        <v>292</v>
      </c>
    </row>
    <row r="958" spans="2:14" x14ac:dyDescent="0.3">
      <c r="B958" s="171">
        <v>45457</v>
      </c>
      <c r="C958" s="60">
        <v>11242.8</v>
      </c>
      <c r="J958" s="58" t="s">
        <v>2301</v>
      </c>
      <c r="K958" s="60">
        <v>7657.95</v>
      </c>
      <c r="L958" s="63" t="s">
        <v>1470</v>
      </c>
      <c r="M958" s="90"/>
      <c r="N958" s="90">
        <v>475</v>
      </c>
    </row>
    <row r="959" spans="2:14" x14ac:dyDescent="0.3">
      <c r="B959" s="171">
        <v>45456</v>
      </c>
      <c r="C959" s="60">
        <v>11173.8</v>
      </c>
      <c r="J959" s="58" t="s">
        <v>2302</v>
      </c>
      <c r="K959" s="60">
        <v>7653.8</v>
      </c>
      <c r="L959" s="63" t="s">
        <v>1471</v>
      </c>
      <c r="M959" s="90"/>
      <c r="N959" s="90">
        <v>383</v>
      </c>
    </row>
    <row r="960" spans="2:14" x14ac:dyDescent="0.3">
      <c r="B960" s="171">
        <v>45455</v>
      </c>
      <c r="C960" s="60">
        <v>11044.8</v>
      </c>
      <c r="J960" s="58" t="s">
        <v>2303</v>
      </c>
      <c r="K960" s="60">
        <v>7767.7</v>
      </c>
      <c r="L960" s="63" t="s">
        <v>1472</v>
      </c>
      <c r="M960" s="90"/>
      <c r="N960" s="90">
        <v>196</v>
      </c>
    </row>
    <row r="961" spans="2:14" x14ac:dyDescent="0.3">
      <c r="B961" s="171">
        <v>45454</v>
      </c>
      <c r="C961" s="60">
        <v>10933.55</v>
      </c>
      <c r="J961" s="58" t="s">
        <v>2304</v>
      </c>
      <c r="K961" s="60">
        <v>7857.7</v>
      </c>
      <c r="L961" s="63" t="s">
        <v>1473</v>
      </c>
      <c r="M961" s="90"/>
      <c r="N961" s="90">
        <v>183</v>
      </c>
    </row>
    <row r="962" spans="2:14" x14ac:dyDescent="0.3">
      <c r="B962" s="171">
        <v>45453</v>
      </c>
      <c r="C962" s="60">
        <v>10826.25</v>
      </c>
      <c r="J962" s="58" t="s">
        <v>2305</v>
      </c>
      <c r="K962" s="60">
        <v>7882.4</v>
      </c>
      <c r="L962" s="63" t="s">
        <v>1474</v>
      </c>
      <c r="M962" s="90"/>
      <c r="N962" s="90">
        <v>277</v>
      </c>
    </row>
    <row r="963" spans="2:14" x14ac:dyDescent="0.3">
      <c r="B963" s="171">
        <v>45450</v>
      </c>
      <c r="C963" s="60">
        <v>10463.15</v>
      </c>
      <c r="J963" s="58" t="s">
        <v>2306</v>
      </c>
      <c r="K963" s="60">
        <v>8050.8</v>
      </c>
      <c r="L963" s="63" t="s">
        <v>1475</v>
      </c>
      <c r="M963" s="90"/>
      <c r="N963" s="90">
        <v>119</v>
      </c>
    </row>
    <row r="964" spans="2:14" x14ac:dyDescent="0.3">
      <c r="B964" s="171">
        <v>45449</v>
      </c>
      <c r="C964" s="60">
        <v>10054.950000000001</v>
      </c>
      <c r="J964" s="58">
        <v>44541</v>
      </c>
      <c r="K964" s="60">
        <v>8080.75</v>
      </c>
      <c r="L964" s="63" t="s">
        <v>1476</v>
      </c>
      <c r="M964" s="90"/>
      <c r="N964" s="90">
        <v>180</v>
      </c>
    </row>
    <row r="965" spans="2:14" x14ac:dyDescent="0.3">
      <c r="B965" s="171">
        <v>45448</v>
      </c>
      <c r="C965" s="60">
        <v>10038.1</v>
      </c>
      <c r="J965" s="58">
        <v>44511</v>
      </c>
      <c r="K965" s="60">
        <v>8050.65</v>
      </c>
      <c r="L965" s="63" t="s">
        <v>1477</v>
      </c>
      <c r="M965" s="90"/>
      <c r="N965" s="90">
        <v>125</v>
      </c>
    </row>
    <row r="966" spans="2:14" x14ac:dyDescent="0.3">
      <c r="B966" s="171">
        <v>45447</v>
      </c>
      <c r="C966" s="60">
        <v>9918.2999999999993</v>
      </c>
      <c r="J966" s="58">
        <v>44480</v>
      </c>
      <c r="K966" s="60">
        <v>8106.8</v>
      </c>
      <c r="L966" s="63" t="s">
        <v>1478</v>
      </c>
      <c r="M966" s="90"/>
      <c r="N966" s="90">
        <v>209</v>
      </c>
    </row>
    <row r="967" spans="2:14" x14ac:dyDescent="0.3">
      <c r="B967" s="171">
        <v>45446</v>
      </c>
      <c r="C967" s="60">
        <v>10470.049999999999</v>
      </c>
      <c r="J967" s="58">
        <v>44450</v>
      </c>
      <c r="K967" s="60">
        <v>8166</v>
      </c>
      <c r="L967" s="63" t="s">
        <v>1479</v>
      </c>
      <c r="M967" s="90"/>
      <c r="N967" s="90">
        <v>253</v>
      </c>
    </row>
    <row r="968" spans="2:14" x14ac:dyDescent="0.3">
      <c r="B968" s="171">
        <v>45443</v>
      </c>
      <c r="C968" s="60">
        <v>9915.5</v>
      </c>
      <c r="J968" s="58">
        <v>44419</v>
      </c>
      <c r="K968" s="60">
        <v>8214.0499999999993</v>
      </c>
      <c r="L968" s="63" t="s">
        <v>1480</v>
      </c>
      <c r="M968" s="90"/>
      <c r="N968" s="90">
        <v>825</v>
      </c>
    </row>
    <row r="969" spans="2:14" x14ac:dyDescent="0.3">
      <c r="B969" s="171">
        <v>45442</v>
      </c>
      <c r="C969" s="60">
        <v>9868.85</v>
      </c>
      <c r="J969" s="58">
        <v>44297</v>
      </c>
      <c r="K969" s="60">
        <v>7880.8</v>
      </c>
      <c r="L969" s="63" t="s">
        <v>1481</v>
      </c>
      <c r="M969" s="90"/>
      <c r="N969" s="90">
        <v>32</v>
      </c>
    </row>
    <row r="970" spans="2:14" x14ac:dyDescent="0.3">
      <c r="B970" s="171">
        <v>45441</v>
      </c>
      <c r="C970" s="60">
        <v>10023.4</v>
      </c>
      <c r="J970" s="58">
        <v>44266</v>
      </c>
      <c r="K970" s="60">
        <v>7887.85</v>
      </c>
      <c r="L970" s="63" t="s">
        <v>1482</v>
      </c>
      <c r="M970" s="90"/>
      <c r="N970" s="90">
        <v>388</v>
      </c>
    </row>
    <row r="971" spans="2:14" x14ac:dyDescent="0.3">
      <c r="B971" s="171">
        <v>45440</v>
      </c>
      <c r="C971" s="60">
        <v>10178.9</v>
      </c>
      <c r="J971" s="58">
        <v>44238</v>
      </c>
      <c r="K971" s="60">
        <v>7713.35</v>
      </c>
      <c r="L971" s="63" t="s">
        <v>1483</v>
      </c>
      <c r="M971" s="90"/>
      <c r="N971" s="90">
        <v>177</v>
      </c>
    </row>
    <row r="972" spans="2:14" x14ac:dyDescent="0.3">
      <c r="B972" s="171">
        <v>45439</v>
      </c>
      <c r="C972" s="60">
        <v>10225.5</v>
      </c>
      <c r="J972" s="58">
        <v>44207</v>
      </c>
      <c r="K972" s="60">
        <v>7775.1</v>
      </c>
      <c r="L972" s="63" t="s">
        <v>1484</v>
      </c>
      <c r="M972" s="90"/>
      <c r="N972" s="90">
        <v>469</v>
      </c>
    </row>
    <row r="973" spans="2:14" x14ac:dyDescent="0.3">
      <c r="B973" s="171">
        <v>45436</v>
      </c>
      <c r="C973" s="60">
        <v>10231.1</v>
      </c>
      <c r="J973" s="58" t="s">
        <v>2307</v>
      </c>
      <c r="K973" s="60">
        <v>7636.05</v>
      </c>
      <c r="L973" s="63" t="s">
        <v>1485</v>
      </c>
      <c r="M973" s="90"/>
      <c r="N973" s="90">
        <v>659</v>
      </c>
    </row>
    <row r="974" spans="2:14" x14ac:dyDescent="0.3">
      <c r="B974" s="171">
        <v>45435</v>
      </c>
      <c r="C974" s="60">
        <v>10170.549999999999</v>
      </c>
      <c r="J974" s="58" t="s">
        <v>2308</v>
      </c>
      <c r="K974" s="60">
        <v>7446.65</v>
      </c>
      <c r="L974" s="63" t="s">
        <v>1486</v>
      </c>
      <c r="M974" s="90"/>
      <c r="N974" s="90">
        <v>556</v>
      </c>
    </row>
    <row r="975" spans="2:14" x14ac:dyDescent="0.3">
      <c r="B975" s="171">
        <v>45434</v>
      </c>
      <c r="C975" s="60">
        <v>9894.85</v>
      </c>
      <c r="J975" s="58" t="s">
        <v>2309</v>
      </c>
      <c r="K975" s="60">
        <v>7354.2</v>
      </c>
      <c r="L975" s="63" t="s">
        <v>1487</v>
      </c>
      <c r="M975" s="90"/>
      <c r="N975" s="90">
        <v>364</v>
      </c>
    </row>
    <row r="976" spans="2:14" x14ac:dyDescent="0.3">
      <c r="B976" s="171">
        <v>45433</v>
      </c>
      <c r="C976" s="60">
        <v>9789.4</v>
      </c>
      <c r="J976" s="58" t="s">
        <v>2310</v>
      </c>
      <c r="K976" s="60">
        <v>7269.1</v>
      </c>
      <c r="L976" s="63" t="s">
        <v>1488</v>
      </c>
      <c r="M976" s="90"/>
      <c r="N976" s="90">
        <v>372</v>
      </c>
    </row>
    <row r="977" spans="2:14" x14ac:dyDescent="0.3">
      <c r="B977" s="171">
        <v>45430</v>
      </c>
      <c r="C977" s="60">
        <v>9865.6</v>
      </c>
      <c r="J977" s="58" t="s">
        <v>2311</v>
      </c>
      <c r="K977" s="60">
        <v>7149.8</v>
      </c>
      <c r="L977" s="63" t="s">
        <v>1489</v>
      </c>
      <c r="M977" s="90"/>
      <c r="N977" s="90">
        <v>245</v>
      </c>
    </row>
    <row r="978" spans="2:14" x14ac:dyDescent="0.3">
      <c r="B978" s="171">
        <v>45429</v>
      </c>
      <c r="C978" s="60">
        <v>9890.35</v>
      </c>
      <c r="J978" s="58" t="s">
        <v>2312</v>
      </c>
      <c r="K978" s="60">
        <v>7149.6</v>
      </c>
      <c r="L978" s="63" t="s">
        <v>1490</v>
      </c>
      <c r="M978" s="90"/>
      <c r="N978" s="90">
        <v>330</v>
      </c>
    </row>
    <row r="979" spans="2:14" x14ac:dyDescent="0.3">
      <c r="B979" s="171">
        <v>45428</v>
      </c>
      <c r="C979" s="60">
        <v>9709.1</v>
      </c>
      <c r="J979" s="58" t="s">
        <v>2313</v>
      </c>
      <c r="K979" s="60">
        <v>7129</v>
      </c>
      <c r="L979" s="63" t="s">
        <v>1491</v>
      </c>
      <c r="M979" s="90"/>
      <c r="N979" s="90">
        <v>318</v>
      </c>
    </row>
    <row r="980" spans="2:14" x14ac:dyDescent="0.3">
      <c r="B980" s="171">
        <v>45427</v>
      </c>
      <c r="C980" s="60">
        <v>9614.1</v>
      </c>
      <c r="J980" s="58" t="s">
        <v>2314</v>
      </c>
      <c r="K980" s="60">
        <v>7129.6</v>
      </c>
      <c r="L980" s="63" t="s">
        <v>1492</v>
      </c>
      <c r="M980" s="90"/>
      <c r="N980" s="90">
        <v>703</v>
      </c>
    </row>
    <row r="981" spans="2:14" x14ac:dyDescent="0.3">
      <c r="B981" s="171">
        <v>45426</v>
      </c>
      <c r="C981" s="60">
        <v>9660.65</v>
      </c>
      <c r="J981" s="58" t="s">
        <v>2315</v>
      </c>
      <c r="K981" s="60">
        <v>7170.1</v>
      </c>
      <c r="L981" s="63" t="s">
        <v>1493</v>
      </c>
      <c r="M981" s="90"/>
      <c r="N981" s="90">
        <v>868</v>
      </c>
    </row>
    <row r="982" spans="2:14" x14ac:dyDescent="0.3">
      <c r="B982" s="171">
        <v>45425</v>
      </c>
      <c r="C982" s="60">
        <v>9551.5</v>
      </c>
      <c r="J982" s="58" t="s">
        <v>2316</v>
      </c>
      <c r="K982" s="60">
        <v>7399.3</v>
      </c>
      <c r="L982" s="63">
        <v>1500</v>
      </c>
      <c r="M982" s="90"/>
      <c r="N982" s="90">
        <v>1500</v>
      </c>
    </row>
    <row r="983" spans="2:14" x14ac:dyDescent="0.3">
      <c r="B983" s="171">
        <v>45422</v>
      </c>
      <c r="C983" s="60">
        <v>9491.7000000000007</v>
      </c>
      <c r="J983" s="58" t="s">
        <v>2317</v>
      </c>
      <c r="K983" s="60">
        <v>7395.5</v>
      </c>
      <c r="L983" s="63" t="s">
        <v>1494</v>
      </c>
      <c r="M983" s="90"/>
      <c r="N983" s="90">
        <v>599</v>
      </c>
    </row>
    <row r="984" spans="2:14" x14ac:dyDescent="0.3">
      <c r="B984" s="171">
        <v>45421</v>
      </c>
      <c r="C984" s="60">
        <v>9446.1</v>
      </c>
      <c r="J984" s="58" t="s">
        <v>2318</v>
      </c>
      <c r="K984" s="60">
        <v>7350.4</v>
      </c>
      <c r="L984" s="63" t="s">
        <v>1495</v>
      </c>
      <c r="M984" s="90"/>
      <c r="N984" s="90">
        <v>347</v>
      </c>
    </row>
    <row r="985" spans="2:14" x14ac:dyDescent="0.3">
      <c r="B985" s="171">
        <v>45420</v>
      </c>
      <c r="C985" s="60">
        <v>9519.4</v>
      </c>
      <c r="J985" s="58">
        <v>44540</v>
      </c>
      <c r="K985" s="60">
        <v>7250.15</v>
      </c>
      <c r="L985" s="63" t="s">
        <v>1496</v>
      </c>
      <c r="M985" s="90"/>
      <c r="N985" s="90">
        <v>407</v>
      </c>
    </row>
    <row r="986" spans="2:14" x14ac:dyDescent="0.3">
      <c r="B986" s="171">
        <v>45419</v>
      </c>
      <c r="C986" s="60">
        <v>9682.4</v>
      </c>
      <c r="J986" s="58">
        <v>44510</v>
      </c>
      <c r="K986" s="60">
        <v>7330.25</v>
      </c>
      <c r="L986" s="63" t="s">
        <v>1497</v>
      </c>
      <c r="M986" s="90"/>
      <c r="N986" s="90">
        <v>346</v>
      </c>
    </row>
    <row r="987" spans="2:14" x14ac:dyDescent="0.3">
      <c r="B987" s="171">
        <v>45418</v>
      </c>
      <c r="C987" s="60">
        <v>9776.9</v>
      </c>
      <c r="J987" s="58">
        <v>44418</v>
      </c>
      <c r="K987" s="60">
        <v>7335.75</v>
      </c>
      <c r="L987" s="63" t="s">
        <v>1498</v>
      </c>
      <c r="M987" s="90"/>
      <c r="N987" s="90">
        <v>234</v>
      </c>
    </row>
    <row r="988" spans="2:14" x14ac:dyDescent="0.3">
      <c r="B988" s="171">
        <v>45415</v>
      </c>
      <c r="C988" s="60">
        <v>9816.2999999999993</v>
      </c>
      <c r="J988" s="58">
        <v>44387</v>
      </c>
      <c r="K988" s="60">
        <v>7354.6</v>
      </c>
      <c r="L988" s="63" t="s">
        <v>1499</v>
      </c>
      <c r="M988" s="90"/>
      <c r="N988" s="90">
        <v>583</v>
      </c>
    </row>
    <row r="989" spans="2:14" x14ac:dyDescent="0.3">
      <c r="B989" s="171">
        <v>45414</v>
      </c>
      <c r="C989" s="60">
        <v>9983.4500000000007</v>
      </c>
      <c r="J989" s="58">
        <v>44357</v>
      </c>
      <c r="K989" s="60">
        <v>7363</v>
      </c>
      <c r="L989" s="63" t="s">
        <v>1500</v>
      </c>
      <c r="M989" s="90"/>
      <c r="N989" s="90">
        <v>279</v>
      </c>
    </row>
    <row r="990" spans="2:14" x14ac:dyDescent="0.3">
      <c r="B990" s="171">
        <v>45412</v>
      </c>
      <c r="C990" s="60">
        <v>9971.85</v>
      </c>
      <c r="J990" s="58">
        <v>44326</v>
      </c>
      <c r="K990" s="60">
        <v>7464</v>
      </c>
      <c r="L990" s="63" t="s">
        <v>1501</v>
      </c>
      <c r="M990" s="90"/>
      <c r="N990" s="90">
        <v>229</v>
      </c>
    </row>
    <row r="991" spans="2:14" x14ac:dyDescent="0.3">
      <c r="B991" s="171">
        <v>45411</v>
      </c>
      <c r="C991" s="60">
        <v>9964.4500000000007</v>
      </c>
      <c r="J991" s="58">
        <v>44296</v>
      </c>
      <c r="K991" s="60">
        <v>7515.6</v>
      </c>
      <c r="L991" s="63" t="s">
        <v>1502</v>
      </c>
      <c r="M991" s="90"/>
      <c r="N991" s="90">
        <v>339</v>
      </c>
    </row>
    <row r="992" spans="2:14" x14ac:dyDescent="0.3">
      <c r="B992" s="171">
        <v>45408</v>
      </c>
      <c r="C992" s="60">
        <v>9700.9</v>
      </c>
      <c r="J992" s="58">
        <v>44206</v>
      </c>
      <c r="K992" s="60">
        <v>7483.55</v>
      </c>
      <c r="L992" s="63" t="s">
        <v>1503</v>
      </c>
      <c r="M992" s="90"/>
      <c r="N992" s="90">
        <v>366</v>
      </c>
    </row>
    <row r="993" spans="2:14" x14ac:dyDescent="0.3">
      <c r="B993" s="171">
        <v>45407</v>
      </c>
      <c r="C993" s="60">
        <v>9683.75</v>
      </c>
      <c r="J993" s="58" t="s">
        <v>2319</v>
      </c>
      <c r="K993" s="60">
        <v>7396.1</v>
      </c>
      <c r="L993" s="63" t="s">
        <v>1504</v>
      </c>
      <c r="M993" s="90"/>
      <c r="N993" s="90">
        <v>422</v>
      </c>
    </row>
    <row r="994" spans="2:14" x14ac:dyDescent="0.3">
      <c r="B994" s="171">
        <v>45406</v>
      </c>
      <c r="C994" s="60">
        <v>9658.85</v>
      </c>
      <c r="J994" s="58" t="s">
        <v>2320</v>
      </c>
      <c r="K994" s="60">
        <v>7464.55</v>
      </c>
      <c r="L994" s="63" t="s">
        <v>1505</v>
      </c>
      <c r="M994" s="90"/>
      <c r="N994" s="90">
        <v>490</v>
      </c>
    </row>
    <row r="995" spans="2:14" x14ac:dyDescent="0.3">
      <c r="B995" s="171">
        <v>45405</v>
      </c>
      <c r="C995" s="60">
        <v>9533.5499999999993</v>
      </c>
      <c r="J995" s="58" t="s">
        <v>2321</v>
      </c>
      <c r="K995" s="60">
        <v>7588.3</v>
      </c>
      <c r="L995" s="63" t="s">
        <v>1506</v>
      </c>
      <c r="M995" s="90"/>
      <c r="N995" s="90">
        <v>403</v>
      </c>
    </row>
    <row r="996" spans="2:14" x14ac:dyDescent="0.3">
      <c r="B996" s="171">
        <v>45404</v>
      </c>
      <c r="C996" s="60">
        <v>9565.25</v>
      </c>
      <c r="J996" s="58" t="s">
        <v>2322</v>
      </c>
      <c r="K996" s="60">
        <v>7622.9</v>
      </c>
      <c r="L996" s="63" t="s">
        <v>1507</v>
      </c>
      <c r="M996" s="90"/>
      <c r="N996" s="90">
        <v>261</v>
      </c>
    </row>
    <row r="997" spans="2:14" x14ac:dyDescent="0.3">
      <c r="B997" s="171">
        <v>45401</v>
      </c>
      <c r="C997" s="60">
        <v>9363.9500000000007</v>
      </c>
      <c r="J997" s="58" t="s">
        <v>2323</v>
      </c>
      <c r="K997" s="60">
        <v>7521.5</v>
      </c>
      <c r="L997" s="63" t="s">
        <v>1508</v>
      </c>
      <c r="M997" s="90"/>
      <c r="N997" s="90">
        <v>341</v>
      </c>
    </row>
    <row r="998" spans="2:14" x14ac:dyDescent="0.3">
      <c r="B998" s="171">
        <v>45400</v>
      </c>
      <c r="C998" s="60">
        <v>9382.75</v>
      </c>
      <c r="J998" s="58" t="s">
        <v>2324</v>
      </c>
      <c r="K998" s="60">
        <v>7619.7</v>
      </c>
      <c r="L998" s="63" t="s">
        <v>1509</v>
      </c>
      <c r="M998" s="90"/>
      <c r="N998" s="90">
        <v>201</v>
      </c>
    </row>
    <row r="999" spans="2:14" x14ac:dyDescent="0.3">
      <c r="B999" s="171">
        <v>45398</v>
      </c>
      <c r="C999" s="60">
        <v>9463.7999999999993</v>
      </c>
      <c r="J999" s="58" t="s">
        <v>2325</v>
      </c>
      <c r="K999" s="60">
        <v>7625.6</v>
      </c>
      <c r="L999" s="63" t="s">
        <v>1510</v>
      </c>
      <c r="M999" s="90"/>
      <c r="N999" s="90">
        <v>206</v>
      </c>
    </row>
    <row r="1000" spans="2:14" x14ac:dyDescent="0.3">
      <c r="B1000" s="171">
        <v>45397</v>
      </c>
      <c r="C1000" s="60">
        <v>9506.25</v>
      </c>
      <c r="J1000" s="58" t="s">
        <v>2326</v>
      </c>
      <c r="K1000" s="60">
        <v>7592.7</v>
      </c>
      <c r="L1000" s="63" t="s">
        <v>1511</v>
      </c>
      <c r="M1000" s="90"/>
      <c r="N1000" s="90">
        <v>214</v>
      </c>
    </row>
    <row r="1001" spans="2:14" x14ac:dyDescent="0.3">
      <c r="B1001" s="171">
        <v>45394</v>
      </c>
      <c r="C1001" s="60">
        <v>9652.5499999999993</v>
      </c>
      <c r="J1001" s="58" t="s">
        <v>2327</v>
      </c>
      <c r="K1001" s="60">
        <v>7576</v>
      </c>
      <c r="L1001" s="63" t="s">
        <v>1512</v>
      </c>
      <c r="M1001" s="90"/>
      <c r="N1001" s="90">
        <v>291</v>
      </c>
    </row>
    <row r="1002" spans="2:14" x14ac:dyDescent="0.3">
      <c r="B1002" s="171">
        <v>45392</v>
      </c>
      <c r="C1002" s="60">
        <v>9817.85</v>
      </c>
      <c r="J1002" s="58" t="s">
        <v>2328</v>
      </c>
      <c r="K1002" s="60">
        <v>7711.85</v>
      </c>
      <c r="L1002" s="63" t="s">
        <v>1513</v>
      </c>
      <c r="M1002" s="90"/>
      <c r="N1002" s="90">
        <v>503</v>
      </c>
    </row>
    <row r="1003" spans="2:14" x14ac:dyDescent="0.3">
      <c r="B1003" s="171">
        <v>45391</v>
      </c>
      <c r="C1003" s="60">
        <v>9769.15</v>
      </c>
      <c r="J1003" s="58" t="s">
        <v>2329</v>
      </c>
      <c r="K1003" s="60">
        <v>7765.45</v>
      </c>
      <c r="L1003" s="63" t="s">
        <v>1514</v>
      </c>
      <c r="M1003" s="90"/>
      <c r="N1003" s="90">
        <v>216</v>
      </c>
    </row>
    <row r="1004" spans="2:14" x14ac:dyDescent="0.3">
      <c r="B1004" s="171">
        <v>45390</v>
      </c>
      <c r="C1004" s="60">
        <v>9863.75</v>
      </c>
      <c r="J1004" s="58" t="s">
        <v>2330</v>
      </c>
      <c r="K1004" s="60">
        <v>7820.85</v>
      </c>
      <c r="L1004" s="63" t="s">
        <v>1515</v>
      </c>
      <c r="M1004" s="90"/>
      <c r="N1004" s="90">
        <v>235</v>
      </c>
    </row>
    <row r="1005" spans="2:14" x14ac:dyDescent="0.3">
      <c r="B1005" s="171">
        <v>45387</v>
      </c>
      <c r="C1005" s="60">
        <v>9823.6</v>
      </c>
      <c r="J1005" s="58" t="s">
        <v>2331</v>
      </c>
      <c r="K1005" s="60">
        <v>7856.45</v>
      </c>
      <c r="L1005" s="63" t="s">
        <v>1516</v>
      </c>
      <c r="M1005" s="90"/>
      <c r="N1005" s="90">
        <v>168</v>
      </c>
    </row>
    <row r="1006" spans="2:14" x14ac:dyDescent="0.3">
      <c r="B1006" s="171">
        <v>45386</v>
      </c>
      <c r="C1006" s="60">
        <v>10005.1</v>
      </c>
      <c r="J1006" s="58" t="s">
        <v>2332</v>
      </c>
      <c r="K1006" s="60">
        <v>7944.45</v>
      </c>
      <c r="L1006" s="63" t="s">
        <v>1517</v>
      </c>
      <c r="M1006" s="90"/>
      <c r="N1006" s="90">
        <v>187</v>
      </c>
    </row>
    <row r="1007" spans="2:14" x14ac:dyDescent="0.3">
      <c r="B1007" s="171">
        <v>45385</v>
      </c>
      <c r="C1007" s="60">
        <v>10001.9</v>
      </c>
      <c r="J1007" s="58">
        <v>44448</v>
      </c>
      <c r="K1007" s="60">
        <v>7939.65</v>
      </c>
      <c r="L1007" s="63" t="s">
        <v>1518</v>
      </c>
      <c r="M1007" s="90"/>
      <c r="N1007" s="90">
        <v>159</v>
      </c>
    </row>
    <row r="1008" spans="2:14" x14ac:dyDescent="0.3">
      <c r="B1008" s="171">
        <v>45384</v>
      </c>
      <c r="C1008" s="60">
        <v>10038.15</v>
      </c>
      <c r="J1008" s="58">
        <v>44417</v>
      </c>
      <c r="K1008" s="60">
        <v>7992.9</v>
      </c>
      <c r="L1008" s="63" t="s">
        <v>1519</v>
      </c>
      <c r="M1008" s="90"/>
      <c r="N1008" s="90">
        <v>198</v>
      </c>
    </row>
    <row r="1009" spans="2:14" x14ac:dyDescent="0.3">
      <c r="B1009" s="171">
        <v>45383</v>
      </c>
      <c r="C1009" s="60">
        <v>9954.4</v>
      </c>
      <c r="J1009" s="58">
        <v>44386</v>
      </c>
      <c r="K1009" s="60">
        <v>8026.25</v>
      </c>
      <c r="L1009" s="63" t="s">
        <v>1520</v>
      </c>
      <c r="M1009" s="90"/>
      <c r="N1009" s="90">
        <v>240</v>
      </c>
    </row>
    <row r="1010" spans="2:14" x14ac:dyDescent="0.3">
      <c r="B1010" s="171">
        <v>45379</v>
      </c>
      <c r="C1010" s="60">
        <v>9749.15</v>
      </c>
      <c r="J1010" s="58">
        <v>44356</v>
      </c>
      <c r="K1010" s="60">
        <v>7952.6</v>
      </c>
      <c r="L1010" s="63" t="s">
        <v>1521</v>
      </c>
      <c r="M1010" s="90"/>
      <c r="N1010" s="90">
        <v>212</v>
      </c>
    </row>
    <row r="1011" spans="2:14" x14ac:dyDescent="0.3">
      <c r="B1011" s="171">
        <v>45378</v>
      </c>
      <c r="C1011" s="60">
        <v>9623.4500000000007</v>
      </c>
      <c r="J1011" s="58">
        <v>44264</v>
      </c>
      <c r="K1011" s="60">
        <v>7929.85</v>
      </c>
      <c r="L1011" s="63" t="s">
        <v>1522</v>
      </c>
      <c r="M1011" s="90"/>
      <c r="N1011" s="90">
        <v>198</v>
      </c>
    </row>
    <row r="1012" spans="2:14" x14ac:dyDescent="0.3">
      <c r="B1012" s="171">
        <v>45377</v>
      </c>
      <c r="C1012" s="60">
        <v>9600.7000000000007</v>
      </c>
      <c r="J1012" s="58">
        <v>44236</v>
      </c>
      <c r="K1012" s="60">
        <v>7952.75</v>
      </c>
      <c r="L1012" s="63" t="s">
        <v>1523</v>
      </c>
      <c r="M1012" s="90"/>
      <c r="N1012" s="90">
        <v>393</v>
      </c>
    </row>
    <row r="1013" spans="2:14" x14ac:dyDescent="0.3">
      <c r="B1013" s="171">
        <v>45373</v>
      </c>
      <c r="C1013" s="60">
        <v>9681.75</v>
      </c>
      <c r="J1013" s="58">
        <v>44205</v>
      </c>
      <c r="K1013" s="60">
        <v>7766.95</v>
      </c>
      <c r="L1013" s="63" t="s">
        <v>1524</v>
      </c>
      <c r="M1013" s="90"/>
      <c r="N1013" s="90">
        <v>352</v>
      </c>
    </row>
    <row r="1014" spans="2:14" x14ac:dyDescent="0.3">
      <c r="B1014" s="171">
        <v>45372</v>
      </c>
      <c r="C1014" s="60">
        <v>9600.75</v>
      </c>
      <c r="J1014" s="58" t="s">
        <v>2333</v>
      </c>
      <c r="K1014" s="60">
        <v>7832.45</v>
      </c>
      <c r="L1014" s="63" t="s">
        <v>1525</v>
      </c>
      <c r="M1014" s="90"/>
      <c r="N1014" s="90">
        <v>475</v>
      </c>
    </row>
    <row r="1015" spans="2:14" x14ac:dyDescent="0.3">
      <c r="B1015" s="171">
        <v>45371</v>
      </c>
      <c r="C1015" s="60">
        <v>9484.5499999999993</v>
      </c>
      <c r="J1015" s="58" t="s">
        <v>2334</v>
      </c>
      <c r="K1015" s="60">
        <v>7703.8</v>
      </c>
      <c r="L1015" s="63" t="s">
        <v>1526</v>
      </c>
      <c r="M1015" s="90"/>
      <c r="N1015" s="90">
        <v>319</v>
      </c>
    </row>
    <row r="1016" spans="2:14" x14ac:dyDescent="0.3">
      <c r="B1016" s="171">
        <v>45370</v>
      </c>
      <c r="C1016" s="60">
        <v>9453.25</v>
      </c>
      <c r="J1016" s="58" t="s">
        <v>2335</v>
      </c>
      <c r="K1016" s="60">
        <v>7565.6</v>
      </c>
      <c r="L1016" s="63" t="s">
        <v>1527</v>
      </c>
      <c r="M1016" s="90"/>
      <c r="N1016" s="90">
        <v>497</v>
      </c>
    </row>
    <row r="1017" spans="2:14" x14ac:dyDescent="0.3">
      <c r="B1017" s="171">
        <v>45369</v>
      </c>
      <c r="C1017" s="60">
        <v>9611.35</v>
      </c>
      <c r="J1017" s="58" t="s">
        <v>2336</v>
      </c>
      <c r="K1017" s="60">
        <v>7307.1</v>
      </c>
      <c r="L1017" s="63" t="s">
        <v>1528</v>
      </c>
      <c r="M1017" s="90"/>
      <c r="N1017" s="90">
        <v>183</v>
      </c>
    </row>
    <row r="1018" spans="2:14" x14ac:dyDescent="0.3">
      <c r="B1018" s="171">
        <v>45366</v>
      </c>
      <c r="C1018" s="60">
        <v>9632.9500000000007</v>
      </c>
      <c r="J1018" s="58" t="s">
        <v>2337</v>
      </c>
      <c r="K1018" s="60">
        <v>7382.35</v>
      </c>
      <c r="L1018" s="63" t="s">
        <v>1529</v>
      </c>
      <c r="M1018" s="90"/>
      <c r="N1018" s="90">
        <v>146</v>
      </c>
    </row>
    <row r="1019" spans="2:14" x14ac:dyDescent="0.3">
      <c r="B1019" s="171">
        <v>45365</v>
      </c>
      <c r="C1019" s="60">
        <v>9696.9500000000007</v>
      </c>
      <c r="J1019" s="58" t="s">
        <v>2338</v>
      </c>
      <c r="K1019" s="60">
        <v>7455.35</v>
      </c>
      <c r="L1019" s="63" t="s">
        <v>1530</v>
      </c>
      <c r="M1019" s="90"/>
      <c r="N1019" s="90">
        <v>174</v>
      </c>
    </row>
    <row r="1020" spans="2:14" x14ac:dyDescent="0.3">
      <c r="B1020" s="171">
        <v>45364</v>
      </c>
      <c r="C1020" s="60">
        <v>9593.5499999999993</v>
      </c>
      <c r="J1020" s="58" t="s">
        <v>2339</v>
      </c>
      <c r="K1020" s="60">
        <v>7351</v>
      </c>
      <c r="L1020" s="63" t="s">
        <v>1531</v>
      </c>
      <c r="M1020" s="90"/>
      <c r="N1020" s="90">
        <v>310</v>
      </c>
    </row>
    <row r="1021" spans="2:14" x14ac:dyDescent="0.3">
      <c r="B1021" s="171">
        <v>45363</v>
      </c>
      <c r="C1021" s="60">
        <v>9615.5</v>
      </c>
      <c r="J1021" s="58" t="s">
        <v>2340</v>
      </c>
      <c r="K1021" s="60">
        <v>7493.35</v>
      </c>
      <c r="L1021" s="63" t="s">
        <v>1532</v>
      </c>
      <c r="M1021" s="90"/>
      <c r="N1021" s="90">
        <v>358</v>
      </c>
    </row>
    <row r="1022" spans="2:14" x14ac:dyDescent="0.3">
      <c r="B1022" s="171">
        <v>45362</v>
      </c>
      <c r="C1022" s="60">
        <v>9697.9</v>
      </c>
      <c r="J1022" s="58" t="s">
        <v>2341</v>
      </c>
      <c r="K1022" s="60">
        <v>7601.45</v>
      </c>
      <c r="L1022" s="63" t="s">
        <v>1533</v>
      </c>
      <c r="M1022" s="90"/>
      <c r="N1022" s="90">
        <v>724</v>
      </c>
    </row>
    <row r="1023" spans="2:14" x14ac:dyDescent="0.3">
      <c r="B1023" s="171">
        <v>45358</v>
      </c>
      <c r="C1023" s="60">
        <v>9673.15</v>
      </c>
      <c r="J1023" s="58" t="s">
        <v>2342</v>
      </c>
      <c r="K1023" s="60">
        <v>7409.05</v>
      </c>
      <c r="L1023" s="63" t="s">
        <v>1534</v>
      </c>
      <c r="M1023" s="90"/>
      <c r="N1023" s="90">
        <v>204</v>
      </c>
    </row>
    <row r="1024" spans="2:14" x14ac:dyDescent="0.3">
      <c r="B1024" s="171">
        <v>45357</v>
      </c>
      <c r="C1024" s="60">
        <v>9641.0499999999993</v>
      </c>
      <c r="J1024" s="58" t="s">
        <v>2343</v>
      </c>
      <c r="K1024" s="60">
        <v>7346.65</v>
      </c>
      <c r="L1024" s="63" t="s">
        <v>1535</v>
      </c>
      <c r="M1024" s="90"/>
      <c r="N1024" s="90">
        <v>191</v>
      </c>
    </row>
    <row r="1025" spans="2:14" x14ac:dyDescent="0.3">
      <c r="B1025" s="171">
        <v>45356</v>
      </c>
      <c r="C1025" s="60">
        <v>9838.35</v>
      </c>
      <c r="J1025" s="58" t="s">
        <v>2344</v>
      </c>
      <c r="K1025" s="60">
        <v>7460.7</v>
      </c>
      <c r="L1025" s="63" t="s">
        <v>1536</v>
      </c>
      <c r="M1025" s="90"/>
      <c r="N1025" s="90">
        <v>207</v>
      </c>
    </row>
    <row r="1026" spans="2:14" x14ac:dyDescent="0.3">
      <c r="B1026" s="171">
        <v>45355</v>
      </c>
      <c r="C1026" s="60">
        <v>9978.4</v>
      </c>
      <c r="J1026" s="58">
        <v>44538</v>
      </c>
      <c r="K1026" s="60">
        <v>7468.7</v>
      </c>
      <c r="L1026" s="63" t="s">
        <v>1537</v>
      </c>
      <c r="M1026" s="90"/>
      <c r="N1026" s="90">
        <v>206</v>
      </c>
    </row>
    <row r="1027" spans="2:14" x14ac:dyDescent="0.3">
      <c r="B1027" s="171">
        <v>45353</v>
      </c>
      <c r="C1027" s="60">
        <v>10106.35</v>
      </c>
      <c r="J1027" s="58">
        <v>44508</v>
      </c>
      <c r="K1027" s="60">
        <v>7452.45</v>
      </c>
      <c r="L1027" s="63" t="s">
        <v>1538</v>
      </c>
      <c r="M1027" s="90"/>
      <c r="N1027" s="90">
        <v>129</v>
      </c>
    </row>
    <row r="1028" spans="2:14" x14ac:dyDescent="0.3">
      <c r="B1028" s="171">
        <v>45352</v>
      </c>
      <c r="C1028" s="60">
        <v>10135.5</v>
      </c>
      <c r="J1028" s="58">
        <v>44477</v>
      </c>
      <c r="K1028" s="60">
        <v>7474.15</v>
      </c>
      <c r="L1028" s="63" t="s">
        <v>1539</v>
      </c>
      <c r="M1028" s="90"/>
      <c r="N1028" s="90">
        <v>164</v>
      </c>
    </row>
    <row r="1029" spans="2:14" x14ac:dyDescent="0.3">
      <c r="B1029" s="171">
        <v>45351</v>
      </c>
      <c r="C1029" s="60">
        <v>9892.4</v>
      </c>
      <c r="J1029" s="58">
        <v>44447</v>
      </c>
      <c r="K1029" s="60">
        <v>7495.65</v>
      </c>
      <c r="L1029" s="63" t="s">
        <v>1540</v>
      </c>
      <c r="M1029" s="90"/>
      <c r="N1029" s="90">
        <v>236</v>
      </c>
    </row>
    <row r="1030" spans="2:14" x14ac:dyDescent="0.3">
      <c r="B1030" s="171">
        <v>45350</v>
      </c>
      <c r="C1030" s="60">
        <v>9804.9500000000007</v>
      </c>
      <c r="J1030" s="58">
        <v>44355</v>
      </c>
      <c r="K1030" s="60">
        <v>7527.65</v>
      </c>
      <c r="L1030" s="63" t="s">
        <v>1541</v>
      </c>
      <c r="M1030" s="90"/>
      <c r="N1030" s="90">
        <v>250</v>
      </c>
    </row>
    <row r="1031" spans="2:14" x14ac:dyDescent="0.3">
      <c r="B1031" s="171">
        <v>45349</v>
      </c>
      <c r="C1031" s="60">
        <v>9951.1</v>
      </c>
      <c r="J1031" s="58">
        <v>44324</v>
      </c>
      <c r="K1031" s="60">
        <v>7659</v>
      </c>
      <c r="L1031" s="63" t="s">
        <v>1542</v>
      </c>
      <c r="M1031" s="90"/>
      <c r="N1031" s="90">
        <v>173</v>
      </c>
    </row>
    <row r="1032" spans="2:14" x14ac:dyDescent="0.3">
      <c r="B1032" s="171">
        <v>45348</v>
      </c>
      <c r="C1032" s="60">
        <v>9930.0499999999993</v>
      </c>
      <c r="J1032" s="58">
        <v>44294</v>
      </c>
      <c r="K1032" s="60">
        <v>7750</v>
      </c>
      <c r="L1032" s="63" t="s">
        <v>1543</v>
      </c>
      <c r="M1032" s="90"/>
      <c r="N1032" s="90">
        <v>258</v>
      </c>
    </row>
    <row r="1033" spans="2:14" x14ac:dyDescent="0.3">
      <c r="B1033" s="171">
        <v>45345</v>
      </c>
      <c r="C1033" s="60">
        <v>10000.9</v>
      </c>
      <c r="J1033" s="58">
        <v>44263</v>
      </c>
      <c r="K1033" s="60">
        <v>7843.25</v>
      </c>
      <c r="L1033" s="63" t="s">
        <v>1544</v>
      </c>
      <c r="M1033" s="90"/>
      <c r="N1033" s="90">
        <v>385</v>
      </c>
    </row>
    <row r="1034" spans="2:14" x14ac:dyDescent="0.3">
      <c r="B1034" s="171">
        <v>45344</v>
      </c>
      <c r="C1034" s="60">
        <v>9961.2000000000007</v>
      </c>
      <c r="J1034" s="58">
        <v>44235</v>
      </c>
      <c r="K1034" s="60">
        <v>7642.05</v>
      </c>
      <c r="L1034" s="63" t="s">
        <v>1545</v>
      </c>
      <c r="M1034" s="90"/>
      <c r="N1034" s="90">
        <v>202</v>
      </c>
    </row>
    <row r="1035" spans="2:14" x14ac:dyDescent="0.3">
      <c r="B1035" s="171">
        <v>45343</v>
      </c>
      <c r="C1035" s="60">
        <v>9968.4</v>
      </c>
      <c r="J1035" s="58" t="s">
        <v>2345</v>
      </c>
      <c r="K1035" s="60">
        <v>7619.2</v>
      </c>
      <c r="L1035" s="63" t="s">
        <v>1546</v>
      </c>
      <c r="M1035" s="90"/>
      <c r="N1035" s="90">
        <v>245</v>
      </c>
    </row>
    <row r="1036" spans="2:14" x14ac:dyDescent="0.3">
      <c r="B1036" s="171">
        <v>45342</v>
      </c>
      <c r="C1036" s="60">
        <v>9978.9500000000007</v>
      </c>
      <c r="J1036" s="58" t="s">
        <v>2346</v>
      </c>
      <c r="K1036" s="60">
        <v>7700.45</v>
      </c>
      <c r="L1036" s="63" t="s">
        <v>1547</v>
      </c>
      <c r="M1036" s="90"/>
      <c r="N1036" s="90">
        <v>227</v>
      </c>
    </row>
    <row r="1037" spans="2:14" x14ac:dyDescent="0.3">
      <c r="B1037" s="171">
        <v>45341</v>
      </c>
      <c r="C1037" s="60">
        <v>9902.2000000000007</v>
      </c>
      <c r="J1037" s="58" t="s">
        <v>2347</v>
      </c>
      <c r="K1037" s="60">
        <v>7654.65</v>
      </c>
      <c r="L1037" s="63" t="s">
        <v>1548</v>
      </c>
      <c r="M1037" s="90"/>
      <c r="N1037" s="90">
        <v>289</v>
      </c>
    </row>
    <row r="1038" spans="2:14" x14ac:dyDescent="0.3">
      <c r="B1038" s="171">
        <v>45338</v>
      </c>
      <c r="C1038" s="60">
        <v>9916.2000000000007</v>
      </c>
      <c r="J1038" s="58" t="s">
        <v>2348</v>
      </c>
      <c r="K1038" s="60">
        <v>7596.25</v>
      </c>
      <c r="L1038" s="63" t="s">
        <v>1549</v>
      </c>
      <c r="M1038" s="90"/>
      <c r="N1038" s="90">
        <v>297</v>
      </c>
    </row>
    <row r="1039" spans="2:14" x14ac:dyDescent="0.3">
      <c r="B1039" s="171">
        <v>45337</v>
      </c>
      <c r="C1039" s="60">
        <v>9814.2999999999993</v>
      </c>
      <c r="J1039" s="58" t="s">
        <v>2349</v>
      </c>
      <c r="K1039" s="60">
        <v>7616.7</v>
      </c>
      <c r="L1039" s="63" t="s">
        <v>1550</v>
      </c>
      <c r="M1039" s="90"/>
      <c r="N1039" s="90">
        <v>369</v>
      </c>
    </row>
    <row r="1040" spans="2:14" x14ac:dyDescent="0.3">
      <c r="B1040" s="171">
        <v>45336</v>
      </c>
      <c r="C1040" s="60">
        <v>9787.7999999999993</v>
      </c>
      <c r="J1040" s="58" t="s">
        <v>2350</v>
      </c>
      <c r="K1040" s="60">
        <v>7490.3</v>
      </c>
      <c r="L1040" s="63" t="s">
        <v>1551</v>
      </c>
      <c r="M1040" s="90"/>
      <c r="N1040" s="90">
        <v>813</v>
      </c>
    </row>
    <row r="1041" spans="2:14" x14ac:dyDescent="0.3">
      <c r="B1041" s="171">
        <v>45335</v>
      </c>
      <c r="C1041" s="60">
        <v>9852.4</v>
      </c>
      <c r="J1041" s="58" t="s">
        <v>2351</v>
      </c>
      <c r="K1041" s="60">
        <v>7459</v>
      </c>
      <c r="L1041" s="63">
        <v>1000</v>
      </c>
      <c r="M1041" s="90"/>
      <c r="N1041" s="90">
        <v>1000</v>
      </c>
    </row>
    <row r="1042" spans="2:14" x14ac:dyDescent="0.3">
      <c r="B1042" s="171">
        <v>45334</v>
      </c>
      <c r="C1042" s="60">
        <v>9963.85</v>
      </c>
      <c r="J1042" s="58" t="s">
        <v>2352</v>
      </c>
      <c r="K1042" s="60">
        <v>7424.7</v>
      </c>
      <c r="L1042" s="63" t="s">
        <v>1552</v>
      </c>
      <c r="M1042" s="90"/>
      <c r="N1042" s="90">
        <v>953</v>
      </c>
    </row>
    <row r="1043" spans="2:14" x14ac:dyDescent="0.3">
      <c r="B1043" s="171">
        <v>45331</v>
      </c>
      <c r="C1043" s="60">
        <v>9945.75</v>
      </c>
      <c r="J1043" s="58" t="s">
        <v>2353</v>
      </c>
      <c r="K1043" s="60">
        <v>7312.35</v>
      </c>
      <c r="L1043" s="63" t="s">
        <v>1553</v>
      </c>
      <c r="M1043" s="90"/>
      <c r="N1043" s="90">
        <v>365</v>
      </c>
    </row>
    <row r="1044" spans="2:14" x14ac:dyDescent="0.3">
      <c r="B1044" s="171">
        <v>45330</v>
      </c>
      <c r="C1044" s="60">
        <v>9997.65</v>
      </c>
      <c r="J1044" s="58" t="s">
        <v>2354</v>
      </c>
      <c r="K1044" s="60">
        <v>7334.55</v>
      </c>
      <c r="L1044" s="63" t="s">
        <v>1554</v>
      </c>
      <c r="M1044" s="90"/>
      <c r="N1044" s="90">
        <v>436</v>
      </c>
    </row>
    <row r="1045" spans="2:14" x14ac:dyDescent="0.3">
      <c r="B1045" s="171">
        <v>45329</v>
      </c>
      <c r="C1045" s="60">
        <v>10226.5</v>
      </c>
      <c r="J1045" s="58" t="s">
        <v>2355</v>
      </c>
      <c r="K1045" s="60">
        <v>7189.65</v>
      </c>
      <c r="L1045" s="63" t="s">
        <v>1555</v>
      </c>
      <c r="M1045" s="90"/>
      <c r="N1045" s="90">
        <v>292</v>
      </c>
    </row>
    <row r="1046" spans="2:14" x14ac:dyDescent="0.3">
      <c r="B1046" s="171">
        <v>45328</v>
      </c>
      <c r="C1046" s="60">
        <v>10048.75</v>
      </c>
      <c r="J1046" s="58" t="s">
        <v>2356</v>
      </c>
      <c r="K1046" s="60">
        <v>7118.05</v>
      </c>
      <c r="L1046" s="63" t="s">
        <v>1556</v>
      </c>
      <c r="M1046" s="90"/>
      <c r="N1046" s="90">
        <v>379</v>
      </c>
    </row>
    <row r="1047" spans="2:14" x14ac:dyDescent="0.3">
      <c r="B1047" s="171">
        <v>45327</v>
      </c>
      <c r="C1047" s="60">
        <v>9916.35</v>
      </c>
      <c r="J1047" s="58" t="s">
        <v>2357</v>
      </c>
      <c r="K1047" s="60">
        <v>7128.85</v>
      </c>
      <c r="L1047" s="63" t="s">
        <v>1557</v>
      </c>
      <c r="M1047" s="90"/>
      <c r="N1047" s="90">
        <v>372</v>
      </c>
    </row>
    <row r="1048" spans="2:14" x14ac:dyDescent="0.3">
      <c r="B1048" s="171">
        <v>45324</v>
      </c>
      <c r="C1048" s="60">
        <v>10098.549999999999</v>
      </c>
      <c r="J1048" s="58">
        <v>44537</v>
      </c>
      <c r="K1048" s="60">
        <v>7093.75</v>
      </c>
      <c r="L1048" s="63" t="s">
        <v>1558</v>
      </c>
      <c r="M1048" s="90"/>
      <c r="N1048" s="90">
        <v>610</v>
      </c>
    </row>
    <row r="1049" spans="2:14" x14ac:dyDescent="0.3">
      <c r="B1049" s="171">
        <v>45323</v>
      </c>
      <c r="C1049" s="60">
        <v>9922.2999999999993</v>
      </c>
      <c r="J1049" s="58">
        <v>44446</v>
      </c>
      <c r="K1049" s="60">
        <v>6899.55</v>
      </c>
      <c r="L1049" s="63" t="s">
        <v>1559</v>
      </c>
      <c r="M1049" s="90"/>
      <c r="N1049" s="90">
        <v>170</v>
      </c>
    </row>
    <row r="1050" spans="2:14" x14ac:dyDescent="0.3">
      <c r="B1050" s="171">
        <v>45322</v>
      </c>
      <c r="C1050" s="60">
        <v>10167.35</v>
      </c>
      <c r="J1050" s="58">
        <v>44415</v>
      </c>
      <c r="K1050" s="60">
        <v>6901.9</v>
      </c>
      <c r="L1050" s="63" t="s">
        <v>1560</v>
      </c>
      <c r="M1050" s="90"/>
      <c r="N1050" s="90">
        <v>365</v>
      </c>
    </row>
    <row r="1051" spans="2:14" x14ac:dyDescent="0.3">
      <c r="B1051" s="171">
        <v>45321</v>
      </c>
      <c r="C1051" s="60">
        <v>9963.6</v>
      </c>
      <c r="J1051" s="58">
        <v>44384</v>
      </c>
      <c r="K1051" s="60">
        <v>6925.1</v>
      </c>
      <c r="L1051" s="63" t="s">
        <v>1561</v>
      </c>
      <c r="M1051" s="90"/>
      <c r="N1051" s="90">
        <v>382</v>
      </c>
    </row>
    <row r="1052" spans="2:14" x14ac:dyDescent="0.3">
      <c r="B1052" s="171">
        <v>45320</v>
      </c>
      <c r="C1052" s="60">
        <v>10274.049999999999</v>
      </c>
      <c r="J1052" s="58">
        <v>44354</v>
      </c>
      <c r="K1052" s="60">
        <v>6933.05</v>
      </c>
      <c r="L1052" s="63" t="s">
        <v>1562</v>
      </c>
      <c r="M1052" s="90"/>
      <c r="N1052" s="90">
        <v>681</v>
      </c>
    </row>
    <row r="1053" spans="2:14" x14ac:dyDescent="0.3">
      <c r="B1053" s="171">
        <v>45316</v>
      </c>
      <c r="C1053" s="60">
        <v>9969.35</v>
      </c>
      <c r="J1053" s="58">
        <v>44323</v>
      </c>
      <c r="K1053" s="60">
        <v>6719.85</v>
      </c>
      <c r="L1053" s="63" t="s">
        <v>1563</v>
      </c>
      <c r="M1053" s="90"/>
      <c r="N1053" s="90">
        <v>134</v>
      </c>
    </row>
    <row r="1054" spans="2:14" x14ac:dyDescent="0.3">
      <c r="B1054" s="171">
        <v>45315</v>
      </c>
      <c r="C1054" s="60">
        <v>9990.5</v>
      </c>
      <c r="J1054" s="58">
        <v>44234</v>
      </c>
      <c r="K1054" s="60">
        <v>6719.9</v>
      </c>
      <c r="L1054" s="63" t="s">
        <v>1564</v>
      </c>
      <c r="M1054" s="90"/>
      <c r="N1054" s="90">
        <v>256</v>
      </c>
    </row>
    <row r="1055" spans="2:14" x14ac:dyDescent="0.3">
      <c r="B1055" s="171">
        <v>45314</v>
      </c>
      <c r="C1055" s="60">
        <v>9831</v>
      </c>
      <c r="J1055" s="58">
        <v>44203</v>
      </c>
      <c r="K1055" s="60">
        <v>6707.25</v>
      </c>
      <c r="L1055" s="63" t="s">
        <v>1565</v>
      </c>
      <c r="M1055" s="90"/>
      <c r="N1055" s="90">
        <v>274</v>
      </c>
    </row>
    <row r="1056" spans="2:14" x14ac:dyDescent="0.3">
      <c r="B1056" s="171">
        <v>45311</v>
      </c>
      <c r="C1056" s="60">
        <v>9997.4</v>
      </c>
      <c r="J1056" s="58" t="s">
        <v>2358</v>
      </c>
      <c r="K1056" s="60">
        <v>6776</v>
      </c>
      <c r="L1056" s="63" t="s">
        <v>1566</v>
      </c>
      <c r="M1056" s="90"/>
      <c r="N1056" s="90">
        <v>283</v>
      </c>
    </row>
    <row r="1057" spans="2:14" x14ac:dyDescent="0.3">
      <c r="B1057" s="171">
        <v>45310</v>
      </c>
      <c r="C1057" s="60">
        <v>10093.700000000001</v>
      </c>
      <c r="J1057" s="58" t="s">
        <v>2359</v>
      </c>
      <c r="K1057" s="60">
        <v>6824.7</v>
      </c>
      <c r="L1057" s="63" t="s">
        <v>1515</v>
      </c>
      <c r="M1057" s="90"/>
      <c r="N1057" s="90">
        <v>235</v>
      </c>
    </row>
    <row r="1058" spans="2:14" x14ac:dyDescent="0.3">
      <c r="B1058" s="171">
        <v>45309</v>
      </c>
      <c r="C1058" s="60">
        <v>9892.25</v>
      </c>
      <c r="J1058" s="58" t="s">
        <v>2360</v>
      </c>
      <c r="K1058" s="60">
        <v>6869.45</v>
      </c>
      <c r="L1058" s="63" t="s">
        <v>1567</v>
      </c>
      <c r="M1058" s="90"/>
      <c r="N1058" s="90">
        <v>127</v>
      </c>
    </row>
    <row r="1059" spans="2:14" x14ac:dyDescent="0.3">
      <c r="B1059" s="171">
        <v>45308</v>
      </c>
      <c r="C1059" s="60">
        <v>9854.65</v>
      </c>
      <c r="J1059" s="58" t="s">
        <v>2361</v>
      </c>
      <c r="K1059" s="60">
        <v>6923</v>
      </c>
      <c r="L1059" s="63" t="s">
        <v>1568</v>
      </c>
      <c r="M1059" s="90"/>
      <c r="N1059" s="90">
        <v>183</v>
      </c>
    </row>
    <row r="1060" spans="2:14" x14ac:dyDescent="0.3">
      <c r="B1060" s="171">
        <v>45307</v>
      </c>
      <c r="C1060" s="60">
        <v>9969.6</v>
      </c>
      <c r="J1060" s="58" t="s">
        <v>2362</v>
      </c>
      <c r="K1060" s="60">
        <v>6961.95</v>
      </c>
      <c r="L1060" s="63" t="s">
        <v>1569</v>
      </c>
      <c r="M1060" s="90"/>
      <c r="N1060" s="90">
        <v>278</v>
      </c>
    </row>
    <row r="1061" spans="2:14" x14ac:dyDescent="0.3">
      <c r="B1061" s="171">
        <v>45306</v>
      </c>
      <c r="C1061" s="60">
        <v>9954.5499999999993</v>
      </c>
      <c r="J1061" s="58" t="s">
        <v>2363</v>
      </c>
      <c r="K1061" s="60">
        <v>6903.35</v>
      </c>
      <c r="L1061" s="63" t="s">
        <v>1570</v>
      </c>
      <c r="M1061" s="90"/>
      <c r="N1061" s="90">
        <v>438</v>
      </c>
    </row>
    <row r="1062" spans="2:14" x14ac:dyDescent="0.3">
      <c r="B1062" s="171">
        <v>45303</v>
      </c>
      <c r="C1062" s="60">
        <v>9808.4500000000007</v>
      </c>
      <c r="J1062" s="58" t="s">
        <v>2364</v>
      </c>
      <c r="K1062" s="60">
        <v>6858.95</v>
      </c>
      <c r="L1062" s="63" t="s">
        <v>1571</v>
      </c>
      <c r="M1062" s="90"/>
      <c r="N1062" s="90">
        <v>542</v>
      </c>
    </row>
    <row r="1063" spans="2:14" x14ac:dyDescent="0.3">
      <c r="B1063" s="171">
        <v>45302</v>
      </c>
      <c r="C1063" s="60">
        <v>9920.4500000000007</v>
      </c>
      <c r="J1063" s="58" t="s">
        <v>2365</v>
      </c>
      <c r="K1063" s="60">
        <v>6775.5</v>
      </c>
      <c r="L1063" s="63" t="s">
        <v>1572</v>
      </c>
      <c r="M1063" s="90"/>
      <c r="N1063" s="90">
        <v>361</v>
      </c>
    </row>
    <row r="1064" spans="2:14" x14ac:dyDescent="0.3">
      <c r="B1064" s="171">
        <v>45301</v>
      </c>
      <c r="C1064" s="60">
        <v>9776.2000000000007</v>
      </c>
      <c r="J1064" s="58" t="s">
        <v>2366</v>
      </c>
      <c r="K1064" s="60">
        <v>6693.9</v>
      </c>
      <c r="L1064" s="63" t="s">
        <v>1573</v>
      </c>
      <c r="M1064" s="90"/>
      <c r="N1064" s="90">
        <v>367</v>
      </c>
    </row>
    <row r="1065" spans="2:14" x14ac:dyDescent="0.3">
      <c r="B1065" s="171">
        <v>45300</v>
      </c>
      <c r="C1065" s="60">
        <v>9899.1</v>
      </c>
      <c r="J1065" s="58" t="s">
        <v>2367</v>
      </c>
      <c r="K1065" s="60">
        <v>6704.85</v>
      </c>
      <c r="L1065" s="63" t="s">
        <v>1574</v>
      </c>
      <c r="M1065" s="90"/>
      <c r="N1065" s="90">
        <v>637</v>
      </c>
    </row>
    <row r="1066" spans="2:14" x14ac:dyDescent="0.3">
      <c r="B1066" s="171">
        <v>45299</v>
      </c>
      <c r="C1066" s="60">
        <v>9934.5</v>
      </c>
      <c r="J1066" s="58" t="s">
        <v>2368</v>
      </c>
      <c r="K1066" s="60">
        <v>6587.4</v>
      </c>
      <c r="L1066" s="63" t="s">
        <v>1575</v>
      </c>
      <c r="M1066" s="90"/>
      <c r="N1066" s="90">
        <v>224</v>
      </c>
    </row>
    <row r="1067" spans="2:14" x14ac:dyDescent="0.3">
      <c r="B1067" s="171">
        <v>45296</v>
      </c>
      <c r="C1067" s="60">
        <v>10016.049999999999</v>
      </c>
      <c r="J1067" s="58" t="s">
        <v>2369</v>
      </c>
      <c r="K1067" s="60">
        <v>6668.3</v>
      </c>
      <c r="L1067" s="63" t="s">
        <v>1576</v>
      </c>
      <c r="M1067" s="90"/>
      <c r="N1067" s="90">
        <v>193</v>
      </c>
    </row>
    <row r="1068" spans="2:14" x14ac:dyDescent="0.3">
      <c r="B1068" s="171">
        <v>45295</v>
      </c>
      <c r="C1068" s="60">
        <v>10014.799999999999</v>
      </c>
      <c r="J1068" s="58" t="s">
        <v>2370</v>
      </c>
      <c r="K1068" s="60">
        <v>6678.5</v>
      </c>
      <c r="L1068" s="63" t="s">
        <v>1577</v>
      </c>
      <c r="M1068" s="90"/>
      <c r="N1068" s="90">
        <v>160</v>
      </c>
    </row>
    <row r="1069" spans="2:14" x14ac:dyDescent="0.3">
      <c r="B1069" s="171">
        <v>45294</v>
      </c>
      <c r="C1069" s="60">
        <v>10111.549999999999</v>
      </c>
      <c r="J1069" s="58">
        <v>44506</v>
      </c>
      <c r="K1069" s="60">
        <v>6662.85</v>
      </c>
      <c r="L1069" s="63" t="s">
        <v>1578</v>
      </c>
      <c r="M1069" s="90"/>
      <c r="N1069" s="90">
        <v>193</v>
      </c>
    </row>
    <row r="1070" spans="2:14" x14ac:dyDescent="0.3">
      <c r="B1070" s="171">
        <v>45293</v>
      </c>
      <c r="C1070" s="60">
        <v>10204.700000000001</v>
      </c>
      <c r="J1070" s="58">
        <v>44475</v>
      </c>
      <c r="K1070" s="60">
        <v>6709.65</v>
      </c>
      <c r="L1070" s="63" t="s">
        <v>1579</v>
      </c>
      <c r="M1070" s="90"/>
      <c r="N1070" s="90">
        <v>198</v>
      </c>
    </row>
    <row r="1071" spans="2:14" x14ac:dyDescent="0.3">
      <c r="B1071" s="171">
        <v>45292</v>
      </c>
      <c r="C1071" s="60">
        <v>10464</v>
      </c>
      <c r="J1071" s="58">
        <v>44445</v>
      </c>
      <c r="K1071" s="60">
        <v>6724.75</v>
      </c>
      <c r="L1071" s="63" t="s">
        <v>1580</v>
      </c>
      <c r="M1071" s="90"/>
      <c r="N1071" s="90">
        <v>345</v>
      </c>
    </row>
    <row r="1072" spans="2:14" x14ac:dyDescent="0.3">
      <c r="B1072" s="171">
        <v>45289</v>
      </c>
      <c r="C1072" s="60">
        <v>10503.05</v>
      </c>
      <c r="J1072" s="58">
        <v>44414</v>
      </c>
      <c r="K1072" s="60">
        <v>6794.4</v>
      </c>
      <c r="L1072" s="63" t="s">
        <v>1581</v>
      </c>
      <c r="M1072" s="90"/>
      <c r="N1072" s="90">
        <v>218</v>
      </c>
    </row>
    <row r="1073" spans="2:14" x14ac:dyDescent="0.3">
      <c r="B1073" s="171">
        <v>45288</v>
      </c>
      <c r="C1073" s="60">
        <v>10426.299999999999</v>
      </c>
      <c r="J1073" s="58">
        <v>44383</v>
      </c>
      <c r="K1073" s="60">
        <v>6849.65</v>
      </c>
      <c r="L1073" s="63" t="s">
        <v>1582</v>
      </c>
      <c r="M1073" s="90"/>
      <c r="N1073" s="90">
        <v>617</v>
      </c>
    </row>
    <row r="1074" spans="2:14" x14ac:dyDescent="0.3">
      <c r="B1074" s="171">
        <v>45287</v>
      </c>
      <c r="C1074" s="60">
        <v>10436.1</v>
      </c>
      <c r="J1074" s="58">
        <v>44292</v>
      </c>
      <c r="K1074" s="60">
        <v>6664.3</v>
      </c>
      <c r="L1074" s="63" t="s">
        <v>1583</v>
      </c>
      <c r="M1074" s="90"/>
      <c r="N1074" s="90">
        <v>205</v>
      </c>
    </row>
    <row r="1075" spans="2:14" x14ac:dyDescent="0.3">
      <c r="B1075" s="171">
        <v>45286</v>
      </c>
      <c r="C1075" s="60">
        <v>10018.65</v>
      </c>
      <c r="J1075" s="58">
        <v>44261</v>
      </c>
      <c r="K1075" s="60">
        <v>6641.7</v>
      </c>
      <c r="L1075" s="63" t="s">
        <v>1584</v>
      </c>
      <c r="M1075" s="90"/>
      <c r="N1075" s="90">
        <v>349</v>
      </c>
    </row>
    <row r="1076" spans="2:14" x14ac:dyDescent="0.3">
      <c r="B1076" s="171">
        <v>45282</v>
      </c>
      <c r="C1076" s="60">
        <v>9969</v>
      </c>
      <c r="J1076" s="58">
        <v>44233</v>
      </c>
      <c r="K1076" s="60">
        <v>6594.2</v>
      </c>
      <c r="L1076" s="63" t="s">
        <v>1585</v>
      </c>
      <c r="M1076" s="90"/>
      <c r="N1076" s="90">
        <v>567</v>
      </c>
    </row>
    <row r="1077" spans="2:14" x14ac:dyDescent="0.3">
      <c r="B1077" s="171">
        <v>45281</v>
      </c>
      <c r="C1077" s="60">
        <v>9954.4500000000007</v>
      </c>
      <c r="J1077" s="58">
        <v>44202</v>
      </c>
      <c r="K1077" s="60">
        <v>6601.35</v>
      </c>
      <c r="L1077" s="63" t="s">
        <v>1586</v>
      </c>
      <c r="M1077" s="90"/>
      <c r="N1077" s="90">
        <v>397</v>
      </c>
    </row>
    <row r="1078" spans="2:14" x14ac:dyDescent="0.3">
      <c r="B1078" s="171">
        <v>45280</v>
      </c>
      <c r="C1078" s="60">
        <v>9887.4500000000007</v>
      </c>
      <c r="J1078" s="58" t="s">
        <v>2371</v>
      </c>
      <c r="K1078" s="60">
        <v>6708</v>
      </c>
      <c r="L1078" s="63" t="s">
        <v>1587</v>
      </c>
      <c r="M1078" s="90"/>
      <c r="N1078" s="90">
        <v>328</v>
      </c>
    </row>
    <row r="1079" spans="2:14" x14ac:dyDescent="0.3">
      <c r="B1079" s="171">
        <v>45279</v>
      </c>
      <c r="C1079" s="60">
        <v>10017.1</v>
      </c>
      <c r="J1079" s="58" t="s">
        <v>2372</v>
      </c>
      <c r="K1079" s="60">
        <v>6598.5</v>
      </c>
      <c r="L1079" s="63" t="s">
        <v>1588</v>
      </c>
      <c r="M1079" s="90"/>
      <c r="N1079" s="90">
        <v>285</v>
      </c>
    </row>
    <row r="1080" spans="2:14" x14ac:dyDescent="0.3">
      <c r="B1080" s="171">
        <v>45278</v>
      </c>
      <c r="C1080" s="60">
        <v>9970.35</v>
      </c>
      <c r="J1080" s="58" t="s">
        <v>2373</v>
      </c>
      <c r="K1080" s="60">
        <v>6673.25</v>
      </c>
      <c r="L1080" s="63">
        <v>1700</v>
      </c>
      <c r="M1080" s="90"/>
      <c r="N1080" s="90">
        <v>1700</v>
      </c>
    </row>
    <row r="1081" spans="2:14" x14ac:dyDescent="0.3">
      <c r="B1081" s="171">
        <v>45275</v>
      </c>
      <c r="C1081" s="60">
        <v>10029.450000000001</v>
      </c>
      <c r="J1081" s="58" t="s">
        <v>2374</v>
      </c>
      <c r="K1081" s="60">
        <v>6580.9</v>
      </c>
      <c r="L1081" s="63" t="s">
        <v>1589</v>
      </c>
      <c r="M1081" s="90"/>
      <c r="N1081" s="90">
        <v>248</v>
      </c>
    </row>
    <row r="1082" spans="2:14" x14ac:dyDescent="0.3">
      <c r="B1082" s="171">
        <v>45274</v>
      </c>
      <c r="C1082" s="60">
        <v>9963.2999999999993</v>
      </c>
      <c r="J1082" s="58" t="s">
        <v>2375</v>
      </c>
      <c r="K1082" s="60">
        <v>6556.6</v>
      </c>
      <c r="L1082" s="63" t="s">
        <v>1590</v>
      </c>
      <c r="M1082" s="90"/>
      <c r="N1082" s="90">
        <v>176</v>
      </c>
    </row>
    <row r="1083" spans="2:14" x14ac:dyDescent="0.3">
      <c r="B1083" s="171">
        <v>45273</v>
      </c>
      <c r="C1083" s="60">
        <v>9739.15</v>
      </c>
      <c r="J1083" s="58" t="s">
        <v>2376</v>
      </c>
      <c r="K1083" s="60">
        <v>6562.4</v>
      </c>
      <c r="L1083" s="63" t="s">
        <v>1591</v>
      </c>
      <c r="M1083" s="90"/>
      <c r="N1083" s="90">
        <v>288</v>
      </c>
    </row>
    <row r="1084" spans="2:14" x14ac:dyDescent="0.3">
      <c r="B1084" s="171">
        <v>45272</v>
      </c>
      <c r="C1084" s="60">
        <v>9863.5</v>
      </c>
      <c r="J1084" s="58" t="s">
        <v>2377</v>
      </c>
      <c r="K1084" s="60">
        <v>6637.6</v>
      </c>
      <c r="L1084" s="63" t="s">
        <v>1592</v>
      </c>
      <c r="M1084" s="90"/>
      <c r="N1084" s="90">
        <v>307</v>
      </c>
    </row>
    <row r="1085" spans="2:14" x14ac:dyDescent="0.3">
      <c r="B1085" s="171">
        <v>45271</v>
      </c>
      <c r="C1085" s="60">
        <v>9670.9</v>
      </c>
      <c r="J1085" s="58" t="s">
        <v>2378</v>
      </c>
      <c r="K1085" s="60">
        <v>6573.85</v>
      </c>
      <c r="L1085" s="63" t="s">
        <v>1593</v>
      </c>
      <c r="M1085" s="90"/>
      <c r="N1085" s="90">
        <v>256</v>
      </c>
    </row>
    <row r="1086" spans="2:14" x14ac:dyDescent="0.3">
      <c r="B1086" s="171">
        <v>45268</v>
      </c>
      <c r="C1086" s="60">
        <v>9413.5499999999993</v>
      </c>
      <c r="J1086" s="58" t="s">
        <v>2379</v>
      </c>
      <c r="K1086" s="60">
        <v>6561.2</v>
      </c>
      <c r="L1086" s="63" t="s">
        <v>1594</v>
      </c>
      <c r="M1086" s="90"/>
      <c r="N1086" s="90">
        <v>475</v>
      </c>
    </row>
    <row r="1087" spans="2:14" x14ac:dyDescent="0.3">
      <c r="B1087" s="171">
        <v>45267</v>
      </c>
      <c r="C1087" s="60">
        <v>9354.5499999999993</v>
      </c>
      <c r="J1087" s="58" t="s">
        <v>2380</v>
      </c>
      <c r="K1087" s="60">
        <v>6653</v>
      </c>
      <c r="L1087" s="63" t="s">
        <v>1595</v>
      </c>
      <c r="M1087" s="90"/>
      <c r="N1087" s="90">
        <v>451</v>
      </c>
    </row>
    <row r="1088" spans="2:14" x14ac:dyDescent="0.3">
      <c r="B1088" s="171">
        <v>45266</v>
      </c>
      <c r="C1088" s="60">
        <v>9213</v>
      </c>
      <c r="J1088" s="58" t="s">
        <v>2381</v>
      </c>
      <c r="K1088" s="60">
        <v>6532.35</v>
      </c>
      <c r="L1088" s="63" t="s">
        <v>1596</v>
      </c>
      <c r="M1088" s="90"/>
      <c r="N1088" s="90">
        <v>357</v>
      </c>
    </row>
    <row r="1089" spans="2:14" x14ac:dyDescent="0.3">
      <c r="B1089" s="171">
        <v>45265</v>
      </c>
      <c r="C1089" s="60">
        <v>9329.75</v>
      </c>
      <c r="J1089" s="58" t="s">
        <v>2382</v>
      </c>
      <c r="K1089" s="60">
        <v>6368.1</v>
      </c>
      <c r="L1089" s="63" t="s">
        <v>1597</v>
      </c>
      <c r="M1089" s="90"/>
      <c r="N1089" s="90">
        <v>405</v>
      </c>
    </row>
    <row r="1090" spans="2:14" x14ac:dyDescent="0.3">
      <c r="B1090" s="171">
        <v>45264</v>
      </c>
      <c r="C1090" s="60">
        <v>9317.75</v>
      </c>
      <c r="J1090" s="58">
        <v>44535</v>
      </c>
      <c r="K1090" s="60">
        <v>6388.85</v>
      </c>
      <c r="L1090" s="63" t="s">
        <v>1598</v>
      </c>
      <c r="M1090" s="90"/>
      <c r="N1090" s="90">
        <v>392</v>
      </c>
    </row>
    <row r="1091" spans="2:14" x14ac:dyDescent="0.3">
      <c r="B1091" s="171">
        <v>45261</v>
      </c>
      <c r="C1091" s="60">
        <v>9033.85</v>
      </c>
      <c r="J1091" s="58">
        <v>44505</v>
      </c>
      <c r="K1091" s="60">
        <v>6490.6</v>
      </c>
      <c r="L1091" s="63">
        <v>1000</v>
      </c>
      <c r="M1091" s="90"/>
      <c r="N1091" s="90">
        <v>1000</v>
      </c>
    </row>
    <row r="1092" spans="2:14" x14ac:dyDescent="0.3">
      <c r="B1092" s="171">
        <v>45260</v>
      </c>
      <c r="C1092" s="60">
        <v>9003.65</v>
      </c>
      <c r="J1092" s="58">
        <v>44474</v>
      </c>
      <c r="K1092" s="60">
        <v>6403.1</v>
      </c>
      <c r="L1092" s="63" t="s">
        <v>1599</v>
      </c>
      <c r="M1092" s="90"/>
      <c r="N1092" s="90">
        <v>872</v>
      </c>
    </row>
    <row r="1093" spans="2:14" x14ac:dyDescent="0.3">
      <c r="B1093" s="171">
        <v>45259</v>
      </c>
      <c r="C1093" s="60">
        <v>8732.75</v>
      </c>
      <c r="J1093" s="58">
        <v>44382</v>
      </c>
      <c r="K1093" s="60">
        <v>6481.9</v>
      </c>
      <c r="L1093" s="63" t="s">
        <v>1600</v>
      </c>
      <c r="M1093" s="90"/>
      <c r="N1093" s="90">
        <v>745</v>
      </c>
    </row>
    <row r="1094" spans="2:14" x14ac:dyDescent="0.3">
      <c r="B1094" s="171">
        <v>45258</v>
      </c>
      <c r="C1094" s="60">
        <v>8726.5</v>
      </c>
      <c r="J1094" s="58">
        <v>44352</v>
      </c>
      <c r="K1094" s="60">
        <v>6405.45</v>
      </c>
      <c r="L1094" s="63" t="s">
        <v>1601</v>
      </c>
      <c r="M1094" s="90"/>
      <c r="N1094" s="90">
        <v>246</v>
      </c>
    </row>
    <row r="1095" spans="2:14" x14ac:dyDescent="0.3">
      <c r="B1095" s="171">
        <v>45254</v>
      </c>
      <c r="C1095" s="60">
        <v>8556.2000000000007</v>
      </c>
      <c r="J1095" s="58">
        <v>44321</v>
      </c>
      <c r="K1095" s="60">
        <v>6380.35</v>
      </c>
      <c r="L1095" s="63" t="s">
        <v>1602</v>
      </c>
      <c r="M1095" s="90"/>
      <c r="N1095" s="90">
        <v>215</v>
      </c>
    </row>
    <row r="1096" spans="2:14" x14ac:dyDescent="0.3">
      <c r="B1096" s="171">
        <v>45253</v>
      </c>
      <c r="C1096" s="60">
        <v>8605.25</v>
      </c>
      <c r="J1096" s="58">
        <v>44291</v>
      </c>
      <c r="K1096" s="60">
        <v>6296.45</v>
      </c>
      <c r="L1096" s="63" t="s">
        <v>1603</v>
      </c>
      <c r="M1096" s="90"/>
      <c r="N1096" s="90">
        <v>330</v>
      </c>
    </row>
    <row r="1097" spans="2:14" x14ac:dyDescent="0.3">
      <c r="B1097" s="171">
        <v>45252</v>
      </c>
      <c r="C1097" s="60">
        <v>8759.9</v>
      </c>
      <c r="J1097" s="58">
        <v>44260</v>
      </c>
      <c r="K1097" s="60">
        <v>6350.15</v>
      </c>
      <c r="L1097" s="63" t="s">
        <v>1604</v>
      </c>
      <c r="M1097" s="90"/>
      <c r="N1097" s="90">
        <v>402</v>
      </c>
    </row>
    <row r="1098" spans="2:14" x14ac:dyDescent="0.3">
      <c r="B1098" s="171">
        <v>45251</v>
      </c>
      <c r="C1098" s="60">
        <v>8708.35</v>
      </c>
      <c r="J1098" s="58" t="s">
        <v>2383</v>
      </c>
      <c r="K1098" s="60">
        <v>6278.95</v>
      </c>
      <c r="L1098" s="63" t="s">
        <v>1605</v>
      </c>
      <c r="M1098" s="90"/>
      <c r="N1098" s="90">
        <v>475</v>
      </c>
    </row>
    <row r="1099" spans="2:14" x14ac:dyDescent="0.3">
      <c r="B1099" s="171">
        <v>45250</v>
      </c>
      <c r="C1099" s="60">
        <v>8661.5</v>
      </c>
      <c r="J1099" s="58" t="s">
        <v>2384</v>
      </c>
      <c r="K1099" s="60">
        <v>6382.45</v>
      </c>
      <c r="L1099" s="63" t="s">
        <v>1606</v>
      </c>
      <c r="M1099" s="90"/>
      <c r="N1099" s="90">
        <v>406</v>
      </c>
    </row>
    <row r="1100" spans="2:14" x14ac:dyDescent="0.3">
      <c r="B1100" s="171">
        <v>45247</v>
      </c>
      <c r="C1100" s="60">
        <v>8790.9500000000007</v>
      </c>
      <c r="J1100" s="58" t="s">
        <v>2385</v>
      </c>
      <c r="K1100" s="60">
        <v>6360.8</v>
      </c>
      <c r="L1100" s="63" t="s">
        <v>1607</v>
      </c>
      <c r="M1100" s="90"/>
      <c r="N1100" s="90">
        <v>414</v>
      </c>
    </row>
    <row r="1101" spans="2:14" x14ac:dyDescent="0.3">
      <c r="B1101" s="171">
        <v>45246</v>
      </c>
      <c r="C1101" s="60">
        <v>8775.0499999999993</v>
      </c>
      <c r="J1101" s="58" t="s">
        <v>2386</v>
      </c>
      <c r="K1101" s="60">
        <v>6326.8</v>
      </c>
      <c r="L1101" s="63" t="s">
        <v>1608</v>
      </c>
      <c r="M1101" s="90"/>
      <c r="N1101" s="90">
        <v>512</v>
      </c>
    </row>
    <row r="1102" spans="2:14" x14ac:dyDescent="0.3">
      <c r="B1102" s="171">
        <v>45245</v>
      </c>
      <c r="C1102" s="60">
        <v>8766.9</v>
      </c>
      <c r="J1102" s="58" t="s">
        <v>2387</v>
      </c>
      <c r="K1102" s="60">
        <v>6275.9</v>
      </c>
      <c r="L1102" s="63" t="s">
        <v>1609</v>
      </c>
      <c r="M1102" s="90"/>
      <c r="N1102" s="90">
        <v>697</v>
      </c>
    </row>
    <row r="1103" spans="2:14" x14ac:dyDescent="0.3">
      <c r="B1103" s="171">
        <v>45243</v>
      </c>
      <c r="C1103" s="60">
        <v>8677.4</v>
      </c>
      <c r="J1103" s="58" t="s">
        <v>2388</v>
      </c>
      <c r="K1103" s="60">
        <v>6067.9</v>
      </c>
      <c r="L1103" s="63" t="s">
        <v>1610</v>
      </c>
      <c r="M1103" s="90"/>
      <c r="N1103" s="90">
        <v>968</v>
      </c>
    </row>
    <row r="1104" spans="2:14" x14ac:dyDescent="0.3">
      <c r="B1104" s="171">
        <v>45242</v>
      </c>
      <c r="C1104" s="60">
        <v>8722.9500000000007</v>
      </c>
      <c r="J1104" s="58" t="s">
        <v>2389</v>
      </c>
      <c r="K1104" s="60">
        <v>6092.3</v>
      </c>
      <c r="L1104" s="63">
        <v>1800</v>
      </c>
      <c r="M1104" s="90"/>
      <c r="N1104" s="90">
        <v>1800</v>
      </c>
    </row>
    <row r="1105" spans="2:14" x14ac:dyDescent="0.3">
      <c r="B1105" s="171">
        <v>45240</v>
      </c>
      <c r="C1105" s="60">
        <v>8710.85</v>
      </c>
      <c r="J1105" s="58" t="s">
        <v>2390</v>
      </c>
      <c r="K1105" s="60">
        <v>6200.85</v>
      </c>
      <c r="L1105" s="63">
        <v>1230</v>
      </c>
      <c r="M1105" s="90"/>
      <c r="N1105" s="90">
        <v>1230</v>
      </c>
    </row>
    <row r="1106" spans="2:14" x14ac:dyDescent="0.3">
      <c r="B1106" s="171">
        <v>45239</v>
      </c>
      <c r="C1106" s="60">
        <v>8627.0499999999993</v>
      </c>
      <c r="J1106" s="58" t="s">
        <v>2391</v>
      </c>
      <c r="K1106" s="60">
        <v>6509.75</v>
      </c>
      <c r="L1106" s="63" t="s">
        <v>1611</v>
      </c>
      <c r="M1106" s="90"/>
      <c r="N1106" s="90">
        <v>559</v>
      </c>
    </row>
    <row r="1107" spans="2:14" x14ac:dyDescent="0.3">
      <c r="B1107" s="171">
        <v>45238</v>
      </c>
      <c r="C1107" s="60">
        <v>8698.85</v>
      </c>
      <c r="J1107" s="58" t="s">
        <v>2392</v>
      </c>
      <c r="K1107" s="60">
        <v>6715.2</v>
      </c>
      <c r="L1107" s="63" t="s">
        <v>1612</v>
      </c>
      <c r="M1107" s="90"/>
      <c r="N1107" s="90">
        <v>636</v>
      </c>
    </row>
    <row r="1108" spans="2:14" x14ac:dyDescent="0.3">
      <c r="B1108" s="171">
        <v>45237</v>
      </c>
      <c r="C1108" s="60">
        <v>8685.75</v>
      </c>
      <c r="J1108" s="58" t="s">
        <v>2393</v>
      </c>
      <c r="K1108" s="60">
        <v>6539.3</v>
      </c>
      <c r="L1108" s="63" t="s">
        <v>1613</v>
      </c>
      <c r="M1108" s="90"/>
      <c r="N1108" s="90">
        <v>490</v>
      </c>
    </row>
    <row r="1109" spans="2:14" x14ac:dyDescent="0.3">
      <c r="B1109" s="171">
        <v>45236</v>
      </c>
      <c r="C1109" s="60">
        <v>8640.9500000000007</v>
      </c>
      <c r="J1109" s="58" t="s">
        <v>2394</v>
      </c>
      <c r="K1109" s="60">
        <v>6604.45</v>
      </c>
      <c r="L1109" s="63" t="s">
        <v>1614</v>
      </c>
      <c r="M1109" s="90"/>
      <c r="N1109" s="90">
        <v>551</v>
      </c>
    </row>
    <row r="1110" spans="2:14" x14ac:dyDescent="0.3">
      <c r="B1110" s="171">
        <v>45233</v>
      </c>
      <c r="C1110" s="60">
        <v>8522.6</v>
      </c>
      <c r="J1110" s="58">
        <v>44534</v>
      </c>
      <c r="K1110" s="60">
        <v>6509.4</v>
      </c>
      <c r="L1110" s="63" t="s">
        <v>1615</v>
      </c>
      <c r="M1110" s="90"/>
      <c r="N1110" s="90">
        <v>585</v>
      </c>
    </row>
    <row r="1111" spans="2:14" x14ac:dyDescent="0.3">
      <c r="B1111" s="171">
        <v>45232</v>
      </c>
      <c r="C1111" s="60">
        <v>8459</v>
      </c>
      <c r="J1111" s="58">
        <v>44443</v>
      </c>
      <c r="K1111" s="60">
        <v>6825.85</v>
      </c>
      <c r="L1111" s="63" t="s">
        <v>1616</v>
      </c>
      <c r="M1111" s="90"/>
      <c r="N1111" s="90">
        <v>592</v>
      </c>
    </row>
    <row r="1112" spans="2:14" x14ac:dyDescent="0.3">
      <c r="B1112" s="171">
        <v>45231</v>
      </c>
      <c r="C1112" s="60">
        <v>8381.4500000000007</v>
      </c>
      <c r="J1112" s="58">
        <v>44412</v>
      </c>
      <c r="K1112" s="60">
        <v>6971.25</v>
      </c>
      <c r="L1112" s="63" t="s">
        <v>1617</v>
      </c>
      <c r="M1112" s="90"/>
      <c r="N1112" s="90">
        <v>635</v>
      </c>
    </row>
    <row r="1113" spans="2:14" x14ac:dyDescent="0.3">
      <c r="B1113" s="171">
        <v>45230</v>
      </c>
      <c r="C1113" s="60">
        <v>8422.25</v>
      </c>
      <c r="J1113" s="58">
        <v>44381</v>
      </c>
      <c r="K1113" s="60">
        <v>6760.05</v>
      </c>
      <c r="L1113" s="63" t="s">
        <v>1618</v>
      </c>
      <c r="M1113" s="90"/>
      <c r="N1113" s="90">
        <v>301</v>
      </c>
    </row>
    <row r="1114" spans="2:14" x14ac:dyDescent="0.3">
      <c r="B1114" s="171">
        <v>45229</v>
      </c>
      <c r="C1114" s="60">
        <v>8401.6</v>
      </c>
      <c r="J1114" s="58">
        <v>44351</v>
      </c>
      <c r="K1114" s="60">
        <v>6736.65</v>
      </c>
      <c r="L1114" s="63" t="s">
        <v>1619</v>
      </c>
      <c r="M1114" s="90"/>
      <c r="N1114" s="90">
        <v>508</v>
      </c>
    </row>
    <row r="1115" spans="2:14" x14ac:dyDescent="0.3">
      <c r="B1115" s="171">
        <v>45226</v>
      </c>
      <c r="C1115" s="60">
        <v>8210.15</v>
      </c>
      <c r="J1115" s="58">
        <v>44320</v>
      </c>
      <c r="K1115" s="60">
        <v>6795.8</v>
      </c>
      <c r="L1115" s="63" t="s">
        <v>1620</v>
      </c>
      <c r="M1115" s="90"/>
      <c r="N1115" s="90">
        <v>540</v>
      </c>
    </row>
    <row r="1116" spans="2:14" x14ac:dyDescent="0.3">
      <c r="B1116" s="171">
        <v>45225</v>
      </c>
      <c r="C1116" s="60">
        <v>8205.2999999999993</v>
      </c>
      <c r="J1116" s="58">
        <v>44200</v>
      </c>
      <c r="K1116" s="60">
        <v>6898.85</v>
      </c>
      <c r="L1116" s="63" t="s">
        <v>1621</v>
      </c>
      <c r="M1116" s="90"/>
      <c r="N1116" s="90">
        <v>531</v>
      </c>
    </row>
    <row r="1117" spans="2:14" x14ac:dyDescent="0.3">
      <c r="B1117" s="171">
        <v>45224</v>
      </c>
      <c r="C1117" s="60">
        <v>8256.35</v>
      </c>
      <c r="J1117" s="58" t="s">
        <v>2395</v>
      </c>
      <c r="K1117" s="60">
        <v>6737.95</v>
      </c>
      <c r="L1117" s="63" t="s">
        <v>1622</v>
      </c>
      <c r="M1117" s="90"/>
      <c r="N1117" s="90">
        <v>647</v>
      </c>
    </row>
    <row r="1118" spans="2:14" x14ac:dyDescent="0.3">
      <c r="B1118" s="171">
        <v>45222</v>
      </c>
      <c r="C1118" s="60">
        <v>8325.25</v>
      </c>
      <c r="J1118" s="58" t="s">
        <v>2396</v>
      </c>
      <c r="K1118" s="60">
        <v>6785.6</v>
      </c>
      <c r="L1118" s="63" t="s">
        <v>1623</v>
      </c>
      <c r="M1118" s="90"/>
      <c r="N1118" s="90">
        <v>422</v>
      </c>
    </row>
    <row r="1119" spans="2:14" x14ac:dyDescent="0.3">
      <c r="B1119" s="171">
        <v>45219</v>
      </c>
      <c r="C1119" s="60">
        <v>8461.0499999999993</v>
      </c>
      <c r="J1119" s="58" t="s">
        <v>2397</v>
      </c>
      <c r="K1119" s="60">
        <v>6735.25</v>
      </c>
      <c r="L1119" s="63" t="s">
        <v>1624</v>
      </c>
      <c r="M1119" s="90"/>
      <c r="N1119" s="90">
        <v>303</v>
      </c>
    </row>
    <row r="1120" spans="2:14" x14ac:dyDescent="0.3">
      <c r="B1120" s="171">
        <v>45218</v>
      </c>
      <c r="C1120" s="60">
        <v>8518.5499999999993</v>
      </c>
      <c r="J1120" s="58" t="s">
        <v>2398</v>
      </c>
      <c r="K1120" s="60">
        <v>6666.5</v>
      </c>
      <c r="L1120" s="63" t="s">
        <v>1625</v>
      </c>
      <c r="M1120" s="90"/>
      <c r="N1120" s="90">
        <v>547</v>
      </c>
    </row>
    <row r="1121" spans="2:14" x14ac:dyDescent="0.3">
      <c r="B1121" s="171">
        <v>45217</v>
      </c>
      <c r="C1121" s="60">
        <v>8278.2999999999993</v>
      </c>
      <c r="J1121" s="58" t="s">
        <v>2399</v>
      </c>
      <c r="K1121" s="60">
        <v>6858.65</v>
      </c>
      <c r="L1121" s="63" t="s">
        <v>1626</v>
      </c>
      <c r="M1121" s="90"/>
      <c r="N1121" s="90">
        <v>716</v>
      </c>
    </row>
    <row r="1122" spans="2:14" x14ac:dyDescent="0.3">
      <c r="B1122" s="171">
        <v>45216</v>
      </c>
      <c r="C1122" s="60">
        <v>8301.4</v>
      </c>
      <c r="J1122" s="58" t="s">
        <v>2400</v>
      </c>
      <c r="K1122" s="60">
        <v>6939.1</v>
      </c>
      <c r="L1122" s="63" t="s">
        <v>1627</v>
      </c>
      <c r="M1122" s="90"/>
      <c r="N1122" s="90">
        <v>890</v>
      </c>
    </row>
    <row r="1123" spans="2:14" x14ac:dyDescent="0.3">
      <c r="B1123" s="171">
        <v>45215</v>
      </c>
      <c r="C1123" s="60">
        <v>8292.2000000000007</v>
      </c>
      <c r="J1123" s="58" t="s">
        <v>2401</v>
      </c>
      <c r="K1123" s="60">
        <v>6728</v>
      </c>
      <c r="L1123" s="63" t="s">
        <v>1628</v>
      </c>
      <c r="M1123" s="90"/>
      <c r="N1123" s="90">
        <v>467</v>
      </c>
    </row>
    <row r="1124" spans="2:14" x14ac:dyDescent="0.3">
      <c r="B1124" s="171">
        <v>45212</v>
      </c>
      <c r="C1124" s="60">
        <v>8369</v>
      </c>
      <c r="J1124" s="58" t="s">
        <v>2402</v>
      </c>
      <c r="K1124" s="60">
        <v>6672</v>
      </c>
      <c r="L1124" s="63" t="s">
        <v>1629</v>
      </c>
      <c r="M1124" s="90"/>
      <c r="N1124" s="90">
        <v>654</v>
      </c>
    </row>
    <row r="1125" spans="2:14" x14ac:dyDescent="0.3">
      <c r="B1125" s="171">
        <v>45211</v>
      </c>
      <c r="C1125" s="60">
        <v>8351.75</v>
      </c>
      <c r="J1125" s="58" t="s">
        <v>2403</v>
      </c>
      <c r="K1125" s="60">
        <v>6510.05</v>
      </c>
      <c r="L1125" s="63" t="s">
        <v>1630</v>
      </c>
      <c r="M1125" s="90"/>
      <c r="N1125" s="90">
        <v>345</v>
      </c>
    </row>
    <row r="1126" spans="2:14" x14ac:dyDescent="0.3">
      <c r="B1126" s="171">
        <v>45210</v>
      </c>
      <c r="C1126" s="60">
        <v>8343</v>
      </c>
      <c r="J1126" s="58" t="s">
        <v>2404</v>
      </c>
      <c r="K1126" s="60">
        <v>6520.25</v>
      </c>
      <c r="L1126" s="63" t="s">
        <v>1631</v>
      </c>
      <c r="M1126" s="90"/>
      <c r="N1126" s="90">
        <v>443</v>
      </c>
    </row>
    <row r="1127" spans="2:14" x14ac:dyDescent="0.3">
      <c r="B1127" s="171">
        <v>45209</v>
      </c>
      <c r="C1127" s="60">
        <v>8158.3</v>
      </c>
      <c r="J1127" s="58" t="s">
        <v>2405</v>
      </c>
      <c r="K1127" s="60">
        <v>6639.95</v>
      </c>
      <c r="L1127" s="63" t="s">
        <v>1632</v>
      </c>
      <c r="M1127" s="90"/>
      <c r="N1127" s="90">
        <v>614</v>
      </c>
    </row>
    <row r="1128" spans="2:14" x14ac:dyDescent="0.3">
      <c r="B1128" s="171">
        <v>45208</v>
      </c>
      <c r="C1128" s="60">
        <v>8110.1</v>
      </c>
      <c r="J1128" s="58" t="s">
        <v>2406</v>
      </c>
      <c r="K1128" s="60">
        <v>6561.45</v>
      </c>
      <c r="L1128" s="63" t="s">
        <v>1633</v>
      </c>
      <c r="M1128" s="90"/>
      <c r="N1128" s="90">
        <v>349</v>
      </c>
    </row>
    <row r="1129" spans="2:14" x14ac:dyDescent="0.3">
      <c r="B1129" s="171">
        <v>45205</v>
      </c>
      <c r="C1129" s="60">
        <v>8195.4500000000007</v>
      </c>
      <c r="J1129" s="58">
        <v>44533</v>
      </c>
      <c r="K1129" s="60">
        <v>6638.15</v>
      </c>
      <c r="L1129" s="63" t="s">
        <v>1634</v>
      </c>
      <c r="M1129" s="90"/>
      <c r="N1129" s="90">
        <v>673</v>
      </c>
    </row>
    <row r="1130" spans="2:14" x14ac:dyDescent="0.3">
      <c r="B1130" s="171">
        <v>45204</v>
      </c>
      <c r="C1130" s="60">
        <v>8177.45</v>
      </c>
      <c r="J1130" s="58">
        <v>44472</v>
      </c>
      <c r="K1130" s="60">
        <v>6764.05</v>
      </c>
      <c r="L1130" s="63" t="s">
        <v>1635</v>
      </c>
      <c r="M1130" s="90"/>
      <c r="N1130" s="90">
        <v>302</v>
      </c>
    </row>
    <row r="1131" spans="2:14" x14ac:dyDescent="0.3">
      <c r="B1131" s="171">
        <v>45203</v>
      </c>
      <c r="C1131" s="60">
        <v>8120.85</v>
      </c>
      <c r="J1131" s="58">
        <v>44442</v>
      </c>
      <c r="K1131" s="60">
        <v>6697.4</v>
      </c>
      <c r="L1131" s="63" t="s">
        <v>1636</v>
      </c>
      <c r="M1131" s="90"/>
      <c r="N1131" s="90">
        <v>483</v>
      </c>
    </row>
    <row r="1132" spans="2:14" x14ac:dyDescent="0.3">
      <c r="B1132" s="171">
        <v>45202</v>
      </c>
      <c r="C1132" s="60">
        <v>8304.9</v>
      </c>
      <c r="J1132" s="58">
        <v>44411</v>
      </c>
      <c r="K1132" s="60">
        <v>6668.15</v>
      </c>
      <c r="L1132" s="63" t="s">
        <v>1637</v>
      </c>
      <c r="M1132" s="90"/>
      <c r="N1132" s="90">
        <v>658</v>
      </c>
    </row>
    <row r="1133" spans="2:14" x14ac:dyDescent="0.3">
      <c r="B1133" s="171">
        <v>45198</v>
      </c>
      <c r="C1133" s="60">
        <v>8254.85</v>
      </c>
      <c r="J1133" s="58">
        <v>44319</v>
      </c>
      <c r="K1133" s="60">
        <v>6810.3</v>
      </c>
      <c r="L1133" s="63">
        <v>2000</v>
      </c>
      <c r="M1133" s="90"/>
      <c r="N1133" s="90">
        <v>2000</v>
      </c>
    </row>
    <row r="1134" spans="2:14" x14ac:dyDescent="0.3">
      <c r="B1134" s="171">
        <v>45197</v>
      </c>
      <c r="C1134" s="60">
        <v>8154.35</v>
      </c>
      <c r="J1134" s="58">
        <v>44289</v>
      </c>
      <c r="K1134" s="60">
        <v>6775.55</v>
      </c>
      <c r="L1134" s="63">
        <v>1000</v>
      </c>
      <c r="M1134" s="90"/>
      <c r="N1134" s="90">
        <v>1000</v>
      </c>
    </row>
    <row r="1135" spans="2:14" x14ac:dyDescent="0.3">
      <c r="B1135" s="171">
        <v>45196</v>
      </c>
      <c r="C1135" s="60">
        <v>8262.7000000000007</v>
      </c>
      <c r="J1135" s="58">
        <v>44258</v>
      </c>
      <c r="K1135" s="60">
        <v>6500.5</v>
      </c>
      <c r="L1135" s="63" t="s">
        <v>1032</v>
      </c>
      <c r="M1135" s="90"/>
      <c r="N1135" s="90">
        <v>467</v>
      </c>
    </row>
    <row r="1136" spans="2:14" x14ac:dyDescent="0.3">
      <c r="B1136" s="171">
        <v>45195</v>
      </c>
      <c r="C1136" s="60">
        <v>8228.9</v>
      </c>
      <c r="J1136" s="58">
        <v>44230</v>
      </c>
      <c r="K1136" s="60">
        <v>6423.1</v>
      </c>
      <c r="L1136" s="63" t="s">
        <v>1638</v>
      </c>
      <c r="M1136" s="90"/>
      <c r="N1136" s="90">
        <v>438</v>
      </c>
    </row>
    <row r="1137" spans="2:14" x14ac:dyDescent="0.3">
      <c r="B1137" s="171">
        <v>45194</v>
      </c>
      <c r="C1137" s="60">
        <v>8206.2000000000007</v>
      </c>
      <c r="J1137" s="58">
        <v>44199</v>
      </c>
      <c r="K1137" s="60">
        <v>6365.05</v>
      </c>
      <c r="L1137" s="63" t="s">
        <v>1639</v>
      </c>
      <c r="M1137" s="90"/>
      <c r="N1137" s="90">
        <v>609</v>
      </c>
    </row>
    <row r="1138" spans="2:14" x14ac:dyDescent="0.3">
      <c r="B1138" s="171">
        <v>45191</v>
      </c>
      <c r="C1138" s="60">
        <v>8187.4</v>
      </c>
      <c r="J1138" s="58" t="s">
        <v>2407</v>
      </c>
      <c r="K1138" s="60">
        <v>6115</v>
      </c>
      <c r="L1138" s="63">
        <v>1000</v>
      </c>
      <c r="M1138" s="90"/>
      <c r="N1138" s="90">
        <v>1000</v>
      </c>
    </row>
    <row r="1139" spans="2:14" x14ac:dyDescent="0.3">
      <c r="B1139" s="171">
        <v>45190</v>
      </c>
      <c r="C1139" s="60">
        <v>8313.5499999999993</v>
      </c>
      <c r="J1139" s="58" t="s">
        <v>2408</v>
      </c>
      <c r="K1139" s="60">
        <v>6383.3</v>
      </c>
      <c r="L1139" s="63" t="s">
        <v>1640</v>
      </c>
      <c r="M1139" s="90"/>
      <c r="N1139" s="90">
        <v>803</v>
      </c>
    </row>
    <row r="1140" spans="2:14" x14ac:dyDescent="0.3">
      <c r="B1140" s="171">
        <v>45189</v>
      </c>
      <c r="C1140" s="60">
        <v>8458.15</v>
      </c>
      <c r="J1140" s="58" t="s">
        <v>2409</v>
      </c>
      <c r="K1140" s="60">
        <v>6414.55</v>
      </c>
      <c r="L1140" s="63" t="s">
        <v>1641</v>
      </c>
      <c r="M1140" s="90"/>
      <c r="N1140" s="90">
        <v>378</v>
      </c>
    </row>
    <row r="1141" spans="2:14" x14ac:dyDescent="0.3">
      <c r="B1141" s="171">
        <v>45187</v>
      </c>
      <c r="C1141" s="60">
        <v>8628</v>
      </c>
      <c r="J1141" s="58" t="s">
        <v>2410</v>
      </c>
      <c r="K1141" s="60">
        <v>6268.45</v>
      </c>
      <c r="L1141" s="63" t="s">
        <v>1642</v>
      </c>
      <c r="M1141" s="90"/>
      <c r="N1141" s="90">
        <v>453</v>
      </c>
    </row>
    <row r="1142" spans="2:14" x14ac:dyDescent="0.3">
      <c r="B1142" s="171">
        <v>45184</v>
      </c>
      <c r="C1142" s="60">
        <v>8728.35</v>
      </c>
      <c r="J1142" s="58" t="s">
        <v>2411</v>
      </c>
      <c r="K1142" s="60">
        <v>6175.1</v>
      </c>
      <c r="L1142" s="63" t="s">
        <v>1643</v>
      </c>
      <c r="M1142" s="90"/>
      <c r="N1142" s="90">
        <v>528</v>
      </c>
    </row>
    <row r="1143" spans="2:14" x14ac:dyDescent="0.3">
      <c r="B1143" s="171">
        <v>45183</v>
      </c>
      <c r="C1143" s="60">
        <v>8687.9500000000007</v>
      </c>
      <c r="J1143" s="58" t="s">
        <v>2412</v>
      </c>
      <c r="K1143" s="60">
        <v>6208.5</v>
      </c>
      <c r="L1143" s="63" t="s">
        <v>1644</v>
      </c>
      <c r="M1143" s="90"/>
      <c r="N1143" s="90">
        <v>499</v>
      </c>
    </row>
    <row r="1144" spans="2:14" x14ac:dyDescent="0.3">
      <c r="B1144" s="171">
        <v>45182</v>
      </c>
      <c r="C1144" s="60">
        <v>8636.35</v>
      </c>
      <c r="J1144" s="58" t="s">
        <v>2413</v>
      </c>
      <c r="K1144" s="60">
        <v>6325.85</v>
      </c>
      <c r="L1144" s="63" t="s">
        <v>1645</v>
      </c>
      <c r="M1144" s="90"/>
      <c r="N1144" s="90">
        <v>573</v>
      </c>
    </row>
    <row r="1145" spans="2:14" x14ac:dyDescent="0.3">
      <c r="B1145" s="171">
        <v>45181</v>
      </c>
      <c r="C1145" s="60">
        <v>8571.65</v>
      </c>
      <c r="J1145" s="58" t="s">
        <v>2414</v>
      </c>
      <c r="K1145" s="60">
        <v>6419.2</v>
      </c>
      <c r="L1145" s="63" t="s">
        <v>1646</v>
      </c>
      <c r="M1145" s="90"/>
      <c r="N1145" s="90">
        <v>555</v>
      </c>
    </row>
    <row r="1146" spans="2:14" x14ac:dyDescent="0.3">
      <c r="B1146" s="171">
        <v>45180</v>
      </c>
      <c r="C1146" s="60">
        <v>8461.7000000000007</v>
      </c>
      <c r="J1146" s="58" t="s">
        <v>2415</v>
      </c>
      <c r="K1146" s="60">
        <v>6457.8</v>
      </c>
      <c r="L1146" s="63" t="s">
        <v>1647</v>
      </c>
      <c r="M1146" s="90"/>
      <c r="N1146" s="90">
        <v>595</v>
      </c>
    </row>
    <row r="1147" spans="2:14" x14ac:dyDescent="0.3">
      <c r="B1147" s="171">
        <v>45177</v>
      </c>
      <c r="C1147" s="60">
        <v>8430.5499999999993</v>
      </c>
      <c r="J1147" s="58" t="s">
        <v>2416</v>
      </c>
      <c r="K1147" s="60">
        <v>6407.75</v>
      </c>
      <c r="L1147" s="63" t="s">
        <v>1648</v>
      </c>
      <c r="M1147" s="90"/>
      <c r="N1147" s="90">
        <v>277</v>
      </c>
    </row>
    <row r="1148" spans="2:14" x14ac:dyDescent="0.3">
      <c r="B1148" s="171">
        <v>45176</v>
      </c>
      <c r="C1148" s="60">
        <v>8495.15</v>
      </c>
      <c r="J1148" s="58">
        <v>44532</v>
      </c>
      <c r="K1148" s="60">
        <v>6397.25</v>
      </c>
      <c r="L1148" s="63" t="s">
        <v>1649</v>
      </c>
      <c r="M1148" s="90"/>
      <c r="N1148" s="90">
        <v>408</v>
      </c>
    </row>
    <row r="1149" spans="2:14" x14ac:dyDescent="0.3">
      <c r="B1149" s="171">
        <v>45175</v>
      </c>
      <c r="C1149" s="60">
        <v>8537.4</v>
      </c>
      <c r="J1149" s="58">
        <v>44502</v>
      </c>
      <c r="K1149" s="60">
        <v>6427.15</v>
      </c>
      <c r="L1149" s="63" t="s">
        <v>1650</v>
      </c>
      <c r="M1149" s="90"/>
      <c r="N1149" s="90">
        <v>390</v>
      </c>
    </row>
    <row r="1150" spans="2:14" x14ac:dyDescent="0.3">
      <c r="B1150" s="171">
        <v>45174</v>
      </c>
      <c r="C1150" s="60">
        <v>8454.85</v>
      </c>
      <c r="J1150" s="58">
        <v>44471</v>
      </c>
      <c r="K1150" s="60">
        <v>6392.15</v>
      </c>
      <c r="L1150" s="63">
        <v>1000</v>
      </c>
      <c r="M1150" s="90"/>
      <c r="N1150" s="90">
        <v>1000</v>
      </c>
    </row>
    <row r="1151" spans="2:14" x14ac:dyDescent="0.3">
      <c r="B1151" s="171">
        <v>45173</v>
      </c>
      <c r="C1151" s="60">
        <v>8582.5499999999993</v>
      </c>
      <c r="J1151" s="58">
        <v>44441</v>
      </c>
      <c r="K1151" s="60">
        <v>6420.4</v>
      </c>
      <c r="L1151" s="63" t="s">
        <v>1651</v>
      </c>
      <c r="M1151" s="90"/>
      <c r="N1151" s="90">
        <v>947</v>
      </c>
    </row>
    <row r="1152" spans="2:14" x14ac:dyDescent="0.3">
      <c r="B1152" s="171">
        <v>45170</v>
      </c>
      <c r="C1152" s="60">
        <v>8262.4</v>
      </c>
      <c r="J1152" s="58">
        <v>44410</v>
      </c>
      <c r="K1152" s="60">
        <v>6368.15</v>
      </c>
      <c r="L1152" s="63" t="s">
        <v>1652</v>
      </c>
      <c r="M1152" s="90"/>
      <c r="N1152" s="90">
        <v>769</v>
      </c>
    </row>
    <row r="1153" spans="2:14" x14ac:dyDescent="0.3">
      <c r="B1153" s="171">
        <v>45169</v>
      </c>
      <c r="C1153" s="60">
        <v>8297.4500000000007</v>
      </c>
      <c r="J1153" s="58">
        <v>44318</v>
      </c>
      <c r="K1153" s="60">
        <v>6352.1</v>
      </c>
      <c r="L1153" s="63">
        <v>1000</v>
      </c>
      <c r="M1153" s="90"/>
      <c r="N1153" s="90">
        <v>1000</v>
      </c>
    </row>
    <row r="1154" spans="2:14" x14ac:dyDescent="0.3">
      <c r="B1154" s="171">
        <v>45168</v>
      </c>
      <c r="C1154" s="60">
        <v>8265.9500000000007</v>
      </c>
      <c r="J1154" s="58">
        <v>44288</v>
      </c>
      <c r="K1154" s="60">
        <v>6182.8</v>
      </c>
      <c r="L1154" s="63" t="s">
        <v>1653</v>
      </c>
      <c r="M1154" s="90"/>
      <c r="N1154" s="90">
        <v>683</v>
      </c>
    </row>
    <row r="1155" spans="2:14" x14ac:dyDescent="0.3">
      <c r="B1155" s="171">
        <v>45167</v>
      </c>
      <c r="C1155" s="60">
        <v>8199.7000000000007</v>
      </c>
      <c r="J1155" s="58">
        <v>44257</v>
      </c>
      <c r="K1155" s="60">
        <v>6074.7</v>
      </c>
      <c r="L1155" s="63" t="s">
        <v>1654</v>
      </c>
      <c r="M1155" s="90"/>
      <c r="N1155" s="90">
        <v>952</v>
      </c>
    </row>
    <row r="1156" spans="2:14" x14ac:dyDescent="0.3">
      <c r="B1156" s="171">
        <v>45166</v>
      </c>
      <c r="C1156" s="60">
        <v>8117.65</v>
      </c>
      <c r="J1156" s="58">
        <v>44229</v>
      </c>
      <c r="K1156" s="60">
        <v>6123.55</v>
      </c>
      <c r="L1156" s="63">
        <v>2000</v>
      </c>
      <c r="M1156" s="90"/>
      <c r="N1156" s="90">
        <v>2000</v>
      </c>
    </row>
    <row r="1157" spans="2:14" x14ac:dyDescent="0.3">
      <c r="B1157" s="171">
        <v>45163</v>
      </c>
      <c r="C1157" s="60">
        <v>8071.45</v>
      </c>
      <c r="J1157" s="58">
        <v>44198</v>
      </c>
      <c r="K1157" s="60">
        <v>5744.15</v>
      </c>
      <c r="L1157" s="63">
        <v>1460</v>
      </c>
      <c r="M1157" s="90"/>
      <c r="N1157" s="90">
        <v>1460</v>
      </c>
    </row>
    <row r="1158" spans="2:14" x14ac:dyDescent="0.3">
      <c r="B1158" s="171">
        <v>45162</v>
      </c>
      <c r="C1158" s="60">
        <v>8211.4</v>
      </c>
      <c r="J1158" s="58" t="s">
        <v>2417</v>
      </c>
      <c r="K1158" s="60">
        <v>5327.25</v>
      </c>
      <c r="L1158" s="63" t="s">
        <v>1655</v>
      </c>
      <c r="M1158" s="90"/>
      <c r="N1158" s="90">
        <v>745</v>
      </c>
    </row>
    <row r="1159" spans="2:14" x14ac:dyDescent="0.3">
      <c r="B1159" s="171">
        <v>45161</v>
      </c>
      <c r="C1159" s="60">
        <v>8161.9</v>
      </c>
      <c r="J1159" s="58" t="s">
        <v>2418</v>
      </c>
      <c r="K1159" s="60">
        <v>5443.7</v>
      </c>
      <c r="L1159" s="63" t="s">
        <v>1656</v>
      </c>
      <c r="M1159" s="90"/>
      <c r="N1159" s="90">
        <v>576</v>
      </c>
    </row>
    <row r="1160" spans="2:14" x14ac:dyDescent="0.3">
      <c r="B1160" s="171">
        <v>45160</v>
      </c>
      <c r="C1160" s="60">
        <v>8203.5</v>
      </c>
      <c r="J1160" s="58" t="s">
        <v>2419</v>
      </c>
      <c r="K1160" s="60">
        <v>5404.85</v>
      </c>
      <c r="L1160" s="63">
        <v>1210</v>
      </c>
      <c r="M1160" s="90"/>
      <c r="N1160" s="90">
        <v>1210</v>
      </c>
    </row>
    <row r="1161" spans="2:14" x14ac:dyDescent="0.3">
      <c r="B1161" s="171">
        <v>45159</v>
      </c>
      <c r="C1161" s="60">
        <v>8219.2999999999993</v>
      </c>
      <c r="J1161" s="58" t="s">
        <v>2420</v>
      </c>
      <c r="K1161" s="60">
        <v>5368.4</v>
      </c>
      <c r="L1161" s="63">
        <v>3000</v>
      </c>
      <c r="M1161" s="90"/>
      <c r="N1161" s="90">
        <v>3000</v>
      </c>
    </row>
    <row r="1162" spans="2:14" x14ac:dyDescent="0.3">
      <c r="B1162" s="171">
        <v>45156</v>
      </c>
      <c r="C1162" s="60">
        <v>8214.85</v>
      </c>
      <c r="J1162" s="58" t="s">
        <v>2421</v>
      </c>
      <c r="K1162" s="60">
        <v>5534.8</v>
      </c>
      <c r="L1162" s="63" t="s">
        <v>1657</v>
      </c>
      <c r="M1162" s="90"/>
      <c r="N1162" s="90">
        <v>680</v>
      </c>
    </row>
    <row r="1163" spans="2:14" x14ac:dyDescent="0.3">
      <c r="B1163" s="171">
        <v>45155</v>
      </c>
      <c r="C1163" s="60">
        <v>8207.35</v>
      </c>
      <c r="J1163" s="58" t="s">
        <v>2422</v>
      </c>
      <c r="K1163" s="60">
        <v>5543.45</v>
      </c>
      <c r="L1163" s="63" t="s">
        <v>1658</v>
      </c>
      <c r="M1163" s="90"/>
      <c r="N1163" s="90">
        <v>481</v>
      </c>
    </row>
    <row r="1164" spans="2:14" x14ac:dyDescent="0.3">
      <c r="B1164" s="171">
        <v>45154</v>
      </c>
      <c r="C1164" s="60">
        <v>8251.9</v>
      </c>
      <c r="J1164" s="58" t="s">
        <v>2423</v>
      </c>
      <c r="K1164" s="60">
        <v>5547.1</v>
      </c>
      <c r="L1164" s="63" t="s">
        <v>1659</v>
      </c>
      <c r="M1164" s="90"/>
      <c r="N1164" s="90">
        <v>321</v>
      </c>
    </row>
    <row r="1165" spans="2:14" x14ac:dyDescent="0.3">
      <c r="B1165" s="171">
        <v>45152</v>
      </c>
      <c r="C1165" s="60">
        <v>8054.3</v>
      </c>
      <c r="J1165" s="58" t="s">
        <v>2424</v>
      </c>
      <c r="K1165" s="60">
        <v>5490.1</v>
      </c>
      <c r="L1165" s="63" t="s">
        <v>1660</v>
      </c>
      <c r="M1165" s="90"/>
      <c r="N1165" s="90">
        <v>483</v>
      </c>
    </row>
    <row r="1166" spans="2:14" x14ac:dyDescent="0.3">
      <c r="B1166" s="171">
        <v>45149</v>
      </c>
      <c r="C1166" s="60">
        <v>8132.95</v>
      </c>
      <c r="J1166" s="58" t="s">
        <v>2425</v>
      </c>
      <c r="K1166" s="60">
        <v>5386</v>
      </c>
      <c r="L1166" s="63" t="s">
        <v>1661</v>
      </c>
      <c r="M1166" s="90"/>
      <c r="N1166" s="90">
        <v>461</v>
      </c>
    </row>
    <row r="1167" spans="2:14" x14ac:dyDescent="0.3">
      <c r="B1167" s="171">
        <v>45148</v>
      </c>
      <c r="C1167" s="60">
        <v>8102.2</v>
      </c>
      <c r="J1167" s="58" t="s">
        <v>2426</v>
      </c>
      <c r="K1167" s="60">
        <v>5452.25</v>
      </c>
      <c r="L1167" s="63" t="s">
        <v>1662</v>
      </c>
      <c r="M1167" s="90"/>
      <c r="N1167" s="90">
        <v>589</v>
      </c>
    </row>
    <row r="1168" spans="2:14" x14ac:dyDescent="0.3">
      <c r="B1168" s="171">
        <v>45147</v>
      </c>
      <c r="C1168" s="60">
        <v>8111.25</v>
      </c>
      <c r="J1168" s="58" t="s">
        <v>2427</v>
      </c>
      <c r="K1168" s="60">
        <v>5582.35</v>
      </c>
      <c r="L1168" s="63" t="s">
        <v>1663</v>
      </c>
      <c r="M1168" s="90"/>
      <c r="N1168" s="90">
        <v>464</v>
      </c>
    </row>
    <row r="1169" spans="2:14" x14ac:dyDescent="0.3">
      <c r="B1169" s="171">
        <v>45146</v>
      </c>
      <c r="C1169" s="60">
        <v>8156.85</v>
      </c>
      <c r="J1169" s="58" t="s">
        <v>2428</v>
      </c>
      <c r="K1169" s="60">
        <v>5650.75</v>
      </c>
      <c r="L1169" s="63" t="s">
        <v>1664</v>
      </c>
      <c r="M1169" s="90"/>
      <c r="N1169" s="90">
        <v>423</v>
      </c>
    </row>
    <row r="1170" spans="2:14" x14ac:dyDescent="0.3">
      <c r="B1170" s="171">
        <v>45145</v>
      </c>
      <c r="C1170" s="60">
        <v>8175.45</v>
      </c>
      <c r="J1170" s="58">
        <v>44531</v>
      </c>
      <c r="K1170" s="60">
        <v>5639</v>
      </c>
      <c r="L1170" s="63" t="s">
        <v>1665</v>
      </c>
      <c r="M1170" s="90"/>
      <c r="N1170" s="90">
        <v>591</v>
      </c>
    </row>
    <row r="1171" spans="2:14" x14ac:dyDescent="0.3">
      <c r="B1171" s="171">
        <v>45142</v>
      </c>
      <c r="C1171" s="60">
        <v>8158.15</v>
      </c>
      <c r="J1171" s="58">
        <v>44501</v>
      </c>
      <c r="K1171" s="60">
        <v>5623.7</v>
      </c>
      <c r="L1171" s="63" t="s">
        <v>1666</v>
      </c>
      <c r="M1171" s="90"/>
      <c r="N1171" s="90">
        <v>714</v>
      </c>
    </row>
    <row r="1172" spans="2:14" x14ac:dyDescent="0.3">
      <c r="B1172" s="171">
        <v>45141</v>
      </c>
      <c r="C1172" s="60">
        <v>8136.15</v>
      </c>
      <c r="J1172" s="58">
        <v>44409</v>
      </c>
      <c r="K1172" s="60">
        <v>5591.75</v>
      </c>
      <c r="L1172" s="63" t="s">
        <v>1667</v>
      </c>
      <c r="M1172" s="90"/>
      <c r="N1172" s="90">
        <v>802</v>
      </c>
    </row>
    <row r="1173" spans="2:14" x14ac:dyDescent="0.3">
      <c r="B1173" s="171">
        <v>45140</v>
      </c>
      <c r="C1173" s="60">
        <v>8287.7000000000007</v>
      </c>
      <c r="J1173" s="58">
        <v>44378</v>
      </c>
      <c r="K1173" s="60">
        <v>5397.95</v>
      </c>
      <c r="L1173" s="63" t="s">
        <v>1668</v>
      </c>
      <c r="M1173" s="90"/>
      <c r="N1173" s="90">
        <v>742</v>
      </c>
    </row>
    <row r="1174" spans="2:14" x14ac:dyDescent="0.3">
      <c r="B1174" s="171">
        <v>45139</v>
      </c>
      <c r="C1174" s="60">
        <v>8281.7999999999993</v>
      </c>
      <c r="J1174" s="58">
        <v>44348</v>
      </c>
      <c r="K1174" s="60">
        <v>5448.35</v>
      </c>
      <c r="L1174" s="63" t="s">
        <v>1669</v>
      </c>
      <c r="M1174" s="90"/>
      <c r="N1174" s="90">
        <v>701</v>
      </c>
    </row>
    <row r="1175" spans="2:14" x14ac:dyDescent="0.3">
      <c r="B1175" s="171">
        <v>45138</v>
      </c>
      <c r="C1175" s="60">
        <v>8318.15</v>
      </c>
      <c r="J1175" s="58">
        <v>44317</v>
      </c>
      <c r="K1175" s="60">
        <v>5341.2</v>
      </c>
      <c r="L1175" s="63" t="s">
        <v>1670</v>
      </c>
      <c r="M1175" s="90"/>
      <c r="N1175" s="90">
        <v>530</v>
      </c>
    </row>
    <row r="1176" spans="2:14" x14ac:dyDescent="0.3">
      <c r="B1176" s="171">
        <v>45135</v>
      </c>
      <c r="C1176" s="60">
        <v>8306.75</v>
      </c>
      <c r="J1176" s="58">
        <v>44287</v>
      </c>
      <c r="K1176" s="60">
        <v>5327.2</v>
      </c>
      <c r="L1176" s="63" t="s">
        <v>1671</v>
      </c>
      <c r="M1176" s="90"/>
      <c r="N1176" s="90">
        <v>453</v>
      </c>
    </row>
    <row r="1177" spans="2:14" x14ac:dyDescent="0.3">
      <c r="B1177" s="171">
        <v>45134</v>
      </c>
      <c r="C1177" s="60">
        <v>8288.25</v>
      </c>
      <c r="J1177" s="58">
        <v>44197</v>
      </c>
      <c r="K1177" s="60">
        <v>5290.8</v>
      </c>
      <c r="L1177" s="63" t="s">
        <v>1672</v>
      </c>
      <c r="M1177" s="90"/>
      <c r="N1177" s="90">
        <v>355</v>
      </c>
    </row>
    <row r="1178" spans="2:14" x14ac:dyDescent="0.3">
      <c r="B1178" s="171">
        <v>45133</v>
      </c>
      <c r="C1178" s="60">
        <v>8352.35</v>
      </c>
      <c r="J1178" s="58" t="s">
        <v>2429</v>
      </c>
      <c r="K1178" s="60">
        <v>5288.15</v>
      </c>
      <c r="L1178" s="63" t="s">
        <v>1673</v>
      </c>
      <c r="M1178" s="90">
        <v>2020</v>
      </c>
      <c r="N1178" s="90">
        <v>728</v>
      </c>
    </row>
    <row r="1179" spans="2:14" x14ac:dyDescent="0.3">
      <c r="B1179" s="171">
        <v>45132</v>
      </c>
      <c r="C1179" s="60">
        <v>8393.2999999999993</v>
      </c>
      <c r="J1179" s="58" t="s">
        <v>2430</v>
      </c>
      <c r="K1179" s="60">
        <v>5354.75</v>
      </c>
      <c r="L1179" s="63">
        <v>1000</v>
      </c>
      <c r="M1179" s="90"/>
      <c r="N1179" s="90">
        <v>1000</v>
      </c>
    </row>
    <row r="1180" spans="2:14" x14ac:dyDescent="0.3">
      <c r="B1180" s="171">
        <v>45131</v>
      </c>
      <c r="C1180" s="60">
        <v>8219.85</v>
      </c>
      <c r="J1180" s="58" t="s">
        <v>2431</v>
      </c>
      <c r="K1180" s="60">
        <v>5146.75</v>
      </c>
      <c r="L1180" s="63" t="s">
        <v>1674</v>
      </c>
      <c r="M1180" s="90"/>
      <c r="N1180" s="90">
        <v>401</v>
      </c>
    </row>
    <row r="1181" spans="2:14" x14ac:dyDescent="0.3">
      <c r="B1181" s="171">
        <v>45128</v>
      </c>
      <c r="C1181" s="60">
        <v>8119.2</v>
      </c>
      <c r="J1181" s="58" t="s">
        <v>2432</v>
      </c>
      <c r="K1181" s="60">
        <v>5142.1499999999996</v>
      </c>
      <c r="L1181" s="63" t="s">
        <v>1675</v>
      </c>
      <c r="M1181" s="90"/>
      <c r="N1181" s="90">
        <v>410</v>
      </c>
    </row>
    <row r="1182" spans="2:14" x14ac:dyDescent="0.3">
      <c r="B1182" s="171">
        <v>45127</v>
      </c>
      <c r="C1182" s="60">
        <v>8224.15</v>
      </c>
      <c r="J1182" s="58" t="s">
        <v>2433</v>
      </c>
      <c r="K1182" s="60">
        <v>5044.75</v>
      </c>
      <c r="L1182" s="63" t="s">
        <v>1676</v>
      </c>
      <c r="M1182" s="90"/>
      <c r="N1182" s="90">
        <v>431</v>
      </c>
    </row>
    <row r="1183" spans="2:14" x14ac:dyDescent="0.3">
      <c r="B1183" s="171">
        <v>45126</v>
      </c>
      <c r="C1183" s="60">
        <v>8329.2000000000007</v>
      </c>
      <c r="J1183" s="58" t="s">
        <v>2434</v>
      </c>
      <c r="K1183" s="60">
        <v>5033.95</v>
      </c>
      <c r="L1183" s="63" t="s">
        <v>1677</v>
      </c>
      <c r="M1183" s="90"/>
      <c r="N1183" s="90">
        <v>449</v>
      </c>
    </row>
    <row r="1184" spans="2:14" x14ac:dyDescent="0.3">
      <c r="B1184" s="171">
        <v>45125</v>
      </c>
      <c r="C1184" s="60">
        <v>8176</v>
      </c>
      <c r="J1184" s="58" t="s">
        <v>2435</v>
      </c>
      <c r="K1184" s="60">
        <v>5021.3</v>
      </c>
      <c r="L1184" s="63" t="s">
        <v>1678</v>
      </c>
      <c r="M1184" s="90"/>
      <c r="N1184" s="90">
        <v>576</v>
      </c>
    </row>
    <row r="1185" spans="2:14" x14ac:dyDescent="0.3">
      <c r="B1185" s="171">
        <v>45124</v>
      </c>
      <c r="C1185" s="60">
        <v>8251</v>
      </c>
      <c r="J1185" s="58" t="s">
        <v>2436</v>
      </c>
      <c r="K1185" s="60">
        <v>5007.8500000000004</v>
      </c>
      <c r="L1185" s="63" t="s">
        <v>1679</v>
      </c>
      <c r="M1185" s="90"/>
      <c r="N1185" s="90">
        <v>598</v>
      </c>
    </row>
    <row r="1186" spans="2:14" x14ac:dyDescent="0.3">
      <c r="B1186" s="171">
        <v>45121</v>
      </c>
      <c r="C1186" s="60">
        <v>8182.55</v>
      </c>
      <c r="J1186" s="58" t="s">
        <v>2437</v>
      </c>
      <c r="K1186" s="60">
        <v>5152.5</v>
      </c>
      <c r="L1186" s="63" t="s">
        <v>1680</v>
      </c>
      <c r="M1186" s="90"/>
      <c r="N1186" s="90">
        <v>549</v>
      </c>
    </row>
    <row r="1187" spans="2:14" x14ac:dyDescent="0.3">
      <c r="B1187" s="171">
        <v>45120</v>
      </c>
      <c r="C1187" s="60">
        <v>8234</v>
      </c>
      <c r="J1187" s="58" t="s">
        <v>2438</v>
      </c>
      <c r="K1187" s="60">
        <v>5171.8</v>
      </c>
      <c r="L1187" s="63" t="s">
        <v>1681</v>
      </c>
      <c r="M1187" s="90"/>
      <c r="N1187" s="90">
        <v>834</v>
      </c>
    </row>
    <row r="1188" spans="2:14" x14ac:dyDescent="0.3">
      <c r="B1188" s="171">
        <v>45119</v>
      </c>
      <c r="C1188" s="60">
        <v>8220.5</v>
      </c>
      <c r="J1188" s="58" t="s">
        <v>2439</v>
      </c>
      <c r="K1188" s="60">
        <v>5113</v>
      </c>
      <c r="L1188" s="63" t="s">
        <v>1682</v>
      </c>
      <c r="M1188" s="90"/>
      <c r="N1188" s="90">
        <v>630</v>
      </c>
    </row>
    <row r="1189" spans="2:14" x14ac:dyDescent="0.3">
      <c r="B1189" s="171">
        <v>45118</v>
      </c>
      <c r="C1189" s="60">
        <v>8325.9</v>
      </c>
      <c r="J1189" s="58" t="s">
        <v>2440</v>
      </c>
      <c r="K1189" s="60">
        <v>5156.8500000000004</v>
      </c>
      <c r="L1189" s="63">
        <v>1000</v>
      </c>
      <c r="M1189" s="90"/>
      <c r="N1189" s="90">
        <v>1000</v>
      </c>
    </row>
    <row r="1190" spans="2:14" x14ac:dyDescent="0.3">
      <c r="B1190" s="171">
        <v>45117</v>
      </c>
      <c r="C1190" s="60">
        <v>8351.35</v>
      </c>
      <c r="J1190" s="58" t="s">
        <v>2441</v>
      </c>
      <c r="K1190" s="60">
        <v>5073.75</v>
      </c>
      <c r="L1190" s="63" t="s">
        <v>1683</v>
      </c>
      <c r="M1190" s="90"/>
      <c r="N1190" s="90">
        <v>919</v>
      </c>
    </row>
    <row r="1191" spans="2:14" x14ac:dyDescent="0.3">
      <c r="B1191" s="171">
        <v>45114</v>
      </c>
      <c r="C1191" s="60">
        <v>8336.4500000000007</v>
      </c>
      <c r="J1191" s="58">
        <v>44147</v>
      </c>
      <c r="K1191" s="60">
        <v>5015</v>
      </c>
      <c r="L1191" s="63" t="s">
        <v>1684</v>
      </c>
      <c r="M1191" s="90"/>
      <c r="N1191" s="90">
        <v>974</v>
      </c>
    </row>
    <row r="1192" spans="2:14" x14ac:dyDescent="0.3">
      <c r="B1192" s="171">
        <v>45113</v>
      </c>
      <c r="C1192" s="60">
        <v>8410.2000000000007</v>
      </c>
      <c r="J1192" s="58">
        <v>44116</v>
      </c>
      <c r="K1192" s="60">
        <v>4964.3</v>
      </c>
      <c r="L1192" s="63">
        <v>1000</v>
      </c>
      <c r="M1192" s="90"/>
      <c r="N1192" s="90">
        <v>1000</v>
      </c>
    </row>
    <row r="1193" spans="2:14" x14ac:dyDescent="0.3">
      <c r="B1193" s="171">
        <v>45112</v>
      </c>
      <c r="C1193" s="60">
        <v>8377.2000000000007</v>
      </c>
      <c r="J1193" s="58">
        <v>44086</v>
      </c>
      <c r="K1193" s="60">
        <v>5144.8</v>
      </c>
      <c r="L1193" s="63">
        <v>1500</v>
      </c>
      <c r="M1193" s="90"/>
      <c r="N1193" s="90">
        <v>1500</v>
      </c>
    </row>
    <row r="1194" spans="2:14" x14ac:dyDescent="0.3">
      <c r="B1194" s="171">
        <v>45111</v>
      </c>
      <c r="C1194" s="60">
        <v>8411.7000000000007</v>
      </c>
      <c r="J1194" s="58">
        <v>44055</v>
      </c>
      <c r="K1194" s="60">
        <v>5217.75</v>
      </c>
      <c r="L1194" s="63">
        <v>1500</v>
      </c>
      <c r="M1194" s="90"/>
      <c r="N1194" s="90">
        <v>1500</v>
      </c>
    </row>
    <row r="1195" spans="2:14" x14ac:dyDescent="0.3">
      <c r="B1195" s="171">
        <v>45110</v>
      </c>
      <c r="C1195" s="60">
        <v>8463.7999999999993</v>
      </c>
      <c r="J1195" s="58">
        <v>44024</v>
      </c>
      <c r="K1195" s="60">
        <v>5056.5</v>
      </c>
      <c r="L1195" s="63" t="s">
        <v>1685</v>
      </c>
      <c r="M1195" s="90"/>
      <c r="N1195" s="90">
        <v>910</v>
      </c>
    </row>
    <row r="1196" spans="2:14" x14ac:dyDescent="0.3">
      <c r="B1196" s="171">
        <v>45107</v>
      </c>
      <c r="C1196" s="60">
        <v>8294.75</v>
      </c>
      <c r="J1196" s="58">
        <v>43933</v>
      </c>
      <c r="K1196" s="60">
        <v>5091.3999999999996</v>
      </c>
      <c r="L1196" s="63">
        <v>3000</v>
      </c>
      <c r="M1196" s="90"/>
      <c r="N1196" s="90">
        <v>3000</v>
      </c>
    </row>
    <row r="1197" spans="2:14" x14ac:dyDescent="0.3">
      <c r="B1197" s="171">
        <v>45105</v>
      </c>
      <c r="C1197" s="60">
        <v>8260.65</v>
      </c>
      <c r="J1197" s="58">
        <v>43902</v>
      </c>
      <c r="K1197" s="60">
        <v>4893.5</v>
      </c>
      <c r="L1197" s="63" t="s">
        <v>1686</v>
      </c>
      <c r="M1197" s="90"/>
      <c r="N1197" s="90">
        <v>740</v>
      </c>
    </row>
    <row r="1198" spans="2:14" x14ac:dyDescent="0.3">
      <c r="B1198" s="171">
        <v>45104</v>
      </c>
      <c r="C1198" s="60">
        <v>8208.5</v>
      </c>
      <c r="J1198" s="58">
        <v>43873</v>
      </c>
      <c r="K1198" s="60">
        <v>4933.1000000000004</v>
      </c>
      <c r="L1198" s="63" t="s">
        <v>1687</v>
      </c>
      <c r="M1198" s="90"/>
      <c r="N1198" s="90">
        <v>696</v>
      </c>
    </row>
    <row r="1199" spans="2:14" x14ac:dyDescent="0.3">
      <c r="B1199" s="171">
        <v>45103</v>
      </c>
      <c r="C1199" s="60">
        <v>8167.1</v>
      </c>
      <c r="J1199" s="58">
        <v>43842</v>
      </c>
      <c r="K1199" s="60">
        <v>4910.5</v>
      </c>
      <c r="L1199" s="63" t="s">
        <v>1688</v>
      </c>
      <c r="M1199" s="90"/>
      <c r="N1199" s="90">
        <v>752</v>
      </c>
    </row>
    <row r="1200" spans="2:14" x14ac:dyDescent="0.3">
      <c r="B1200" s="171">
        <v>45100</v>
      </c>
      <c r="C1200" s="60">
        <v>8080.2</v>
      </c>
      <c r="J1200" s="58" t="s">
        <v>2442</v>
      </c>
      <c r="K1200" s="60">
        <v>4802</v>
      </c>
      <c r="L1200" s="63" t="s">
        <v>1689</v>
      </c>
      <c r="M1200" s="90"/>
      <c r="N1200" s="90">
        <v>920</v>
      </c>
    </row>
    <row r="1201" spans="2:14" x14ac:dyDescent="0.3">
      <c r="B1201" s="171">
        <v>45099</v>
      </c>
      <c r="C1201" s="60">
        <v>8162.75</v>
      </c>
      <c r="J1201" s="58" t="s">
        <v>2443</v>
      </c>
      <c r="K1201" s="60">
        <v>4834.1499999999996</v>
      </c>
      <c r="L1201" s="63" t="s">
        <v>1690</v>
      </c>
      <c r="M1201" s="90"/>
      <c r="N1201" s="90">
        <v>486</v>
      </c>
    </row>
    <row r="1202" spans="2:14" x14ac:dyDescent="0.3">
      <c r="B1202" s="171">
        <v>45098</v>
      </c>
      <c r="C1202" s="60">
        <v>8241.5499999999993</v>
      </c>
      <c r="J1202" s="58" t="s">
        <v>2444</v>
      </c>
      <c r="K1202" s="60">
        <v>4819.8500000000004</v>
      </c>
      <c r="L1202" s="63" t="s">
        <v>1691</v>
      </c>
      <c r="M1202" s="90"/>
      <c r="N1202" s="90">
        <v>481</v>
      </c>
    </row>
    <row r="1203" spans="2:14" x14ac:dyDescent="0.3">
      <c r="B1203" s="171">
        <v>45097</v>
      </c>
      <c r="C1203" s="60">
        <v>8243.4500000000007</v>
      </c>
      <c r="J1203" s="58" t="s">
        <v>2445</v>
      </c>
      <c r="K1203" s="60">
        <v>4873.2</v>
      </c>
      <c r="L1203" s="63" t="s">
        <v>1692</v>
      </c>
      <c r="M1203" s="90"/>
      <c r="N1203" s="90">
        <v>372</v>
      </c>
    </row>
    <row r="1204" spans="2:14" x14ac:dyDescent="0.3">
      <c r="B1204" s="171">
        <v>45096</v>
      </c>
      <c r="C1204" s="60">
        <v>8268.6</v>
      </c>
      <c r="J1204" s="58" t="s">
        <v>2446</v>
      </c>
      <c r="K1204" s="60">
        <v>4889.5</v>
      </c>
      <c r="L1204" s="63" t="s">
        <v>1693</v>
      </c>
      <c r="M1204" s="90"/>
      <c r="N1204" s="90">
        <v>438</v>
      </c>
    </row>
    <row r="1205" spans="2:14" x14ac:dyDescent="0.3">
      <c r="B1205" s="171">
        <v>45093</v>
      </c>
      <c r="C1205" s="60">
        <v>8333.25</v>
      </c>
      <c r="J1205" s="58" t="s">
        <v>2447</v>
      </c>
      <c r="K1205" s="60">
        <v>4862.55</v>
      </c>
      <c r="L1205" s="63" t="s">
        <v>1694</v>
      </c>
      <c r="M1205" s="90"/>
      <c r="N1205" s="90">
        <v>445</v>
      </c>
    </row>
    <row r="1206" spans="2:14" x14ac:dyDescent="0.3">
      <c r="B1206" s="171">
        <v>45092</v>
      </c>
      <c r="C1206" s="60">
        <v>8333.2000000000007</v>
      </c>
      <c r="J1206" s="58" t="s">
        <v>2448</v>
      </c>
      <c r="K1206" s="60">
        <v>4778</v>
      </c>
      <c r="L1206" s="63" t="s">
        <v>1695</v>
      </c>
      <c r="M1206" s="90"/>
      <c r="N1206" s="90">
        <v>540</v>
      </c>
    </row>
    <row r="1207" spans="2:14" x14ac:dyDescent="0.3">
      <c r="B1207" s="171">
        <v>45091</v>
      </c>
      <c r="C1207" s="60">
        <v>8358.2999999999993</v>
      </c>
      <c r="J1207" s="58" t="s">
        <v>2449</v>
      </c>
      <c r="K1207" s="60">
        <v>4927.5</v>
      </c>
      <c r="L1207" s="63" t="s">
        <v>1696</v>
      </c>
      <c r="M1207" s="90"/>
      <c r="N1207" s="90">
        <v>437</v>
      </c>
    </row>
    <row r="1208" spans="2:14" x14ac:dyDescent="0.3">
      <c r="B1208" s="171">
        <v>45090</v>
      </c>
      <c r="C1208" s="60">
        <v>8276.2999999999993</v>
      </c>
      <c r="J1208" s="58" t="s">
        <v>2450</v>
      </c>
      <c r="K1208" s="60">
        <v>4909.05</v>
      </c>
      <c r="L1208" s="63" t="s">
        <v>1697</v>
      </c>
      <c r="M1208" s="90"/>
      <c r="N1208" s="90">
        <v>708</v>
      </c>
    </row>
    <row r="1209" spans="2:14" x14ac:dyDescent="0.3">
      <c r="B1209" s="171">
        <v>45089</v>
      </c>
      <c r="C1209" s="60">
        <v>8198.6</v>
      </c>
      <c r="J1209" s="58" t="s">
        <v>2451</v>
      </c>
      <c r="K1209" s="60">
        <v>4899.75</v>
      </c>
      <c r="L1209" s="63" t="s">
        <v>1698</v>
      </c>
      <c r="M1209" s="90"/>
      <c r="N1209" s="90">
        <v>428</v>
      </c>
    </row>
    <row r="1210" spans="2:14" x14ac:dyDescent="0.3">
      <c r="B1210" s="171">
        <v>45086</v>
      </c>
      <c r="C1210" s="60">
        <v>8153.25</v>
      </c>
      <c r="J1210" s="58">
        <v>44176</v>
      </c>
      <c r="K1210" s="60">
        <v>4846.1000000000004</v>
      </c>
      <c r="L1210" s="63" t="s">
        <v>1699</v>
      </c>
      <c r="M1210" s="90"/>
      <c r="N1210" s="90">
        <v>668</v>
      </c>
    </row>
    <row r="1211" spans="2:14" x14ac:dyDescent="0.3">
      <c r="B1211" s="171">
        <v>45085</v>
      </c>
      <c r="C1211" s="60">
        <v>8100.15</v>
      </c>
      <c r="J1211" s="58">
        <v>44146</v>
      </c>
      <c r="K1211" s="60">
        <v>4823.8</v>
      </c>
      <c r="L1211" s="63" t="s">
        <v>1700</v>
      </c>
      <c r="M1211" s="90"/>
      <c r="N1211" s="90">
        <v>811</v>
      </c>
    </row>
    <row r="1212" spans="2:14" x14ac:dyDescent="0.3">
      <c r="B1212" s="171">
        <v>45084</v>
      </c>
      <c r="C1212" s="60">
        <v>8157.6</v>
      </c>
      <c r="J1212" s="58">
        <v>44115</v>
      </c>
      <c r="K1212" s="60">
        <v>4719.55</v>
      </c>
      <c r="L1212" s="63">
        <v>1000</v>
      </c>
      <c r="M1212" s="90"/>
      <c r="N1212" s="90">
        <v>1000</v>
      </c>
    </row>
    <row r="1213" spans="2:14" x14ac:dyDescent="0.3">
      <c r="B1213" s="171">
        <v>45083</v>
      </c>
      <c r="C1213" s="60">
        <v>8109.55</v>
      </c>
      <c r="J1213" s="58">
        <v>44085</v>
      </c>
      <c r="K1213" s="60">
        <v>4625.25</v>
      </c>
      <c r="L1213" s="63" t="s">
        <v>1701</v>
      </c>
      <c r="M1213" s="90"/>
      <c r="N1213" s="90">
        <v>447</v>
      </c>
    </row>
    <row r="1214" spans="2:14" x14ac:dyDescent="0.3">
      <c r="B1214" s="171">
        <v>45082</v>
      </c>
      <c r="C1214" s="60">
        <v>7882</v>
      </c>
      <c r="J1214" s="58">
        <v>43993</v>
      </c>
      <c r="K1214" s="60">
        <v>4556</v>
      </c>
      <c r="L1214" s="63" t="s">
        <v>1702</v>
      </c>
      <c r="M1214" s="90"/>
      <c r="N1214" s="90">
        <v>426</v>
      </c>
    </row>
    <row r="1215" spans="2:14" x14ac:dyDescent="0.3">
      <c r="B1215" s="171">
        <v>45079</v>
      </c>
      <c r="C1215" s="60">
        <v>7850.65</v>
      </c>
      <c r="J1215" s="58">
        <v>43962</v>
      </c>
      <c r="K1215" s="60">
        <v>4617.8999999999996</v>
      </c>
      <c r="L1215" s="63" t="s">
        <v>1703</v>
      </c>
      <c r="M1215" s="90"/>
      <c r="N1215" s="90">
        <v>584</v>
      </c>
    </row>
    <row r="1216" spans="2:14" x14ac:dyDescent="0.3">
      <c r="B1216" s="171">
        <v>45078</v>
      </c>
      <c r="C1216" s="60">
        <v>7842.8</v>
      </c>
      <c r="J1216" s="58">
        <v>43932</v>
      </c>
      <c r="K1216" s="60">
        <v>4531.6000000000004</v>
      </c>
      <c r="L1216" s="63" t="s">
        <v>1704</v>
      </c>
      <c r="M1216" s="90"/>
      <c r="N1216" s="90">
        <v>495</v>
      </c>
    </row>
    <row r="1217" spans="2:14" x14ac:dyDescent="0.3">
      <c r="B1217" s="171">
        <v>45077</v>
      </c>
      <c r="C1217" s="60">
        <v>7870.05</v>
      </c>
      <c r="J1217" s="58">
        <v>43901</v>
      </c>
      <c r="K1217" s="60">
        <v>4549.55</v>
      </c>
      <c r="L1217" s="63" t="s">
        <v>1705</v>
      </c>
      <c r="M1217" s="90"/>
      <c r="N1217" s="90">
        <v>582</v>
      </c>
    </row>
    <row r="1218" spans="2:14" x14ac:dyDescent="0.3">
      <c r="B1218" s="171">
        <v>45076</v>
      </c>
      <c r="C1218" s="60">
        <v>7901.95</v>
      </c>
      <c r="J1218" s="58">
        <v>43872</v>
      </c>
      <c r="K1218" s="60">
        <v>4550.8</v>
      </c>
      <c r="L1218" s="63" t="s">
        <v>1706</v>
      </c>
      <c r="M1218" s="90"/>
      <c r="N1218" s="90">
        <v>489</v>
      </c>
    </row>
    <row r="1219" spans="2:14" x14ac:dyDescent="0.3">
      <c r="B1219" s="171">
        <v>45075</v>
      </c>
      <c r="C1219" s="60">
        <v>7840.55</v>
      </c>
      <c r="J1219" s="58" t="s">
        <v>2452</v>
      </c>
      <c r="K1219" s="60">
        <v>4574.05</v>
      </c>
      <c r="L1219" s="63" t="s">
        <v>1707</v>
      </c>
      <c r="M1219" s="90"/>
      <c r="N1219" s="90">
        <v>934</v>
      </c>
    </row>
    <row r="1220" spans="2:14" x14ac:dyDescent="0.3">
      <c r="B1220" s="171">
        <v>45072</v>
      </c>
      <c r="C1220" s="60">
        <v>7721.85</v>
      </c>
      <c r="J1220" s="58" t="s">
        <v>2453</v>
      </c>
      <c r="K1220" s="60">
        <v>4576.8</v>
      </c>
      <c r="L1220" s="63" t="s">
        <v>1708</v>
      </c>
      <c r="M1220" s="90"/>
      <c r="N1220" s="90">
        <v>927</v>
      </c>
    </row>
    <row r="1221" spans="2:14" x14ac:dyDescent="0.3">
      <c r="B1221" s="171">
        <v>45071</v>
      </c>
      <c r="C1221" s="60">
        <v>7621.75</v>
      </c>
      <c r="J1221" s="58" t="s">
        <v>2454</v>
      </c>
      <c r="K1221" s="60">
        <v>4469.3</v>
      </c>
      <c r="L1221" s="63" t="s">
        <v>1709</v>
      </c>
      <c r="M1221" s="90"/>
      <c r="N1221" s="90">
        <v>509</v>
      </c>
    </row>
    <row r="1222" spans="2:14" x14ac:dyDescent="0.3">
      <c r="B1222" s="171">
        <v>45070</v>
      </c>
      <c r="C1222" s="60">
        <v>7653.8</v>
      </c>
      <c r="J1222" s="58" t="s">
        <v>2455</v>
      </c>
      <c r="K1222" s="60">
        <v>4566.95</v>
      </c>
      <c r="L1222" s="63">
        <v>1000</v>
      </c>
      <c r="M1222" s="90"/>
      <c r="N1222" s="90">
        <v>1000</v>
      </c>
    </row>
    <row r="1223" spans="2:14" x14ac:dyDescent="0.3">
      <c r="B1223" s="171">
        <v>45069</v>
      </c>
      <c r="C1223" s="60">
        <v>7654.25</v>
      </c>
      <c r="J1223" s="58" t="s">
        <v>2456</v>
      </c>
      <c r="K1223" s="60">
        <v>4485.3999999999996</v>
      </c>
      <c r="L1223" s="63" t="s">
        <v>1710</v>
      </c>
      <c r="M1223" s="90"/>
      <c r="N1223" s="90">
        <v>727</v>
      </c>
    </row>
    <row r="1224" spans="2:14" x14ac:dyDescent="0.3">
      <c r="B1224" s="171">
        <v>45068</v>
      </c>
      <c r="C1224" s="60">
        <v>7715.65</v>
      </c>
      <c r="J1224" s="58" t="s">
        <v>2457</v>
      </c>
      <c r="K1224" s="60">
        <v>4504.55</v>
      </c>
      <c r="L1224" s="63" t="s">
        <v>1711</v>
      </c>
      <c r="M1224" s="90"/>
      <c r="N1224" s="90">
        <v>886</v>
      </c>
    </row>
    <row r="1225" spans="2:14" x14ac:dyDescent="0.3">
      <c r="B1225" s="171">
        <v>45065</v>
      </c>
      <c r="C1225" s="60">
        <v>7681.3</v>
      </c>
      <c r="J1225" s="58" t="s">
        <v>2458</v>
      </c>
      <c r="K1225" s="60">
        <v>4614.55</v>
      </c>
      <c r="L1225" s="63">
        <v>2000</v>
      </c>
      <c r="M1225" s="90"/>
      <c r="N1225" s="90">
        <v>2000</v>
      </c>
    </row>
    <row r="1226" spans="2:14" x14ac:dyDescent="0.3">
      <c r="B1226" s="171">
        <v>45064</v>
      </c>
      <c r="C1226" s="60">
        <v>7604.15</v>
      </c>
      <c r="J1226" s="58" t="s">
        <v>2459</v>
      </c>
      <c r="K1226" s="60">
        <v>4629.1000000000004</v>
      </c>
      <c r="L1226" s="63">
        <v>2000</v>
      </c>
      <c r="M1226" s="90"/>
      <c r="N1226" s="90">
        <v>2000</v>
      </c>
    </row>
    <row r="1227" spans="2:14" x14ac:dyDescent="0.3">
      <c r="B1227" s="171">
        <v>45063</v>
      </c>
      <c r="C1227" s="60">
        <v>7700.45</v>
      </c>
      <c r="J1227" s="58" t="s">
        <v>2460</v>
      </c>
      <c r="K1227" s="60">
        <v>4544.3500000000004</v>
      </c>
      <c r="L1227" s="63" t="s">
        <v>1712</v>
      </c>
      <c r="M1227" s="90"/>
      <c r="N1227" s="90">
        <v>871</v>
      </c>
    </row>
    <row r="1228" spans="2:14" x14ac:dyDescent="0.3">
      <c r="B1228" s="171">
        <v>45062</v>
      </c>
      <c r="C1228" s="60">
        <v>7698.7</v>
      </c>
      <c r="J1228" s="58" t="s">
        <v>2461</v>
      </c>
      <c r="K1228" s="60">
        <v>4514.6000000000004</v>
      </c>
      <c r="L1228" s="63" t="s">
        <v>1713</v>
      </c>
      <c r="M1228" s="90"/>
      <c r="N1228" s="90">
        <v>636</v>
      </c>
    </row>
    <row r="1229" spans="2:14" x14ac:dyDescent="0.3">
      <c r="B1229" s="171">
        <v>45061</v>
      </c>
      <c r="C1229" s="60">
        <v>7760.95</v>
      </c>
      <c r="J1229" s="58" t="s">
        <v>2462</v>
      </c>
      <c r="K1229" s="60">
        <v>4482.1000000000004</v>
      </c>
      <c r="L1229" s="63" t="s">
        <v>1714</v>
      </c>
      <c r="M1229" s="90"/>
      <c r="N1229" s="90">
        <v>669</v>
      </c>
    </row>
    <row r="1230" spans="2:14" x14ac:dyDescent="0.3">
      <c r="B1230" s="171">
        <v>45058</v>
      </c>
      <c r="C1230" s="60">
        <v>7702.95</v>
      </c>
      <c r="J1230" s="58" t="s">
        <v>2463</v>
      </c>
      <c r="K1230" s="60">
        <v>4383.3</v>
      </c>
      <c r="L1230" s="63" t="s">
        <v>1715</v>
      </c>
      <c r="M1230" s="90"/>
      <c r="N1230" s="90">
        <v>545</v>
      </c>
    </row>
    <row r="1231" spans="2:14" x14ac:dyDescent="0.3">
      <c r="B1231" s="171">
        <v>45057</v>
      </c>
      <c r="C1231" s="60">
        <v>7835.45</v>
      </c>
      <c r="J1231" s="58" t="s">
        <v>2464</v>
      </c>
      <c r="K1231" s="60">
        <v>4442.8500000000004</v>
      </c>
      <c r="L1231" s="63" t="s">
        <v>1716</v>
      </c>
      <c r="M1231" s="90"/>
      <c r="N1231" s="90">
        <v>817</v>
      </c>
    </row>
    <row r="1232" spans="2:14" x14ac:dyDescent="0.3">
      <c r="B1232" s="171">
        <v>45056</v>
      </c>
      <c r="C1232" s="60">
        <v>7743.2</v>
      </c>
      <c r="J1232" s="58" t="s">
        <v>2465</v>
      </c>
      <c r="K1232" s="60">
        <v>4382.75</v>
      </c>
      <c r="L1232" s="63">
        <v>2000</v>
      </c>
      <c r="M1232" s="90"/>
      <c r="N1232" s="90">
        <v>2000</v>
      </c>
    </row>
    <row r="1233" spans="2:14" x14ac:dyDescent="0.3">
      <c r="B1233" s="171">
        <v>45055</v>
      </c>
      <c r="C1233" s="60">
        <v>7716.25</v>
      </c>
      <c r="J1233" s="58">
        <v>44175</v>
      </c>
      <c r="K1233" s="60">
        <v>4306.3</v>
      </c>
      <c r="L1233" s="63" t="s">
        <v>1717</v>
      </c>
      <c r="M1233" s="90"/>
      <c r="N1233" s="90">
        <v>488</v>
      </c>
    </row>
    <row r="1234" spans="2:14" x14ac:dyDescent="0.3">
      <c r="B1234" s="171">
        <v>45054</v>
      </c>
      <c r="C1234" s="60">
        <v>7735.45</v>
      </c>
      <c r="J1234" s="58">
        <v>44084</v>
      </c>
      <c r="K1234" s="60">
        <v>4298.3500000000004</v>
      </c>
      <c r="L1234" s="63" t="s">
        <v>1718</v>
      </c>
      <c r="M1234" s="90"/>
      <c r="N1234" s="90">
        <v>405</v>
      </c>
    </row>
    <row r="1235" spans="2:14" x14ac:dyDescent="0.3">
      <c r="B1235" s="171">
        <v>45051</v>
      </c>
      <c r="C1235" s="60">
        <v>7628.8</v>
      </c>
      <c r="J1235" s="58">
        <v>44053</v>
      </c>
      <c r="K1235" s="60">
        <v>4346</v>
      </c>
      <c r="L1235" s="63" t="s">
        <v>1719</v>
      </c>
      <c r="M1235" s="90"/>
      <c r="N1235" s="90">
        <v>801</v>
      </c>
    </row>
    <row r="1236" spans="2:14" x14ac:dyDescent="0.3">
      <c r="B1236" s="171">
        <v>45050</v>
      </c>
      <c r="C1236" s="60">
        <v>7502.25</v>
      </c>
      <c r="J1236" s="58">
        <v>44022</v>
      </c>
      <c r="K1236" s="60">
        <v>4213.3500000000004</v>
      </c>
      <c r="L1236" s="63">
        <v>1000</v>
      </c>
      <c r="M1236" s="90"/>
      <c r="N1236" s="90">
        <v>1000</v>
      </c>
    </row>
    <row r="1237" spans="2:14" x14ac:dyDescent="0.3">
      <c r="B1237" s="171">
        <v>45049</v>
      </c>
      <c r="C1237" s="60">
        <v>7507.2</v>
      </c>
      <c r="J1237" s="58">
        <v>43992</v>
      </c>
      <c r="K1237" s="60">
        <v>4136.1000000000004</v>
      </c>
      <c r="L1237" s="63" t="s">
        <v>1720</v>
      </c>
      <c r="M1237" s="90"/>
      <c r="N1237" s="90">
        <v>351</v>
      </c>
    </row>
    <row r="1238" spans="2:14" x14ac:dyDescent="0.3">
      <c r="B1238" s="171">
        <v>45048</v>
      </c>
      <c r="C1238" s="60">
        <v>7456.6</v>
      </c>
      <c r="J1238" s="58">
        <v>43961</v>
      </c>
      <c r="K1238" s="60">
        <v>4047.15</v>
      </c>
      <c r="L1238" s="63" t="s">
        <v>1721</v>
      </c>
      <c r="M1238" s="90"/>
      <c r="N1238" s="90">
        <v>313</v>
      </c>
    </row>
    <row r="1239" spans="2:14" x14ac:dyDescent="0.3">
      <c r="B1239" s="171">
        <v>45044</v>
      </c>
      <c r="C1239" s="60">
        <v>7556.2</v>
      </c>
      <c r="J1239" s="58">
        <v>43840</v>
      </c>
      <c r="K1239" s="60">
        <v>4097.75</v>
      </c>
      <c r="L1239" s="63" t="s">
        <v>1722</v>
      </c>
      <c r="M1239" s="90"/>
      <c r="N1239" s="90">
        <v>406</v>
      </c>
    </row>
    <row r="1240" spans="2:14" x14ac:dyDescent="0.3">
      <c r="B1240" s="171">
        <v>45043</v>
      </c>
      <c r="C1240" s="60">
        <v>7500.9</v>
      </c>
      <c r="J1240" s="58" t="s">
        <v>2466</v>
      </c>
      <c r="K1240" s="60">
        <v>4049.55</v>
      </c>
      <c r="L1240" s="63" t="s">
        <v>1723</v>
      </c>
      <c r="M1240" s="90"/>
      <c r="N1240" s="90">
        <v>548</v>
      </c>
    </row>
    <row r="1241" spans="2:14" x14ac:dyDescent="0.3">
      <c r="B1241" s="171">
        <v>45042</v>
      </c>
      <c r="C1241" s="60">
        <v>7456.9</v>
      </c>
      <c r="J1241" s="58" t="s">
        <v>2467</v>
      </c>
      <c r="K1241" s="60">
        <v>4062.1</v>
      </c>
      <c r="L1241" s="63" t="s">
        <v>1724</v>
      </c>
      <c r="M1241" s="90"/>
      <c r="N1241" s="90">
        <v>772</v>
      </c>
    </row>
    <row r="1242" spans="2:14" x14ac:dyDescent="0.3">
      <c r="B1242" s="171">
        <v>45041</v>
      </c>
      <c r="C1242" s="60">
        <v>7439.2</v>
      </c>
      <c r="J1242" s="58" t="s">
        <v>2468</v>
      </c>
      <c r="K1242" s="60">
        <v>3922</v>
      </c>
      <c r="L1242" s="63" t="s">
        <v>1725</v>
      </c>
      <c r="M1242" s="90"/>
      <c r="N1242" s="90">
        <v>248</v>
      </c>
    </row>
    <row r="1243" spans="2:14" x14ac:dyDescent="0.3">
      <c r="B1243" s="171">
        <v>45040</v>
      </c>
      <c r="C1243" s="60">
        <v>7440.55</v>
      </c>
      <c r="J1243" s="58" t="s">
        <v>2469</v>
      </c>
      <c r="K1243" s="60">
        <v>3858.5</v>
      </c>
      <c r="L1243" s="63" t="s">
        <v>1726</v>
      </c>
      <c r="M1243" s="90"/>
      <c r="N1243" s="90">
        <v>321</v>
      </c>
    </row>
    <row r="1244" spans="2:14" x14ac:dyDescent="0.3">
      <c r="B1244" s="171">
        <v>45037</v>
      </c>
      <c r="C1244" s="60">
        <v>7358.5</v>
      </c>
      <c r="J1244" s="58" t="s">
        <v>2470</v>
      </c>
      <c r="K1244" s="60">
        <v>3777.8</v>
      </c>
      <c r="L1244" s="63" t="s">
        <v>1727</v>
      </c>
      <c r="M1244" s="90"/>
      <c r="N1244" s="90">
        <v>456</v>
      </c>
    </row>
    <row r="1245" spans="2:14" x14ac:dyDescent="0.3">
      <c r="B1245" s="171">
        <v>45036</v>
      </c>
      <c r="C1245" s="60">
        <v>7475.8</v>
      </c>
      <c r="J1245" s="58" t="s">
        <v>2471</v>
      </c>
      <c r="K1245" s="60">
        <v>3869.15</v>
      </c>
      <c r="L1245" s="63" t="s">
        <v>1330</v>
      </c>
      <c r="M1245" s="90"/>
      <c r="N1245" s="90">
        <v>307</v>
      </c>
    </row>
    <row r="1246" spans="2:14" x14ac:dyDescent="0.3">
      <c r="B1246" s="171">
        <v>45035</v>
      </c>
      <c r="C1246" s="60">
        <v>7515.9</v>
      </c>
      <c r="J1246" s="58" t="s">
        <v>2472</v>
      </c>
      <c r="K1246" s="60">
        <v>3883.15</v>
      </c>
      <c r="L1246" s="63" t="s">
        <v>1728</v>
      </c>
      <c r="M1246" s="90"/>
      <c r="N1246" s="90">
        <v>509</v>
      </c>
    </row>
    <row r="1247" spans="2:14" x14ac:dyDescent="0.3">
      <c r="B1247" s="171">
        <v>45034</v>
      </c>
      <c r="C1247" s="60">
        <v>7595.3</v>
      </c>
    </row>
    <row r="1248" spans="2:14" x14ac:dyDescent="0.3">
      <c r="B1248" s="171">
        <v>45033</v>
      </c>
      <c r="C1248" s="60">
        <v>7742.45</v>
      </c>
    </row>
    <row r="1249" spans="2:3" x14ac:dyDescent="0.3">
      <c r="B1249" s="171">
        <v>45029</v>
      </c>
      <c r="C1249" s="60">
        <v>7655.25</v>
      </c>
    </row>
    <row r="1250" spans="2:3" x14ac:dyDescent="0.3">
      <c r="B1250" s="171">
        <v>45028</v>
      </c>
      <c r="C1250" s="60">
        <v>7682.85</v>
      </c>
    </row>
    <row r="1251" spans="2:3" x14ac:dyDescent="0.3">
      <c r="B1251" s="171">
        <v>45027</v>
      </c>
      <c r="C1251" s="60">
        <v>7741.45</v>
      </c>
    </row>
    <row r="1252" spans="2:3" x14ac:dyDescent="0.3">
      <c r="B1252" s="171">
        <v>45026</v>
      </c>
      <c r="C1252" s="60">
        <v>7696.25</v>
      </c>
    </row>
    <row r="1253" spans="2:3" x14ac:dyDescent="0.3">
      <c r="B1253" s="171">
        <v>45022</v>
      </c>
      <c r="C1253" s="60">
        <v>7701.85</v>
      </c>
    </row>
    <row r="1254" spans="2:3" x14ac:dyDescent="0.3">
      <c r="B1254" s="171">
        <v>45021</v>
      </c>
      <c r="C1254" s="60">
        <v>7691.95</v>
      </c>
    </row>
    <row r="1255" spans="2:3" x14ac:dyDescent="0.3">
      <c r="B1255" s="171">
        <v>45019</v>
      </c>
      <c r="C1255" s="60">
        <v>7640.5</v>
      </c>
    </row>
    <row r="1256" spans="2:3" x14ac:dyDescent="0.3">
      <c r="B1256" s="171">
        <v>45016</v>
      </c>
      <c r="C1256" s="60">
        <v>7622.15</v>
      </c>
    </row>
    <row r="1257" spans="2:3" x14ac:dyDescent="0.3">
      <c r="B1257" s="171">
        <v>45014</v>
      </c>
      <c r="C1257" s="60">
        <v>7570.75</v>
      </c>
    </row>
    <row r="1258" spans="2:3" x14ac:dyDescent="0.3">
      <c r="B1258" s="171">
        <v>45013</v>
      </c>
      <c r="C1258" s="60">
        <v>7403.1</v>
      </c>
    </row>
    <row r="1259" spans="2:3" x14ac:dyDescent="0.3">
      <c r="B1259" s="171">
        <v>45012</v>
      </c>
      <c r="C1259" s="60">
        <v>7450.2</v>
      </c>
    </row>
    <row r="1260" spans="2:3" x14ac:dyDescent="0.3">
      <c r="B1260" s="171">
        <v>45009</v>
      </c>
      <c r="C1260" s="60">
        <v>7405.65</v>
      </c>
    </row>
    <row r="1261" spans="2:3" x14ac:dyDescent="0.3">
      <c r="B1261" s="171">
        <v>45008</v>
      </c>
      <c r="C1261" s="60">
        <v>7407.95</v>
      </c>
    </row>
    <row r="1262" spans="2:3" x14ac:dyDescent="0.3">
      <c r="B1262" s="171">
        <v>45007</v>
      </c>
      <c r="C1262" s="60">
        <v>7396.65</v>
      </c>
    </row>
    <row r="1263" spans="2:3" x14ac:dyDescent="0.3">
      <c r="B1263" s="171">
        <v>45006</v>
      </c>
      <c r="C1263" s="60">
        <v>7352.75</v>
      </c>
    </row>
    <row r="1264" spans="2:3" x14ac:dyDescent="0.3">
      <c r="B1264" s="171">
        <v>45005</v>
      </c>
      <c r="C1264" s="60">
        <v>7243.2</v>
      </c>
    </row>
    <row r="1265" spans="2:3" x14ac:dyDescent="0.3">
      <c r="B1265" s="171">
        <v>45002</v>
      </c>
      <c r="C1265" s="60">
        <v>7289.95</v>
      </c>
    </row>
    <row r="1266" spans="2:3" x14ac:dyDescent="0.3">
      <c r="B1266" s="171">
        <v>45001</v>
      </c>
      <c r="C1266" s="60">
        <v>7104.6</v>
      </c>
    </row>
    <row r="1267" spans="2:3" x14ac:dyDescent="0.3">
      <c r="B1267" s="171">
        <v>45000</v>
      </c>
      <c r="C1267" s="60">
        <v>7100.75</v>
      </c>
    </row>
    <row r="1268" spans="2:3" x14ac:dyDescent="0.3">
      <c r="B1268" s="171">
        <v>44999</v>
      </c>
      <c r="C1268" s="60">
        <v>7063.95</v>
      </c>
    </row>
    <row r="1269" spans="2:3" x14ac:dyDescent="0.3">
      <c r="B1269" s="171">
        <v>44998</v>
      </c>
      <c r="C1269" s="60">
        <v>7075.6</v>
      </c>
    </row>
    <row r="1270" spans="2:3" x14ac:dyDescent="0.3">
      <c r="B1270" s="171">
        <v>44995</v>
      </c>
      <c r="C1270" s="60">
        <v>7226.4</v>
      </c>
    </row>
    <row r="1271" spans="2:3" x14ac:dyDescent="0.3">
      <c r="B1271" s="171">
        <v>44994</v>
      </c>
      <c r="C1271" s="60">
        <v>7242.95</v>
      </c>
    </row>
    <row r="1272" spans="2:3" x14ac:dyDescent="0.3">
      <c r="B1272" s="171">
        <v>44993</v>
      </c>
      <c r="C1272" s="60">
        <v>7267.25</v>
      </c>
    </row>
    <row r="1273" spans="2:3" x14ac:dyDescent="0.3">
      <c r="B1273" s="171">
        <v>44991</v>
      </c>
      <c r="C1273" s="60">
        <v>7200.6</v>
      </c>
    </row>
    <row r="1274" spans="2:3" x14ac:dyDescent="0.3">
      <c r="B1274" s="171">
        <v>44988</v>
      </c>
      <c r="C1274" s="60">
        <v>7215.95</v>
      </c>
    </row>
    <row r="1275" spans="2:3" x14ac:dyDescent="0.3">
      <c r="B1275" s="171">
        <v>44987</v>
      </c>
      <c r="C1275" s="60">
        <v>7289.2</v>
      </c>
    </row>
    <row r="1276" spans="2:3" x14ac:dyDescent="0.3">
      <c r="B1276" s="171">
        <v>44986</v>
      </c>
      <c r="C1276" s="60">
        <v>7274.15</v>
      </c>
    </row>
    <row r="1277" spans="2:3" x14ac:dyDescent="0.3">
      <c r="B1277" s="171">
        <v>44985</v>
      </c>
      <c r="C1277" s="60">
        <v>7261.3</v>
      </c>
    </row>
    <row r="1278" spans="2:3" x14ac:dyDescent="0.3">
      <c r="B1278" s="171">
        <v>44984</v>
      </c>
      <c r="C1278" s="60">
        <v>7186.65</v>
      </c>
    </row>
    <row r="1279" spans="2:3" x14ac:dyDescent="0.3">
      <c r="B1279" s="171">
        <v>44981</v>
      </c>
      <c r="C1279" s="60">
        <v>7216.7</v>
      </c>
    </row>
    <row r="1280" spans="2:3" x14ac:dyDescent="0.3">
      <c r="B1280" s="171">
        <v>44980</v>
      </c>
      <c r="C1280" s="60">
        <v>7176.95</v>
      </c>
    </row>
    <row r="1281" spans="2:3" x14ac:dyDescent="0.3">
      <c r="B1281" s="171">
        <v>44979</v>
      </c>
      <c r="C1281" s="60">
        <v>7205.75</v>
      </c>
    </row>
    <row r="1282" spans="2:3" x14ac:dyDescent="0.3">
      <c r="B1282" s="171">
        <v>44978</v>
      </c>
      <c r="C1282" s="60">
        <v>7340.55</v>
      </c>
    </row>
    <row r="1283" spans="2:3" x14ac:dyDescent="0.3">
      <c r="B1283" s="171">
        <v>44977</v>
      </c>
      <c r="C1283" s="60">
        <v>7426.85</v>
      </c>
    </row>
    <row r="1284" spans="2:3" x14ac:dyDescent="0.3">
      <c r="B1284" s="171">
        <v>44974</v>
      </c>
      <c r="C1284" s="60">
        <v>7297.85</v>
      </c>
    </row>
    <row r="1285" spans="2:3" x14ac:dyDescent="0.3">
      <c r="B1285" s="171">
        <v>44973</v>
      </c>
      <c r="C1285" s="60">
        <v>7171.75</v>
      </c>
    </row>
    <row r="1286" spans="2:3" x14ac:dyDescent="0.3">
      <c r="B1286" s="171">
        <v>44972</v>
      </c>
      <c r="C1286" s="60">
        <v>7151.85</v>
      </c>
    </row>
    <row r="1287" spans="2:3" x14ac:dyDescent="0.3">
      <c r="B1287" s="171">
        <v>44971</v>
      </c>
      <c r="C1287" s="60">
        <v>7139.2</v>
      </c>
    </row>
    <row r="1288" spans="2:3" x14ac:dyDescent="0.3">
      <c r="B1288" s="171">
        <v>44970</v>
      </c>
      <c r="C1288" s="60">
        <v>7179.25</v>
      </c>
    </row>
    <row r="1289" spans="2:3" x14ac:dyDescent="0.3">
      <c r="B1289" s="171">
        <v>44967</v>
      </c>
      <c r="C1289" s="60">
        <v>7206.05</v>
      </c>
    </row>
    <row r="1290" spans="2:3" x14ac:dyDescent="0.3">
      <c r="B1290" s="171">
        <v>44966</v>
      </c>
      <c r="C1290" s="60">
        <v>7179.75</v>
      </c>
    </row>
    <row r="1291" spans="2:3" x14ac:dyDescent="0.3">
      <c r="B1291" s="171">
        <v>44965</v>
      </c>
      <c r="C1291" s="60">
        <v>7250.35</v>
      </c>
    </row>
    <row r="1292" spans="2:3" x14ac:dyDescent="0.3">
      <c r="B1292" s="171">
        <v>44964</v>
      </c>
      <c r="C1292" s="60">
        <v>7071.8</v>
      </c>
    </row>
    <row r="1293" spans="2:3" x14ac:dyDescent="0.3">
      <c r="B1293" s="171">
        <v>44963</v>
      </c>
      <c r="C1293" s="60">
        <v>7127.25</v>
      </c>
    </row>
    <row r="1294" spans="2:3" x14ac:dyDescent="0.3">
      <c r="B1294" s="171">
        <v>44960</v>
      </c>
      <c r="C1294" s="60">
        <v>7189.2</v>
      </c>
    </row>
    <row r="1295" spans="2:3" x14ac:dyDescent="0.3">
      <c r="B1295" s="171">
        <v>44959</v>
      </c>
      <c r="C1295" s="60">
        <v>7167.65</v>
      </c>
    </row>
    <row r="1296" spans="2:3" x14ac:dyDescent="0.3">
      <c r="B1296" s="171">
        <v>44958</v>
      </c>
      <c r="C1296" s="60">
        <v>7141.4</v>
      </c>
    </row>
    <row r="1297" spans="2:3" x14ac:dyDescent="0.3">
      <c r="B1297" s="171">
        <v>44957</v>
      </c>
      <c r="C1297" s="60">
        <v>7085.55</v>
      </c>
    </row>
    <row r="1298" spans="2:3" x14ac:dyDescent="0.3">
      <c r="B1298" s="171">
        <v>44956</v>
      </c>
      <c r="C1298" s="60">
        <v>6887.7</v>
      </c>
    </row>
    <row r="1299" spans="2:3" x14ac:dyDescent="0.3">
      <c r="B1299" s="171">
        <v>44953</v>
      </c>
      <c r="C1299" s="60">
        <v>6715.6</v>
      </c>
    </row>
    <row r="1300" spans="2:3" x14ac:dyDescent="0.3">
      <c r="B1300" s="171">
        <v>44951</v>
      </c>
      <c r="C1300" s="60">
        <v>6705.1</v>
      </c>
    </row>
    <row r="1301" spans="2:3" x14ac:dyDescent="0.3">
      <c r="B1301" s="171">
        <v>44950</v>
      </c>
      <c r="C1301" s="60">
        <v>6809.7</v>
      </c>
    </row>
    <row r="1302" spans="2:3" x14ac:dyDescent="0.3">
      <c r="B1302" s="171">
        <v>44949</v>
      </c>
      <c r="C1302" s="60">
        <v>6849.75</v>
      </c>
    </row>
    <row r="1303" spans="2:3" x14ac:dyDescent="0.3">
      <c r="B1303" s="171">
        <v>44946</v>
      </c>
      <c r="C1303" s="60">
        <v>7177.15</v>
      </c>
    </row>
    <row r="1304" spans="2:3" x14ac:dyDescent="0.3">
      <c r="B1304" s="171">
        <v>44945</v>
      </c>
      <c r="C1304" s="60">
        <v>7212.35</v>
      </c>
    </row>
    <row r="1305" spans="2:3" x14ac:dyDescent="0.3">
      <c r="B1305" s="171">
        <v>44944</v>
      </c>
      <c r="C1305" s="60">
        <v>7283.45</v>
      </c>
    </row>
    <row r="1306" spans="2:3" x14ac:dyDescent="0.3">
      <c r="B1306" s="171">
        <v>44943</v>
      </c>
      <c r="C1306" s="60">
        <v>7377.65</v>
      </c>
    </row>
    <row r="1307" spans="2:3" x14ac:dyDescent="0.3">
      <c r="B1307" s="171">
        <v>44942</v>
      </c>
      <c r="C1307" s="60">
        <v>7284.85</v>
      </c>
    </row>
    <row r="1308" spans="2:3" x14ac:dyDescent="0.3">
      <c r="B1308" s="171">
        <v>44939</v>
      </c>
      <c r="C1308" s="60">
        <v>7248.9</v>
      </c>
    </row>
    <row r="1309" spans="2:3" x14ac:dyDescent="0.3">
      <c r="B1309" s="171">
        <v>44938</v>
      </c>
      <c r="C1309" s="60">
        <v>7153.35</v>
      </c>
    </row>
    <row r="1310" spans="2:3" x14ac:dyDescent="0.3">
      <c r="B1310" s="171">
        <v>44937</v>
      </c>
      <c r="C1310" s="60">
        <v>7021.95</v>
      </c>
    </row>
    <row r="1311" spans="2:3" x14ac:dyDescent="0.3">
      <c r="B1311" s="171">
        <v>44936</v>
      </c>
      <c r="C1311" s="60">
        <v>6920.3</v>
      </c>
    </row>
    <row r="1312" spans="2:3" x14ac:dyDescent="0.3">
      <c r="B1312" s="171">
        <v>44935</v>
      </c>
      <c r="C1312" s="60">
        <v>7034.85</v>
      </c>
    </row>
    <row r="1313" spans="2:3" x14ac:dyDescent="0.3">
      <c r="B1313" s="171">
        <v>44932</v>
      </c>
      <c r="C1313" s="60">
        <v>6982.2</v>
      </c>
    </row>
    <row r="1314" spans="2:3" x14ac:dyDescent="0.3">
      <c r="B1314" s="171">
        <v>44931</v>
      </c>
      <c r="C1314" s="60">
        <v>7007</v>
      </c>
    </row>
    <row r="1315" spans="2:3" x14ac:dyDescent="0.3">
      <c r="B1315" s="171">
        <v>44930</v>
      </c>
      <c r="C1315" s="60">
        <v>7005.35</v>
      </c>
    </row>
    <row r="1316" spans="2:3" x14ac:dyDescent="0.3">
      <c r="B1316" s="171">
        <v>44929</v>
      </c>
      <c r="C1316" s="60">
        <v>6993.6</v>
      </c>
    </row>
    <row r="1317" spans="2:3" x14ac:dyDescent="0.3">
      <c r="B1317" s="171">
        <v>44928</v>
      </c>
      <c r="C1317" s="60">
        <v>7017.95</v>
      </c>
    </row>
    <row r="1318" spans="2:3" x14ac:dyDescent="0.3">
      <c r="B1318" s="171">
        <v>44925</v>
      </c>
      <c r="C1318" s="60">
        <v>6959.05</v>
      </c>
    </row>
    <row r="1319" spans="2:3" x14ac:dyDescent="0.3">
      <c r="B1319" s="171">
        <v>44924</v>
      </c>
      <c r="C1319" s="60">
        <v>6982.2</v>
      </c>
    </row>
    <row r="1320" spans="2:3" x14ac:dyDescent="0.3">
      <c r="B1320" s="171">
        <v>44923</v>
      </c>
      <c r="C1320" s="60">
        <v>7053.8</v>
      </c>
    </row>
    <row r="1321" spans="2:3" x14ac:dyDescent="0.3">
      <c r="B1321" s="171">
        <v>44922</v>
      </c>
      <c r="C1321" s="60">
        <v>7107.2</v>
      </c>
    </row>
    <row r="1322" spans="2:3" x14ac:dyDescent="0.3">
      <c r="B1322" s="171">
        <v>44921</v>
      </c>
      <c r="C1322" s="60">
        <v>7074</v>
      </c>
    </row>
    <row r="1323" spans="2:3" x14ac:dyDescent="0.3">
      <c r="B1323" s="171">
        <v>44918</v>
      </c>
      <c r="C1323" s="60">
        <v>6909.4</v>
      </c>
    </row>
    <row r="1324" spans="2:3" x14ac:dyDescent="0.3">
      <c r="B1324" s="171">
        <v>44917</v>
      </c>
      <c r="C1324" s="60">
        <v>7012.4</v>
      </c>
    </row>
    <row r="1325" spans="2:3" x14ac:dyDescent="0.3">
      <c r="B1325" s="171">
        <v>44916</v>
      </c>
      <c r="C1325" s="60">
        <v>6950.7</v>
      </c>
    </row>
    <row r="1326" spans="2:3" x14ac:dyDescent="0.3">
      <c r="B1326" s="171">
        <v>44915</v>
      </c>
      <c r="C1326" s="60">
        <v>7098</v>
      </c>
    </row>
    <row r="1327" spans="2:3" x14ac:dyDescent="0.3">
      <c r="B1327" s="171">
        <v>44914</v>
      </c>
      <c r="C1327" s="60">
        <v>7076</v>
      </c>
    </row>
    <row r="1328" spans="2:3" x14ac:dyDescent="0.3">
      <c r="B1328" s="171">
        <v>44911</v>
      </c>
      <c r="C1328" s="60">
        <v>7014.1</v>
      </c>
    </row>
    <row r="1329" spans="2:3" x14ac:dyDescent="0.3">
      <c r="B1329" s="171">
        <v>44910</v>
      </c>
      <c r="C1329" s="60">
        <v>7113.9</v>
      </c>
    </row>
    <row r="1330" spans="2:3" x14ac:dyDescent="0.3">
      <c r="B1330" s="171">
        <v>44909</v>
      </c>
      <c r="C1330" s="60">
        <v>7197.55</v>
      </c>
    </row>
    <row r="1331" spans="2:3" x14ac:dyDescent="0.3">
      <c r="B1331" s="171">
        <v>44908</v>
      </c>
      <c r="C1331" s="60">
        <v>7225.3</v>
      </c>
    </row>
    <row r="1332" spans="2:3" x14ac:dyDescent="0.3">
      <c r="B1332" s="171">
        <v>44907</v>
      </c>
      <c r="C1332" s="60">
        <v>7146.85</v>
      </c>
    </row>
    <row r="1333" spans="2:3" x14ac:dyDescent="0.3">
      <c r="B1333" s="171">
        <v>44904</v>
      </c>
      <c r="C1333" s="60">
        <v>7077.4</v>
      </c>
    </row>
    <row r="1334" spans="2:3" x14ac:dyDescent="0.3">
      <c r="B1334" s="171">
        <v>44903</v>
      </c>
      <c r="C1334" s="60">
        <v>7179.05</v>
      </c>
    </row>
    <row r="1335" spans="2:3" x14ac:dyDescent="0.3">
      <c r="B1335" s="171">
        <v>44902</v>
      </c>
      <c r="C1335" s="60">
        <v>7162.2</v>
      </c>
    </row>
    <row r="1336" spans="2:3" x14ac:dyDescent="0.3">
      <c r="B1336" s="171">
        <v>44901</v>
      </c>
      <c r="C1336" s="60">
        <v>7242.05</v>
      </c>
    </row>
    <row r="1337" spans="2:3" x14ac:dyDescent="0.3">
      <c r="B1337" s="171">
        <v>44900</v>
      </c>
      <c r="C1337" s="60">
        <v>7198.6</v>
      </c>
    </row>
    <row r="1338" spans="2:3" x14ac:dyDescent="0.3">
      <c r="B1338" s="171">
        <v>44897</v>
      </c>
      <c r="C1338" s="60">
        <v>7237.05</v>
      </c>
    </row>
    <row r="1339" spans="2:3" x14ac:dyDescent="0.3">
      <c r="B1339" s="171">
        <v>44896</v>
      </c>
      <c r="C1339" s="60">
        <v>7274</v>
      </c>
    </row>
    <row r="1340" spans="2:3" x14ac:dyDescent="0.3">
      <c r="B1340" s="171">
        <v>44895</v>
      </c>
      <c r="C1340" s="60">
        <v>7077</v>
      </c>
    </row>
    <row r="1341" spans="2:3" x14ac:dyDescent="0.3">
      <c r="B1341" s="171">
        <v>44894</v>
      </c>
      <c r="C1341" s="60">
        <v>6928.9</v>
      </c>
    </row>
    <row r="1342" spans="2:3" x14ac:dyDescent="0.3">
      <c r="B1342" s="171">
        <v>44893</v>
      </c>
      <c r="C1342" s="60">
        <v>6892.3</v>
      </c>
    </row>
    <row r="1343" spans="2:3" x14ac:dyDescent="0.3">
      <c r="B1343" s="171">
        <v>44890</v>
      </c>
      <c r="C1343" s="60">
        <v>6874</v>
      </c>
    </row>
    <row r="1344" spans="2:3" x14ac:dyDescent="0.3">
      <c r="B1344" s="171">
        <v>44889</v>
      </c>
      <c r="C1344" s="60">
        <v>6860.2</v>
      </c>
    </row>
    <row r="1345" spans="2:3" x14ac:dyDescent="0.3">
      <c r="B1345" s="171">
        <v>44888</v>
      </c>
      <c r="C1345" s="60">
        <v>6824.05</v>
      </c>
    </row>
    <row r="1346" spans="2:3" x14ac:dyDescent="0.3">
      <c r="B1346" s="171">
        <v>44887</v>
      </c>
      <c r="C1346" s="60">
        <v>6843.05</v>
      </c>
    </row>
    <row r="1347" spans="2:3" x14ac:dyDescent="0.3">
      <c r="B1347" s="171">
        <v>44886</v>
      </c>
      <c r="C1347" s="60">
        <v>6754.85</v>
      </c>
    </row>
    <row r="1348" spans="2:3" x14ac:dyDescent="0.3">
      <c r="B1348" s="171">
        <v>44883</v>
      </c>
      <c r="C1348" s="60">
        <v>6814.45</v>
      </c>
    </row>
    <row r="1349" spans="2:3" x14ac:dyDescent="0.3">
      <c r="B1349" s="171">
        <v>44882</v>
      </c>
      <c r="C1349" s="60">
        <v>6871.85</v>
      </c>
    </row>
    <row r="1350" spans="2:3" x14ac:dyDescent="0.3">
      <c r="B1350" s="171">
        <v>44881</v>
      </c>
      <c r="C1350" s="60">
        <v>6912</v>
      </c>
    </row>
    <row r="1351" spans="2:3" x14ac:dyDescent="0.3">
      <c r="B1351" s="171">
        <v>44880</v>
      </c>
      <c r="C1351" s="60">
        <v>6964.55</v>
      </c>
    </row>
    <row r="1352" spans="2:3" x14ac:dyDescent="0.3">
      <c r="B1352" s="171">
        <v>44879</v>
      </c>
      <c r="C1352" s="60">
        <v>6854.4</v>
      </c>
    </row>
    <row r="1353" spans="2:3" x14ac:dyDescent="0.3">
      <c r="B1353" s="171">
        <v>44876</v>
      </c>
      <c r="C1353" s="60">
        <v>6813.2</v>
      </c>
    </row>
    <row r="1354" spans="2:3" x14ac:dyDescent="0.3">
      <c r="B1354" s="171">
        <v>44875</v>
      </c>
      <c r="C1354" s="60">
        <v>6801.3</v>
      </c>
    </row>
    <row r="1355" spans="2:3" x14ac:dyDescent="0.3">
      <c r="B1355" s="171">
        <v>44874</v>
      </c>
      <c r="C1355" s="60">
        <v>6903.5</v>
      </c>
    </row>
    <row r="1356" spans="2:3" x14ac:dyDescent="0.3">
      <c r="B1356" s="171">
        <v>44872</v>
      </c>
      <c r="C1356" s="60">
        <v>6973.5</v>
      </c>
    </row>
    <row r="1357" spans="2:3" x14ac:dyDescent="0.3">
      <c r="B1357" s="171">
        <v>44869</v>
      </c>
      <c r="C1357" s="60">
        <v>6893.05</v>
      </c>
    </row>
    <row r="1358" spans="2:3" x14ac:dyDescent="0.3">
      <c r="B1358" s="171">
        <v>44868</v>
      </c>
      <c r="C1358" s="60">
        <v>6728.25</v>
      </c>
    </row>
    <row r="1359" spans="2:3" x14ac:dyDescent="0.3">
      <c r="B1359" s="171">
        <v>44867</v>
      </c>
      <c r="C1359" s="60">
        <v>6779.9</v>
      </c>
    </row>
    <row r="1360" spans="2:3" x14ac:dyDescent="0.3">
      <c r="B1360" s="171">
        <v>44866</v>
      </c>
      <c r="C1360" s="60">
        <v>6820.9</v>
      </c>
    </row>
    <row r="1361" spans="2:3" x14ac:dyDescent="0.3">
      <c r="B1361" s="171">
        <v>44865</v>
      </c>
      <c r="C1361" s="60">
        <v>6714.95</v>
      </c>
    </row>
    <row r="1362" spans="2:3" x14ac:dyDescent="0.3">
      <c r="B1362" s="171">
        <v>44862</v>
      </c>
      <c r="C1362" s="60">
        <v>6445.85</v>
      </c>
    </row>
    <row r="1363" spans="2:3" x14ac:dyDescent="0.3">
      <c r="B1363" s="171">
        <v>44861</v>
      </c>
      <c r="C1363" s="60">
        <v>6436.8</v>
      </c>
    </row>
    <row r="1364" spans="2:3" x14ac:dyDescent="0.3">
      <c r="B1364" s="171">
        <v>44859</v>
      </c>
      <c r="C1364" s="60">
        <v>6415.7</v>
      </c>
    </row>
    <row r="1365" spans="2:3" x14ac:dyDescent="0.3">
      <c r="B1365" s="171">
        <v>44858</v>
      </c>
      <c r="C1365" s="60">
        <v>6394.6</v>
      </c>
    </row>
    <row r="1366" spans="2:3" x14ac:dyDescent="0.3">
      <c r="B1366" s="171">
        <v>44855</v>
      </c>
      <c r="C1366" s="60">
        <v>6362.9</v>
      </c>
    </row>
    <row r="1367" spans="2:3" x14ac:dyDescent="0.3">
      <c r="B1367" s="171">
        <v>44854</v>
      </c>
      <c r="C1367" s="60">
        <v>6302.3</v>
      </c>
    </row>
    <row r="1368" spans="2:3" x14ac:dyDescent="0.3">
      <c r="B1368" s="171">
        <v>44853</v>
      </c>
      <c r="C1368" s="60">
        <v>6398.4</v>
      </c>
    </row>
    <row r="1369" spans="2:3" x14ac:dyDescent="0.3">
      <c r="B1369" s="171">
        <v>44852</v>
      </c>
      <c r="C1369" s="60">
        <v>6346.75</v>
      </c>
    </row>
    <row r="1370" spans="2:3" x14ac:dyDescent="0.3">
      <c r="B1370" s="171">
        <v>44851</v>
      </c>
      <c r="C1370" s="60">
        <v>6271.5</v>
      </c>
    </row>
    <row r="1371" spans="2:3" x14ac:dyDescent="0.3">
      <c r="B1371" s="171">
        <v>44848</v>
      </c>
      <c r="C1371" s="60">
        <v>6192</v>
      </c>
    </row>
    <row r="1372" spans="2:3" x14ac:dyDescent="0.3">
      <c r="B1372" s="171">
        <v>44847</v>
      </c>
      <c r="C1372" s="60">
        <v>6181.75</v>
      </c>
    </row>
    <row r="1373" spans="2:3" x14ac:dyDescent="0.3">
      <c r="B1373" s="171">
        <v>44846</v>
      </c>
      <c r="C1373" s="60">
        <v>6177.7</v>
      </c>
    </row>
    <row r="1374" spans="2:3" x14ac:dyDescent="0.3">
      <c r="B1374" s="171">
        <v>44845</v>
      </c>
      <c r="C1374" s="60">
        <v>6076.75</v>
      </c>
    </row>
    <row r="1375" spans="2:3" x14ac:dyDescent="0.3">
      <c r="B1375" s="171">
        <v>44844</v>
      </c>
      <c r="C1375" s="60">
        <v>6149.9</v>
      </c>
    </row>
    <row r="1376" spans="2:3" x14ac:dyDescent="0.3">
      <c r="B1376" s="171">
        <v>44841</v>
      </c>
      <c r="C1376" s="60">
        <v>6203.5</v>
      </c>
    </row>
    <row r="1377" spans="2:3" x14ac:dyDescent="0.3">
      <c r="B1377" s="171">
        <v>44840</v>
      </c>
      <c r="C1377" s="60">
        <v>6287.25</v>
      </c>
    </row>
    <row r="1378" spans="2:3" x14ac:dyDescent="0.3">
      <c r="B1378" s="171">
        <v>44838</v>
      </c>
      <c r="C1378" s="60">
        <v>6307.55</v>
      </c>
    </row>
    <row r="1379" spans="2:3" x14ac:dyDescent="0.3">
      <c r="B1379" s="171">
        <v>44837</v>
      </c>
      <c r="C1379" s="60">
        <v>6242.55</v>
      </c>
    </row>
    <row r="1380" spans="2:3" x14ac:dyDescent="0.3">
      <c r="B1380" s="171">
        <v>44834</v>
      </c>
      <c r="C1380" s="60">
        <v>6255.1</v>
      </c>
    </row>
    <row r="1381" spans="2:3" x14ac:dyDescent="0.3">
      <c r="B1381" s="171">
        <v>44833</v>
      </c>
      <c r="C1381" s="60">
        <v>6175.9</v>
      </c>
    </row>
    <row r="1382" spans="2:3" x14ac:dyDescent="0.3">
      <c r="B1382" s="171">
        <v>44832</v>
      </c>
      <c r="C1382" s="60">
        <v>6172.95</v>
      </c>
    </row>
    <row r="1383" spans="2:3" x14ac:dyDescent="0.3">
      <c r="B1383" s="171">
        <v>44831</v>
      </c>
      <c r="C1383" s="60">
        <v>6192.85</v>
      </c>
    </row>
    <row r="1384" spans="2:3" x14ac:dyDescent="0.3">
      <c r="B1384" s="171">
        <v>44830</v>
      </c>
      <c r="C1384" s="60">
        <v>6177.1</v>
      </c>
    </row>
    <row r="1385" spans="2:3" x14ac:dyDescent="0.3">
      <c r="B1385" s="171">
        <v>44827</v>
      </c>
      <c r="C1385" s="60">
        <v>6139.95</v>
      </c>
    </row>
    <row r="1386" spans="2:3" x14ac:dyDescent="0.3">
      <c r="B1386" s="171">
        <v>44826</v>
      </c>
      <c r="C1386" s="60">
        <v>6239.4</v>
      </c>
    </row>
    <row r="1387" spans="2:3" x14ac:dyDescent="0.3">
      <c r="B1387" s="171">
        <v>44825</v>
      </c>
      <c r="C1387" s="60">
        <v>6313.75</v>
      </c>
    </row>
    <row r="1388" spans="2:3" x14ac:dyDescent="0.3">
      <c r="B1388" s="171">
        <v>44824</v>
      </c>
      <c r="C1388" s="60">
        <v>6484.65</v>
      </c>
    </row>
    <row r="1389" spans="2:3" x14ac:dyDescent="0.3">
      <c r="B1389" s="171">
        <v>44823</v>
      </c>
      <c r="C1389" s="60">
        <v>6459.85</v>
      </c>
    </row>
    <row r="1390" spans="2:3" x14ac:dyDescent="0.3">
      <c r="B1390" s="171">
        <v>44820</v>
      </c>
      <c r="C1390" s="60">
        <v>6481.4</v>
      </c>
    </row>
    <row r="1391" spans="2:3" x14ac:dyDescent="0.3">
      <c r="B1391" s="171">
        <v>44819</v>
      </c>
      <c r="C1391" s="60">
        <v>6790.05</v>
      </c>
    </row>
    <row r="1392" spans="2:3" x14ac:dyDescent="0.3">
      <c r="B1392" s="171">
        <v>44818</v>
      </c>
      <c r="C1392" s="60">
        <v>6875.75</v>
      </c>
    </row>
    <row r="1393" spans="2:3" x14ac:dyDescent="0.3">
      <c r="B1393" s="171">
        <v>44817</v>
      </c>
      <c r="C1393" s="60">
        <v>6896.3</v>
      </c>
    </row>
    <row r="1394" spans="2:3" x14ac:dyDescent="0.3">
      <c r="B1394" s="171">
        <v>44816</v>
      </c>
      <c r="C1394" s="60">
        <v>6869.6</v>
      </c>
    </row>
    <row r="1395" spans="2:3" x14ac:dyDescent="0.3">
      <c r="B1395" s="171">
        <v>44813</v>
      </c>
      <c r="C1395" s="60">
        <v>6783.65</v>
      </c>
    </row>
    <row r="1396" spans="2:3" x14ac:dyDescent="0.3">
      <c r="B1396" s="171">
        <v>44812</v>
      </c>
      <c r="C1396" s="60">
        <v>6919.65</v>
      </c>
    </row>
    <row r="1397" spans="2:3" x14ac:dyDescent="0.3">
      <c r="B1397" s="171">
        <v>44811</v>
      </c>
      <c r="C1397" s="60">
        <v>6770.8</v>
      </c>
    </row>
    <row r="1398" spans="2:3" x14ac:dyDescent="0.3">
      <c r="B1398" s="171">
        <v>44810</v>
      </c>
      <c r="C1398" s="60">
        <v>6495.5</v>
      </c>
    </row>
    <row r="1399" spans="2:3" x14ac:dyDescent="0.3">
      <c r="B1399" s="171">
        <v>44809</v>
      </c>
      <c r="C1399" s="60">
        <v>6521.95</v>
      </c>
    </row>
    <row r="1400" spans="2:3" x14ac:dyDescent="0.3">
      <c r="B1400" s="171">
        <v>44806</v>
      </c>
      <c r="C1400" s="60">
        <v>6577.5</v>
      </c>
    </row>
    <row r="1401" spans="2:3" x14ac:dyDescent="0.3">
      <c r="B1401" s="171">
        <v>44805</v>
      </c>
      <c r="C1401" s="60">
        <v>6632.5</v>
      </c>
    </row>
    <row r="1402" spans="2:3" x14ac:dyDescent="0.3">
      <c r="B1402" s="171">
        <v>44803</v>
      </c>
      <c r="C1402" s="60">
        <v>6677.85</v>
      </c>
    </row>
    <row r="1403" spans="2:3" x14ac:dyDescent="0.3">
      <c r="B1403" s="171">
        <v>44802</v>
      </c>
      <c r="C1403" s="60">
        <v>6506.3</v>
      </c>
    </row>
    <row r="1404" spans="2:3" x14ac:dyDescent="0.3">
      <c r="B1404" s="171">
        <v>44799</v>
      </c>
      <c r="C1404" s="60">
        <v>6517.15</v>
      </c>
    </row>
    <row r="1405" spans="2:3" x14ac:dyDescent="0.3">
      <c r="B1405" s="171">
        <v>44798</v>
      </c>
      <c r="C1405" s="60">
        <v>6475.05</v>
      </c>
    </row>
    <row r="1406" spans="2:3" x14ac:dyDescent="0.3">
      <c r="B1406" s="171">
        <v>44797</v>
      </c>
      <c r="C1406" s="60">
        <v>6508.35</v>
      </c>
    </row>
    <row r="1407" spans="2:3" x14ac:dyDescent="0.3">
      <c r="B1407" s="171">
        <v>44796</v>
      </c>
      <c r="C1407" s="60">
        <v>6495.4</v>
      </c>
    </row>
    <row r="1408" spans="2:3" x14ac:dyDescent="0.3">
      <c r="B1408" s="171">
        <v>44795</v>
      </c>
      <c r="C1408" s="60">
        <v>6467.5</v>
      </c>
    </row>
    <row r="1409" spans="2:3" x14ac:dyDescent="0.3">
      <c r="B1409" s="171">
        <v>44792</v>
      </c>
      <c r="C1409" s="60">
        <v>6647.55</v>
      </c>
    </row>
    <row r="1410" spans="2:3" x14ac:dyDescent="0.3">
      <c r="B1410" s="171">
        <v>44791</v>
      </c>
      <c r="C1410" s="60">
        <v>6703.95</v>
      </c>
    </row>
    <row r="1411" spans="2:3" x14ac:dyDescent="0.3">
      <c r="B1411" s="171">
        <v>44790</v>
      </c>
      <c r="C1411" s="60">
        <v>6609.85</v>
      </c>
    </row>
    <row r="1412" spans="2:3" x14ac:dyDescent="0.3">
      <c r="B1412" s="171">
        <v>44789</v>
      </c>
      <c r="C1412" s="60">
        <v>6656</v>
      </c>
    </row>
    <row r="1413" spans="2:3" x14ac:dyDescent="0.3">
      <c r="B1413" s="171">
        <v>44785</v>
      </c>
      <c r="C1413" s="60">
        <v>6559.3</v>
      </c>
    </row>
    <row r="1414" spans="2:3" x14ac:dyDescent="0.3">
      <c r="B1414" s="171">
        <v>44784</v>
      </c>
      <c r="C1414" s="60">
        <v>6597.1</v>
      </c>
    </row>
    <row r="1415" spans="2:3" x14ac:dyDescent="0.3">
      <c r="B1415" s="171">
        <v>44783</v>
      </c>
      <c r="C1415" s="60">
        <v>6595.65</v>
      </c>
    </row>
    <row r="1416" spans="2:3" x14ac:dyDescent="0.3">
      <c r="B1416" s="171">
        <v>44781</v>
      </c>
      <c r="C1416" s="60">
        <v>6677.85</v>
      </c>
    </row>
    <row r="1417" spans="2:3" x14ac:dyDescent="0.3">
      <c r="B1417" s="171">
        <v>44778</v>
      </c>
      <c r="C1417" s="60">
        <v>6775.2</v>
      </c>
    </row>
    <row r="1418" spans="2:3" x14ac:dyDescent="0.3">
      <c r="B1418" s="171">
        <v>44777</v>
      </c>
      <c r="C1418" s="60">
        <v>6588.05</v>
      </c>
    </row>
    <row r="1419" spans="2:3" x14ac:dyDescent="0.3">
      <c r="B1419" s="171">
        <v>44776</v>
      </c>
      <c r="C1419" s="60">
        <v>6602.7</v>
      </c>
    </row>
    <row r="1420" spans="2:3" x14ac:dyDescent="0.3">
      <c r="B1420" s="171">
        <v>44775</v>
      </c>
      <c r="C1420" s="60">
        <v>6651.3</v>
      </c>
    </row>
    <row r="1421" spans="2:3" x14ac:dyDescent="0.3">
      <c r="B1421" s="171">
        <v>44774</v>
      </c>
      <c r="C1421" s="60">
        <v>6657.65</v>
      </c>
    </row>
    <row r="1422" spans="2:3" x14ac:dyDescent="0.3">
      <c r="B1422" s="171">
        <v>44771</v>
      </c>
      <c r="C1422" s="60">
        <v>6544.8</v>
      </c>
    </row>
    <row r="1423" spans="2:3" x14ac:dyDescent="0.3">
      <c r="B1423" s="171">
        <v>44770</v>
      </c>
      <c r="C1423" s="60">
        <v>6471.25</v>
      </c>
    </row>
    <row r="1424" spans="2:3" x14ac:dyDescent="0.3">
      <c r="B1424" s="171">
        <v>44769</v>
      </c>
      <c r="C1424" s="60">
        <v>6535.35</v>
      </c>
    </row>
    <row r="1425" spans="2:3" x14ac:dyDescent="0.3">
      <c r="B1425" s="171">
        <v>44768</v>
      </c>
      <c r="C1425" s="60">
        <v>6399.65</v>
      </c>
    </row>
    <row r="1426" spans="2:3" x14ac:dyDescent="0.3">
      <c r="B1426" s="171">
        <v>44767</v>
      </c>
      <c r="C1426" s="60">
        <v>6382.9</v>
      </c>
    </row>
    <row r="1427" spans="2:3" x14ac:dyDescent="0.3">
      <c r="B1427" s="171">
        <v>44764</v>
      </c>
      <c r="C1427" s="60">
        <v>6458.7</v>
      </c>
    </row>
    <row r="1428" spans="2:3" x14ac:dyDescent="0.3">
      <c r="B1428" s="171">
        <v>44763</v>
      </c>
      <c r="C1428" s="60">
        <v>6130.7</v>
      </c>
    </row>
    <row r="1429" spans="2:3" x14ac:dyDescent="0.3">
      <c r="B1429" s="171">
        <v>44762</v>
      </c>
      <c r="C1429" s="60">
        <v>6089</v>
      </c>
    </row>
    <row r="1430" spans="2:3" x14ac:dyDescent="0.3">
      <c r="B1430" s="171">
        <v>44761</v>
      </c>
      <c r="C1430" s="60">
        <v>6085.85</v>
      </c>
    </row>
    <row r="1431" spans="2:3" x14ac:dyDescent="0.3">
      <c r="B1431" s="171">
        <v>44760</v>
      </c>
      <c r="C1431" s="60">
        <v>5982.4</v>
      </c>
    </row>
    <row r="1432" spans="2:3" x14ac:dyDescent="0.3">
      <c r="B1432" s="171">
        <v>44757</v>
      </c>
      <c r="C1432" s="60">
        <v>5807.05</v>
      </c>
    </row>
    <row r="1433" spans="2:3" x14ac:dyDescent="0.3">
      <c r="B1433" s="171">
        <v>44756</v>
      </c>
      <c r="C1433" s="60">
        <v>5735.05</v>
      </c>
    </row>
    <row r="1434" spans="2:3" x14ac:dyDescent="0.3">
      <c r="B1434" s="171">
        <v>44755</v>
      </c>
      <c r="C1434" s="60">
        <v>5798.95</v>
      </c>
    </row>
    <row r="1435" spans="2:3" x14ac:dyDescent="0.3">
      <c r="B1435" s="171">
        <v>44754</v>
      </c>
      <c r="C1435" s="60">
        <v>5778.85</v>
      </c>
    </row>
    <row r="1436" spans="2:3" x14ac:dyDescent="0.3">
      <c r="B1436" s="171">
        <v>44753</v>
      </c>
      <c r="C1436" s="60">
        <v>5854.25</v>
      </c>
    </row>
    <row r="1437" spans="2:3" x14ac:dyDescent="0.3">
      <c r="B1437" s="171">
        <v>44750</v>
      </c>
      <c r="C1437" s="60">
        <v>5839.1</v>
      </c>
    </row>
    <row r="1438" spans="2:3" x14ac:dyDescent="0.3">
      <c r="B1438" s="171">
        <v>44749</v>
      </c>
      <c r="C1438" s="60">
        <v>5838.85</v>
      </c>
    </row>
    <row r="1439" spans="2:3" x14ac:dyDescent="0.3">
      <c r="B1439" s="171">
        <v>44748</v>
      </c>
      <c r="C1439" s="60">
        <v>5828.05</v>
      </c>
    </row>
    <row r="1440" spans="2:3" x14ac:dyDescent="0.3">
      <c r="B1440" s="171">
        <v>44747</v>
      </c>
      <c r="C1440" s="60">
        <v>5729.95</v>
      </c>
    </row>
    <row r="1441" spans="2:3" x14ac:dyDescent="0.3">
      <c r="B1441" s="171">
        <v>44746</v>
      </c>
      <c r="C1441" s="60">
        <v>5709.05</v>
      </c>
    </row>
    <row r="1442" spans="2:3" x14ac:dyDescent="0.3">
      <c r="B1442" s="171">
        <v>44743</v>
      </c>
      <c r="C1442" s="60">
        <v>5691.7</v>
      </c>
    </row>
    <row r="1443" spans="2:3" x14ac:dyDescent="0.3">
      <c r="B1443" s="171">
        <v>44742</v>
      </c>
      <c r="C1443" s="60">
        <v>5607.3</v>
      </c>
    </row>
    <row r="1444" spans="2:3" x14ac:dyDescent="0.3">
      <c r="B1444" s="171">
        <v>44741</v>
      </c>
      <c r="C1444" s="60">
        <v>5618.3</v>
      </c>
    </row>
    <row r="1445" spans="2:3" x14ac:dyDescent="0.3">
      <c r="B1445" s="171">
        <v>44740</v>
      </c>
      <c r="C1445" s="60">
        <v>5572.75</v>
      </c>
    </row>
    <row r="1446" spans="2:3" x14ac:dyDescent="0.3">
      <c r="B1446" s="171">
        <v>44739</v>
      </c>
      <c r="C1446" s="60">
        <v>5560.25</v>
      </c>
    </row>
    <row r="1447" spans="2:3" x14ac:dyDescent="0.3">
      <c r="B1447" s="171">
        <v>44736</v>
      </c>
      <c r="C1447" s="60">
        <v>5468.3</v>
      </c>
    </row>
    <row r="1448" spans="2:3" x14ac:dyDescent="0.3">
      <c r="B1448" s="171">
        <v>44735</v>
      </c>
      <c r="C1448" s="60">
        <v>5410.3</v>
      </c>
    </row>
    <row r="1449" spans="2:3" x14ac:dyDescent="0.3">
      <c r="B1449" s="171">
        <v>44734</v>
      </c>
      <c r="C1449" s="60">
        <v>5409.95</v>
      </c>
    </row>
    <row r="1450" spans="2:3" x14ac:dyDescent="0.3">
      <c r="B1450" s="171">
        <v>44733</v>
      </c>
      <c r="C1450" s="60">
        <v>5418.9</v>
      </c>
    </row>
    <row r="1451" spans="2:3" x14ac:dyDescent="0.3">
      <c r="B1451" s="171">
        <v>44732</v>
      </c>
      <c r="C1451" s="60">
        <v>5333.3</v>
      </c>
    </row>
    <row r="1452" spans="2:3" x14ac:dyDescent="0.3">
      <c r="B1452" s="171">
        <v>44729</v>
      </c>
      <c r="C1452" s="60">
        <v>5177.3</v>
      </c>
    </row>
    <row r="1453" spans="2:3" x14ac:dyDescent="0.3">
      <c r="B1453" s="171">
        <v>44728</v>
      </c>
      <c r="C1453" s="60">
        <v>5305.25</v>
      </c>
    </row>
    <row r="1454" spans="2:3" x14ac:dyDescent="0.3">
      <c r="B1454" s="171">
        <v>44727</v>
      </c>
      <c r="C1454" s="60">
        <v>5454.15</v>
      </c>
    </row>
    <row r="1455" spans="2:3" x14ac:dyDescent="0.3">
      <c r="B1455" s="171">
        <v>44726</v>
      </c>
      <c r="C1455" s="60">
        <v>5428.6</v>
      </c>
    </row>
    <row r="1456" spans="2:3" x14ac:dyDescent="0.3">
      <c r="B1456" s="171">
        <v>44725</v>
      </c>
      <c r="C1456" s="60">
        <v>5356.15</v>
      </c>
    </row>
    <row r="1457" spans="2:3" x14ac:dyDescent="0.3">
      <c r="B1457" s="171">
        <v>44722</v>
      </c>
      <c r="C1457" s="60">
        <v>5511.05</v>
      </c>
    </row>
    <row r="1458" spans="2:3" x14ac:dyDescent="0.3">
      <c r="B1458" s="171">
        <v>44721</v>
      </c>
      <c r="C1458" s="60">
        <v>5481.9</v>
      </c>
    </row>
    <row r="1459" spans="2:3" x14ac:dyDescent="0.3">
      <c r="B1459" s="171">
        <v>44720</v>
      </c>
      <c r="C1459" s="60">
        <v>5531.85</v>
      </c>
    </row>
    <row r="1460" spans="2:3" x14ac:dyDescent="0.3">
      <c r="B1460" s="171">
        <v>44719</v>
      </c>
      <c r="C1460" s="60">
        <v>5555.2</v>
      </c>
    </row>
    <row r="1461" spans="2:3" x14ac:dyDescent="0.3">
      <c r="B1461" s="171">
        <v>44718</v>
      </c>
      <c r="C1461" s="60">
        <v>5581.35</v>
      </c>
    </row>
    <row r="1462" spans="2:3" x14ac:dyDescent="0.3">
      <c r="B1462" s="171">
        <v>44715</v>
      </c>
      <c r="C1462" s="60">
        <v>5678.85</v>
      </c>
    </row>
    <row r="1463" spans="2:3" x14ac:dyDescent="0.3">
      <c r="B1463" s="171">
        <v>44714</v>
      </c>
      <c r="C1463" s="60">
        <v>6007.85</v>
      </c>
    </row>
    <row r="1464" spans="2:3" x14ac:dyDescent="0.3">
      <c r="B1464" s="171">
        <v>44713</v>
      </c>
      <c r="C1464" s="60">
        <v>5975.65</v>
      </c>
    </row>
    <row r="1465" spans="2:3" x14ac:dyDescent="0.3">
      <c r="B1465" s="171">
        <v>44712</v>
      </c>
      <c r="C1465" s="60">
        <v>6082.6</v>
      </c>
    </row>
    <row r="1466" spans="2:3" x14ac:dyDescent="0.3">
      <c r="B1466" s="171">
        <v>44711</v>
      </c>
      <c r="C1466" s="60">
        <v>6102.65</v>
      </c>
    </row>
    <row r="1467" spans="2:3" x14ac:dyDescent="0.3">
      <c r="B1467" s="171">
        <v>44708</v>
      </c>
      <c r="C1467" s="60">
        <v>5948</v>
      </c>
    </row>
    <row r="1468" spans="2:3" x14ac:dyDescent="0.3">
      <c r="B1468" s="171">
        <v>44707</v>
      </c>
      <c r="C1468" s="60">
        <v>5874.25</v>
      </c>
    </row>
    <row r="1469" spans="2:3" x14ac:dyDescent="0.3">
      <c r="B1469" s="171">
        <v>44706</v>
      </c>
      <c r="C1469" s="60">
        <v>5792.2</v>
      </c>
    </row>
    <row r="1470" spans="2:3" x14ac:dyDescent="0.3">
      <c r="B1470" s="171">
        <v>44705</v>
      </c>
      <c r="C1470" s="60">
        <v>5868.05</v>
      </c>
    </row>
    <row r="1471" spans="2:3" x14ac:dyDescent="0.3">
      <c r="B1471" s="171">
        <v>44704</v>
      </c>
      <c r="C1471" s="60">
        <v>5916.3</v>
      </c>
    </row>
    <row r="1472" spans="2:3" x14ac:dyDescent="0.3">
      <c r="B1472" s="171">
        <v>44701</v>
      </c>
      <c r="C1472" s="60">
        <v>6128.65</v>
      </c>
    </row>
    <row r="1473" spans="2:3" x14ac:dyDescent="0.3">
      <c r="B1473" s="171">
        <v>44700</v>
      </c>
      <c r="C1473" s="60">
        <v>6072.6</v>
      </c>
    </row>
    <row r="1474" spans="2:3" x14ac:dyDescent="0.3">
      <c r="B1474" s="171">
        <v>44699</v>
      </c>
      <c r="C1474" s="60">
        <v>6233.75</v>
      </c>
    </row>
    <row r="1475" spans="2:3" x14ac:dyDescent="0.3">
      <c r="B1475" s="171">
        <v>44698</v>
      </c>
      <c r="C1475" s="60">
        <v>6107.75</v>
      </c>
    </row>
    <row r="1476" spans="2:3" x14ac:dyDescent="0.3">
      <c r="B1476" s="171">
        <v>44697</v>
      </c>
      <c r="C1476" s="60">
        <v>6012.8</v>
      </c>
    </row>
    <row r="1477" spans="2:3" x14ac:dyDescent="0.3">
      <c r="B1477" s="171">
        <v>44694</v>
      </c>
      <c r="C1477" s="60">
        <v>6196.55</v>
      </c>
    </row>
    <row r="1478" spans="2:3" x14ac:dyDescent="0.3">
      <c r="B1478" s="171">
        <v>44693</v>
      </c>
      <c r="C1478" s="60">
        <v>6185.45</v>
      </c>
    </row>
    <row r="1479" spans="2:3" x14ac:dyDescent="0.3">
      <c r="B1479" s="171">
        <v>44692</v>
      </c>
      <c r="C1479" s="60">
        <v>6340.2</v>
      </c>
    </row>
    <row r="1480" spans="2:3" x14ac:dyDescent="0.3">
      <c r="B1480" s="171">
        <v>44691</v>
      </c>
      <c r="C1480" s="60">
        <v>6366.45</v>
      </c>
    </row>
    <row r="1481" spans="2:3" x14ac:dyDescent="0.3">
      <c r="B1481" s="171">
        <v>44690</v>
      </c>
      <c r="C1481" s="60">
        <v>6224.6</v>
      </c>
    </row>
    <row r="1482" spans="2:3" x14ac:dyDescent="0.3">
      <c r="B1482" s="171">
        <v>44687</v>
      </c>
      <c r="C1482" s="60">
        <v>6200.2</v>
      </c>
    </row>
    <row r="1483" spans="2:3" x14ac:dyDescent="0.3">
      <c r="B1483" s="171">
        <v>44686</v>
      </c>
      <c r="C1483" s="60">
        <v>6355.7</v>
      </c>
    </row>
    <row r="1484" spans="2:3" x14ac:dyDescent="0.3">
      <c r="B1484" s="171">
        <v>44685</v>
      </c>
      <c r="C1484" s="60">
        <v>6521.95</v>
      </c>
    </row>
    <row r="1485" spans="2:3" x14ac:dyDescent="0.3">
      <c r="B1485" s="171">
        <v>44683</v>
      </c>
      <c r="C1485" s="60">
        <v>6679</v>
      </c>
    </row>
    <row r="1486" spans="2:3" x14ac:dyDescent="0.3">
      <c r="B1486" s="171">
        <v>44680</v>
      </c>
      <c r="C1486" s="60">
        <v>6630.25</v>
      </c>
    </row>
    <row r="1487" spans="2:3" x14ac:dyDescent="0.3">
      <c r="B1487" s="171">
        <v>44679</v>
      </c>
      <c r="C1487" s="60">
        <v>6616.95</v>
      </c>
    </row>
    <row r="1488" spans="2:3" x14ac:dyDescent="0.3">
      <c r="B1488" s="171">
        <v>44678</v>
      </c>
      <c r="C1488" s="60">
        <v>6548.45</v>
      </c>
    </row>
    <row r="1489" spans="2:3" x14ac:dyDescent="0.3">
      <c r="B1489" s="171">
        <v>44677</v>
      </c>
      <c r="C1489" s="60">
        <v>6660.2</v>
      </c>
    </row>
    <row r="1490" spans="2:3" x14ac:dyDescent="0.3">
      <c r="B1490" s="171">
        <v>44676</v>
      </c>
      <c r="C1490" s="60">
        <v>6595.05</v>
      </c>
    </row>
    <row r="1491" spans="2:3" x14ac:dyDescent="0.3">
      <c r="B1491" s="171">
        <v>44673</v>
      </c>
      <c r="C1491" s="60">
        <v>6744.1</v>
      </c>
    </row>
    <row r="1492" spans="2:3" x14ac:dyDescent="0.3">
      <c r="B1492" s="171">
        <v>44672</v>
      </c>
      <c r="C1492" s="60">
        <v>6846.5</v>
      </c>
    </row>
    <row r="1493" spans="2:3" x14ac:dyDescent="0.3">
      <c r="B1493" s="171">
        <v>44671</v>
      </c>
      <c r="C1493" s="60">
        <v>6807.15</v>
      </c>
    </row>
    <row r="1494" spans="2:3" x14ac:dyDescent="0.3">
      <c r="B1494" s="171">
        <v>44670</v>
      </c>
      <c r="C1494" s="60">
        <v>6585.7</v>
      </c>
    </row>
    <row r="1495" spans="2:3" x14ac:dyDescent="0.3">
      <c r="B1495" s="171">
        <v>44669</v>
      </c>
      <c r="C1495" s="60">
        <v>6639.6</v>
      </c>
    </row>
    <row r="1496" spans="2:3" x14ac:dyDescent="0.3">
      <c r="B1496" s="171">
        <v>44664</v>
      </c>
      <c r="C1496" s="60">
        <v>6730.05</v>
      </c>
    </row>
    <row r="1497" spans="2:3" x14ac:dyDescent="0.3">
      <c r="B1497" s="171">
        <v>44663</v>
      </c>
      <c r="C1497" s="60">
        <v>6775.55</v>
      </c>
    </row>
    <row r="1498" spans="2:3" x14ac:dyDescent="0.3">
      <c r="B1498" s="171">
        <v>44662</v>
      </c>
      <c r="C1498" s="60">
        <v>6858.75</v>
      </c>
    </row>
    <row r="1499" spans="2:3" x14ac:dyDescent="0.3">
      <c r="B1499" s="171">
        <v>44659</v>
      </c>
      <c r="C1499" s="60">
        <v>6837</v>
      </c>
    </row>
    <row r="1500" spans="2:3" x14ac:dyDescent="0.3">
      <c r="B1500" s="171">
        <v>44658</v>
      </c>
      <c r="C1500" s="60">
        <v>6736.65</v>
      </c>
    </row>
    <row r="1501" spans="2:3" x14ac:dyDescent="0.3">
      <c r="B1501" s="171">
        <v>44657</v>
      </c>
      <c r="C1501" s="60">
        <v>6736.15</v>
      </c>
    </row>
    <row r="1502" spans="2:3" x14ac:dyDescent="0.3">
      <c r="B1502" s="171">
        <v>44656</v>
      </c>
      <c r="C1502" s="60">
        <v>6726.15</v>
      </c>
    </row>
    <row r="1503" spans="2:3" x14ac:dyDescent="0.3">
      <c r="B1503" s="171">
        <v>44655</v>
      </c>
      <c r="C1503" s="60">
        <v>6743.9</v>
      </c>
    </row>
    <row r="1504" spans="2:3" x14ac:dyDescent="0.3">
      <c r="B1504" s="171">
        <v>44652</v>
      </c>
      <c r="C1504" s="60">
        <v>6670.55</v>
      </c>
    </row>
    <row r="1505" spans="2:3" x14ac:dyDescent="0.3">
      <c r="B1505" s="171">
        <v>44651</v>
      </c>
      <c r="C1505" s="60">
        <v>6602.3</v>
      </c>
    </row>
    <row r="1506" spans="2:3" x14ac:dyDescent="0.3">
      <c r="B1506" s="171">
        <v>44650</v>
      </c>
      <c r="C1506" s="60">
        <v>6642.7</v>
      </c>
    </row>
    <row r="1507" spans="2:3" x14ac:dyDescent="0.3">
      <c r="B1507" s="171">
        <v>44649</v>
      </c>
      <c r="C1507" s="60">
        <v>6526.6</v>
      </c>
    </row>
    <row r="1508" spans="2:3" x14ac:dyDescent="0.3">
      <c r="B1508" s="171">
        <v>44648</v>
      </c>
      <c r="C1508" s="60">
        <v>6359.95</v>
      </c>
    </row>
    <row r="1509" spans="2:3" x14ac:dyDescent="0.3">
      <c r="B1509" s="171">
        <v>44645</v>
      </c>
      <c r="C1509" s="60">
        <v>6312.7</v>
      </c>
    </row>
    <row r="1510" spans="2:3" x14ac:dyDescent="0.3">
      <c r="B1510" s="171">
        <v>44644</v>
      </c>
      <c r="C1510" s="60">
        <v>6351.85</v>
      </c>
    </row>
    <row r="1511" spans="2:3" x14ac:dyDescent="0.3">
      <c r="B1511" s="171">
        <v>44643</v>
      </c>
      <c r="C1511" s="60">
        <v>6234</v>
      </c>
    </row>
    <row r="1512" spans="2:3" x14ac:dyDescent="0.3">
      <c r="B1512" s="171">
        <v>44642</v>
      </c>
      <c r="C1512" s="60">
        <v>6211.6</v>
      </c>
    </row>
    <row r="1513" spans="2:3" x14ac:dyDescent="0.3">
      <c r="B1513" s="171">
        <v>44641</v>
      </c>
      <c r="C1513" s="60">
        <v>6191.25</v>
      </c>
    </row>
    <row r="1514" spans="2:3" x14ac:dyDescent="0.3">
      <c r="B1514" s="171">
        <v>44637</v>
      </c>
      <c r="C1514" s="60">
        <v>6373.6</v>
      </c>
    </row>
    <row r="1515" spans="2:3" x14ac:dyDescent="0.3">
      <c r="B1515" s="171">
        <v>44636</v>
      </c>
      <c r="C1515" s="60">
        <v>6305.9</v>
      </c>
    </row>
    <row r="1516" spans="2:3" x14ac:dyDescent="0.3">
      <c r="B1516" s="171">
        <v>44635</v>
      </c>
      <c r="C1516" s="60">
        <v>6021.25</v>
      </c>
    </row>
    <row r="1517" spans="2:3" x14ac:dyDescent="0.3">
      <c r="B1517" s="171">
        <v>44634</v>
      </c>
      <c r="C1517" s="60">
        <v>6035.9</v>
      </c>
    </row>
    <row r="1518" spans="2:3" x14ac:dyDescent="0.3">
      <c r="B1518" s="171">
        <v>44631</v>
      </c>
      <c r="C1518" s="60">
        <v>6021</v>
      </c>
    </row>
    <row r="1519" spans="2:3" x14ac:dyDescent="0.3">
      <c r="B1519" s="171">
        <v>44630</v>
      </c>
      <c r="C1519" s="60">
        <v>6052.55</v>
      </c>
    </row>
    <row r="1520" spans="2:3" x14ac:dyDescent="0.3">
      <c r="B1520" s="171">
        <v>44629</v>
      </c>
      <c r="C1520" s="60">
        <v>6017.35</v>
      </c>
    </row>
    <row r="1521" spans="2:3" x14ac:dyDescent="0.3">
      <c r="B1521" s="171">
        <v>44628</v>
      </c>
      <c r="C1521" s="60">
        <v>5833.45</v>
      </c>
    </row>
    <row r="1522" spans="2:3" x14ac:dyDescent="0.3">
      <c r="B1522" s="171">
        <v>44627</v>
      </c>
      <c r="C1522" s="60">
        <v>5698.1</v>
      </c>
    </row>
    <row r="1523" spans="2:3" x14ac:dyDescent="0.3">
      <c r="B1523" s="171">
        <v>44624</v>
      </c>
      <c r="C1523" s="60">
        <v>6050.3</v>
      </c>
    </row>
    <row r="1524" spans="2:3" x14ac:dyDescent="0.3">
      <c r="B1524" s="171">
        <v>44623</v>
      </c>
      <c r="C1524" s="60">
        <v>5980.7</v>
      </c>
    </row>
    <row r="1525" spans="2:3" x14ac:dyDescent="0.3">
      <c r="B1525" s="171">
        <v>44622</v>
      </c>
      <c r="C1525" s="60">
        <v>6399.35</v>
      </c>
    </row>
    <row r="1526" spans="2:3" x14ac:dyDescent="0.3">
      <c r="B1526" s="171">
        <v>44620</v>
      </c>
      <c r="C1526" s="60">
        <v>6567.9</v>
      </c>
    </row>
    <row r="1527" spans="2:3" x14ac:dyDescent="0.3">
      <c r="B1527" s="171">
        <v>44617</v>
      </c>
      <c r="C1527" s="60">
        <v>6570.25</v>
      </c>
    </row>
    <row r="1528" spans="2:3" x14ac:dyDescent="0.3">
      <c r="B1528" s="171">
        <v>44616</v>
      </c>
      <c r="C1528" s="60">
        <v>6418.45</v>
      </c>
    </row>
    <row r="1529" spans="2:3" x14ac:dyDescent="0.3">
      <c r="B1529" s="171">
        <v>44615</v>
      </c>
      <c r="C1529" s="60">
        <v>6780.2</v>
      </c>
    </row>
    <row r="1530" spans="2:3" x14ac:dyDescent="0.3">
      <c r="B1530" s="171">
        <v>44614</v>
      </c>
      <c r="C1530" s="60">
        <v>6749.55</v>
      </c>
    </row>
    <row r="1531" spans="2:3" x14ac:dyDescent="0.3">
      <c r="B1531" s="171">
        <v>44613</v>
      </c>
      <c r="C1531" s="60">
        <v>6813.45</v>
      </c>
    </row>
    <row r="1532" spans="2:3" x14ac:dyDescent="0.3">
      <c r="B1532" s="171">
        <v>44610</v>
      </c>
      <c r="C1532" s="60">
        <v>6916.6</v>
      </c>
    </row>
    <row r="1533" spans="2:3" x14ac:dyDescent="0.3">
      <c r="B1533" s="171">
        <v>44609</v>
      </c>
      <c r="C1533" s="60">
        <v>7045.95</v>
      </c>
    </row>
    <row r="1534" spans="2:3" x14ac:dyDescent="0.3">
      <c r="B1534" s="171">
        <v>44608</v>
      </c>
      <c r="C1534" s="60">
        <v>7178.9</v>
      </c>
    </row>
    <row r="1535" spans="2:3" x14ac:dyDescent="0.3">
      <c r="B1535" s="171">
        <v>44607</v>
      </c>
      <c r="C1535" s="60">
        <v>7290.3</v>
      </c>
    </row>
    <row r="1536" spans="2:3" x14ac:dyDescent="0.3">
      <c r="B1536" s="171">
        <v>44606</v>
      </c>
      <c r="C1536" s="60">
        <v>7089.1</v>
      </c>
    </row>
    <row r="1537" spans="2:3" x14ac:dyDescent="0.3">
      <c r="B1537" s="171">
        <v>44603</v>
      </c>
      <c r="C1537" s="60">
        <v>7323.6</v>
      </c>
    </row>
    <row r="1538" spans="2:3" x14ac:dyDescent="0.3">
      <c r="B1538" s="171">
        <v>44602</v>
      </c>
      <c r="C1538" s="60">
        <v>7474.5</v>
      </c>
    </row>
    <row r="1539" spans="2:3" x14ac:dyDescent="0.3">
      <c r="B1539" s="171">
        <v>44601</v>
      </c>
      <c r="C1539" s="60">
        <v>7504.05</v>
      </c>
    </row>
    <row r="1540" spans="2:3" x14ac:dyDescent="0.3">
      <c r="B1540" s="171">
        <v>44600</v>
      </c>
      <c r="C1540" s="60">
        <v>7421.35</v>
      </c>
    </row>
    <row r="1541" spans="2:3" x14ac:dyDescent="0.3">
      <c r="B1541" s="171">
        <v>44599</v>
      </c>
      <c r="C1541" s="60">
        <v>7469.35</v>
      </c>
    </row>
    <row r="1542" spans="2:3" x14ac:dyDescent="0.3">
      <c r="B1542" s="171">
        <v>44596</v>
      </c>
      <c r="C1542" s="60">
        <v>7439.65</v>
      </c>
    </row>
    <row r="1543" spans="2:3" x14ac:dyDescent="0.3">
      <c r="B1543" s="171">
        <v>44595</v>
      </c>
      <c r="C1543" s="60">
        <v>7375.35</v>
      </c>
    </row>
    <row r="1544" spans="2:3" x14ac:dyDescent="0.3">
      <c r="B1544" s="171">
        <v>44594</v>
      </c>
      <c r="C1544" s="60">
        <v>7441</v>
      </c>
    </row>
    <row r="1545" spans="2:3" x14ac:dyDescent="0.3">
      <c r="B1545" s="171">
        <v>44593</v>
      </c>
      <c r="C1545" s="60">
        <v>7516.25</v>
      </c>
    </row>
    <row r="1546" spans="2:3" x14ac:dyDescent="0.3">
      <c r="B1546" s="171">
        <v>44592</v>
      </c>
      <c r="C1546" s="60">
        <v>7216.4</v>
      </c>
    </row>
    <row r="1547" spans="2:3" x14ac:dyDescent="0.3">
      <c r="B1547" s="171">
        <v>44589</v>
      </c>
      <c r="C1547" s="60">
        <v>7109.85</v>
      </c>
    </row>
    <row r="1548" spans="2:3" x14ac:dyDescent="0.3">
      <c r="B1548" s="171">
        <v>44588</v>
      </c>
      <c r="C1548" s="60">
        <v>7100.7</v>
      </c>
    </row>
    <row r="1549" spans="2:3" x14ac:dyDescent="0.3">
      <c r="B1549" s="171">
        <v>44586</v>
      </c>
      <c r="C1549" s="60">
        <v>7098.35</v>
      </c>
    </row>
    <row r="1550" spans="2:3" x14ac:dyDescent="0.3">
      <c r="B1550" s="171">
        <v>44585</v>
      </c>
      <c r="C1550" s="60">
        <v>7156</v>
      </c>
    </row>
    <row r="1551" spans="2:3" x14ac:dyDescent="0.3">
      <c r="B1551" s="171">
        <v>44582</v>
      </c>
      <c r="C1551" s="60">
        <v>7357.65</v>
      </c>
    </row>
    <row r="1552" spans="2:3" x14ac:dyDescent="0.3">
      <c r="B1552" s="171">
        <v>44581</v>
      </c>
      <c r="C1552" s="60">
        <v>7465.5</v>
      </c>
    </row>
    <row r="1553" spans="2:3" x14ac:dyDescent="0.3">
      <c r="B1553" s="171">
        <v>44580</v>
      </c>
      <c r="C1553" s="60">
        <v>7434.4</v>
      </c>
    </row>
    <row r="1554" spans="2:3" x14ac:dyDescent="0.3">
      <c r="B1554" s="171">
        <v>44579</v>
      </c>
      <c r="C1554" s="60">
        <v>7555.9</v>
      </c>
    </row>
    <row r="1555" spans="2:3" x14ac:dyDescent="0.3">
      <c r="B1555" s="171">
        <v>44578</v>
      </c>
      <c r="C1555" s="60">
        <v>7870.1</v>
      </c>
    </row>
    <row r="1556" spans="2:3" x14ac:dyDescent="0.3">
      <c r="B1556" s="171">
        <v>44575</v>
      </c>
      <c r="C1556" s="60">
        <v>7660.55</v>
      </c>
    </row>
    <row r="1557" spans="2:3" x14ac:dyDescent="0.3">
      <c r="B1557" s="171">
        <v>44574</v>
      </c>
      <c r="C1557" s="60">
        <v>7606.8</v>
      </c>
    </row>
    <row r="1558" spans="2:3" x14ac:dyDescent="0.3">
      <c r="B1558" s="171">
        <v>44573</v>
      </c>
      <c r="C1558" s="60">
        <v>7658.7</v>
      </c>
    </row>
    <row r="1559" spans="2:3" x14ac:dyDescent="0.3">
      <c r="B1559" s="171">
        <v>44572</v>
      </c>
      <c r="C1559" s="60">
        <v>7606.3</v>
      </c>
    </row>
    <row r="1560" spans="2:3" x14ac:dyDescent="0.3">
      <c r="B1560" s="171">
        <v>44571</v>
      </c>
      <c r="C1560" s="60">
        <v>7585.15</v>
      </c>
    </row>
    <row r="1561" spans="2:3" x14ac:dyDescent="0.3">
      <c r="B1561" s="171">
        <v>44568</v>
      </c>
      <c r="C1561" s="60">
        <v>7557.95</v>
      </c>
    </row>
    <row r="1562" spans="2:3" x14ac:dyDescent="0.3">
      <c r="B1562" s="171">
        <v>44567</v>
      </c>
      <c r="C1562" s="60">
        <v>7458.55</v>
      </c>
    </row>
    <row r="1563" spans="2:3" x14ac:dyDescent="0.3">
      <c r="B1563" s="171">
        <v>44566</v>
      </c>
      <c r="C1563" s="60">
        <v>7659.55</v>
      </c>
    </row>
    <row r="1564" spans="2:3" x14ac:dyDescent="0.3">
      <c r="B1564" s="171">
        <v>44565</v>
      </c>
      <c r="C1564" s="60">
        <v>7650.35</v>
      </c>
    </row>
    <row r="1565" spans="2:3" x14ac:dyDescent="0.3">
      <c r="B1565" s="171">
        <v>44564</v>
      </c>
      <c r="C1565" s="60">
        <v>7723.9</v>
      </c>
    </row>
    <row r="1566" spans="2:3" x14ac:dyDescent="0.3">
      <c r="B1566" s="171">
        <v>44561</v>
      </c>
      <c r="C1566" s="60">
        <v>7591.05</v>
      </c>
    </row>
    <row r="1567" spans="2:3" x14ac:dyDescent="0.3">
      <c r="B1567" s="171">
        <v>44560</v>
      </c>
      <c r="C1567" s="60">
        <v>7397.2</v>
      </c>
    </row>
    <row r="1568" spans="2:3" x14ac:dyDescent="0.3">
      <c r="B1568" s="171">
        <v>44559</v>
      </c>
      <c r="C1568" s="60">
        <v>7420.95</v>
      </c>
    </row>
    <row r="1569" spans="2:3" x14ac:dyDescent="0.3">
      <c r="B1569" s="171">
        <v>44558</v>
      </c>
      <c r="C1569" s="60">
        <v>7406.1</v>
      </c>
    </row>
    <row r="1570" spans="2:3" x14ac:dyDescent="0.3">
      <c r="B1570" s="171">
        <v>44557</v>
      </c>
      <c r="C1570" s="60">
        <v>7245.05</v>
      </c>
    </row>
    <row r="1571" spans="2:3" x14ac:dyDescent="0.3">
      <c r="B1571" s="171">
        <v>44554</v>
      </c>
      <c r="C1571" s="60">
        <v>7224.8</v>
      </c>
    </row>
    <row r="1572" spans="2:3" x14ac:dyDescent="0.3">
      <c r="B1572" s="171">
        <v>44553</v>
      </c>
      <c r="C1572" s="60">
        <v>7340.6</v>
      </c>
    </row>
    <row r="1573" spans="2:3" x14ac:dyDescent="0.3">
      <c r="B1573" s="171">
        <v>44552</v>
      </c>
      <c r="C1573" s="60">
        <v>7377.25</v>
      </c>
    </row>
    <row r="1574" spans="2:3" x14ac:dyDescent="0.3">
      <c r="B1574" s="171">
        <v>44551</v>
      </c>
      <c r="C1574" s="60">
        <v>7327.35</v>
      </c>
    </row>
    <row r="1575" spans="2:3" x14ac:dyDescent="0.3">
      <c r="B1575" s="171">
        <v>44550</v>
      </c>
      <c r="C1575" s="60">
        <v>7160.85</v>
      </c>
    </row>
    <row r="1576" spans="2:3" x14ac:dyDescent="0.3">
      <c r="B1576" s="171">
        <v>44547</v>
      </c>
      <c r="C1576" s="60">
        <v>7337.35</v>
      </c>
    </row>
    <row r="1577" spans="2:3" x14ac:dyDescent="0.3">
      <c r="B1577" s="171">
        <v>44546</v>
      </c>
      <c r="C1577" s="60">
        <v>7413.75</v>
      </c>
    </row>
    <row r="1578" spans="2:3" x14ac:dyDescent="0.3">
      <c r="B1578" s="171">
        <v>44545</v>
      </c>
      <c r="C1578" s="60">
        <v>7371.35</v>
      </c>
    </row>
    <row r="1579" spans="2:3" x14ac:dyDescent="0.3">
      <c r="B1579" s="171">
        <v>44544</v>
      </c>
      <c r="C1579" s="60">
        <v>7386.4</v>
      </c>
    </row>
    <row r="1580" spans="2:3" x14ac:dyDescent="0.3">
      <c r="B1580" s="171">
        <v>44543</v>
      </c>
      <c r="C1580" s="60">
        <v>7414.45</v>
      </c>
    </row>
    <row r="1581" spans="2:3" x14ac:dyDescent="0.3">
      <c r="B1581" s="171">
        <v>44540</v>
      </c>
      <c r="C1581" s="60">
        <v>7440.45</v>
      </c>
    </row>
    <row r="1582" spans="2:3" x14ac:dyDescent="0.3">
      <c r="B1582" s="171">
        <v>44539</v>
      </c>
      <c r="C1582" s="60">
        <v>7433.85</v>
      </c>
    </row>
    <row r="1583" spans="2:3" x14ac:dyDescent="0.3">
      <c r="B1583" s="171">
        <v>44538</v>
      </c>
      <c r="C1583" s="60">
        <v>7423.95</v>
      </c>
    </row>
    <row r="1584" spans="2:3" x14ac:dyDescent="0.3">
      <c r="B1584" s="171">
        <v>44537</v>
      </c>
      <c r="C1584" s="60">
        <v>7299.4</v>
      </c>
    </row>
    <row r="1585" spans="2:3" x14ac:dyDescent="0.3">
      <c r="B1585" s="171">
        <v>44536</v>
      </c>
      <c r="C1585" s="60">
        <v>7214.6</v>
      </c>
    </row>
    <row r="1586" spans="2:3" x14ac:dyDescent="0.3">
      <c r="B1586" s="171">
        <v>44533</v>
      </c>
      <c r="C1586" s="60">
        <v>7332.45</v>
      </c>
    </row>
    <row r="1587" spans="2:3" x14ac:dyDescent="0.3">
      <c r="B1587" s="171">
        <v>44532</v>
      </c>
      <c r="C1587" s="60">
        <v>7323.2</v>
      </c>
    </row>
    <row r="1588" spans="2:3" x14ac:dyDescent="0.3">
      <c r="B1588" s="171">
        <v>44531</v>
      </c>
      <c r="C1588" s="60">
        <v>7322.6</v>
      </c>
    </row>
    <row r="1589" spans="2:3" x14ac:dyDescent="0.3">
      <c r="B1589" s="171">
        <v>44530</v>
      </c>
      <c r="C1589" s="60">
        <v>7433.75</v>
      </c>
    </row>
    <row r="1590" spans="2:3" x14ac:dyDescent="0.3">
      <c r="B1590" s="171">
        <v>44529</v>
      </c>
      <c r="C1590" s="60">
        <v>7388.25</v>
      </c>
    </row>
    <row r="1591" spans="2:3" x14ac:dyDescent="0.3">
      <c r="B1591" s="171">
        <v>44526</v>
      </c>
      <c r="C1591" s="60">
        <v>7394.75</v>
      </c>
    </row>
    <row r="1592" spans="2:3" x14ac:dyDescent="0.3">
      <c r="B1592" s="171">
        <v>44525</v>
      </c>
      <c r="C1592" s="60">
        <v>7608.8</v>
      </c>
    </row>
    <row r="1593" spans="2:3" x14ac:dyDescent="0.3">
      <c r="B1593" s="171">
        <v>44524</v>
      </c>
      <c r="C1593" s="60">
        <v>7577.3</v>
      </c>
    </row>
    <row r="1594" spans="2:3" x14ac:dyDescent="0.3">
      <c r="B1594" s="171">
        <v>44523</v>
      </c>
      <c r="C1594" s="60">
        <v>7657.95</v>
      </c>
    </row>
    <row r="1595" spans="2:3" x14ac:dyDescent="0.3">
      <c r="B1595" s="171">
        <v>44522</v>
      </c>
      <c r="C1595" s="60">
        <v>7653.8</v>
      </c>
    </row>
    <row r="1596" spans="2:3" x14ac:dyDescent="0.3">
      <c r="B1596" s="171">
        <v>44518</v>
      </c>
      <c r="C1596" s="60">
        <v>7767.7</v>
      </c>
    </row>
    <row r="1597" spans="2:3" x14ac:dyDescent="0.3">
      <c r="B1597" s="171">
        <v>44517</v>
      </c>
      <c r="C1597" s="60">
        <v>7857.7</v>
      </c>
    </row>
    <row r="1598" spans="2:3" x14ac:dyDescent="0.3">
      <c r="B1598" s="171">
        <v>44516</v>
      </c>
      <c r="C1598" s="60">
        <v>7882.4</v>
      </c>
    </row>
    <row r="1599" spans="2:3" x14ac:dyDescent="0.3">
      <c r="B1599" s="171">
        <v>44515</v>
      </c>
      <c r="C1599" s="60">
        <v>8050.8</v>
      </c>
    </row>
    <row r="1600" spans="2:3" x14ac:dyDescent="0.3">
      <c r="B1600" s="171">
        <v>44512</v>
      </c>
      <c r="C1600" s="60">
        <v>8080.75</v>
      </c>
    </row>
    <row r="1601" spans="2:3" x14ac:dyDescent="0.3">
      <c r="B1601" s="171">
        <v>44511</v>
      </c>
      <c r="C1601" s="60">
        <v>8050.65</v>
      </c>
    </row>
    <row r="1602" spans="2:3" x14ac:dyDescent="0.3">
      <c r="B1602" s="171">
        <v>44510</v>
      </c>
      <c r="C1602" s="60">
        <v>8106.8</v>
      </c>
    </row>
    <row r="1603" spans="2:3" x14ac:dyDescent="0.3">
      <c r="B1603" s="171">
        <v>44509</v>
      </c>
      <c r="C1603" s="60">
        <v>8166</v>
      </c>
    </row>
    <row r="1604" spans="2:3" x14ac:dyDescent="0.3">
      <c r="B1604" s="171">
        <v>44508</v>
      </c>
      <c r="C1604" s="60">
        <v>8214.0499999999993</v>
      </c>
    </row>
    <row r="1605" spans="2:3" x14ac:dyDescent="0.3">
      <c r="B1605" s="171">
        <v>44504</v>
      </c>
      <c r="C1605" s="60">
        <v>7880.8</v>
      </c>
    </row>
    <row r="1606" spans="2:3" x14ac:dyDescent="0.3">
      <c r="B1606" s="171">
        <v>44503</v>
      </c>
      <c r="C1606" s="60">
        <v>7887.85</v>
      </c>
    </row>
    <row r="1607" spans="2:3" x14ac:dyDescent="0.3">
      <c r="B1607" s="171">
        <v>44502</v>
      </c>
      <c r="C1607" s="60">
        <v>7713.35</v>
      </c>
    </row>
    <row r="1608" spans="2:3" x14ac:dyDescent="0.3">
      <c r="B1608" s="171">
        <v>44501</v>
      </c>
      <c r="C1608" s="60">
        <v>7775.1</v>
      </c>
    </row>
    <row r="1609" spans="2:3" x14ac:dyDescent="0.3">
      <c r="B1609" s="171">
        <v>44498</v>
      </c>
      <c r="C1609" s="60">
        <v>7636.05</v>
      </c>
    </row>
    <row r="1610" spans="2:3" x14ac:dyDescent="0.3">
      <c r="B1610" s="171">
        <v>44497</v>
      </c>
      <c r="C1610" s="60">
        <v>7446.65</v>
      </c>
    </row>
    <row r="1611" spans="2:3" x14ac:dyDescent="0.3">
      <c r="B1611" s="171">
        <v>44496</v>
      </c>
      <c r="C1611" s="60">
        <v>7354.2</v>
      </c>
    </row>
    <row r="1612" spans="2:3" x14ac:dyDescent="0.3">
      <c r="B1612" s="171">
        <v>44495</v>
      </c>
      <c r="C1612" s="60">
        <v>7269.1</v>
      </c>
    </row>
    <row r="1613" spans="2:3" x14ac:dyDescent="0.3">
      <c r="B1613" s="171">
        <v>44494</v>
      </c>
      <c r="C1613" s="60">
        <v>7149.8</v>
      </c>
    </row>
    <row r="1614" spans="2:3" x14ac:dyDescent="0.3">
      <c r="B1614" s="171">
        <v>44491</v>
      </c>
      <c r="C1614" s="60">
        <v>7149.6</v>
      </c>
    </row>
    <row r="1615" spans="2:3" x14ac:dyDescent="0.3">
      <c r="B1615" s="171">
        <v>44490</v>
      </c>
      <c r="C1615" s="60">
        <v>7129</v>
      </c>
    </row>
    <row r="1616" spans="2:3" x14ac:dyDescent="0.3">
      <c r="B1616" s="171">
        <v>44489</v>
      </c>
      <c r="C1616" s="60">
        <v>7129.6</v>
      </c>
    </row>
    <row r="1617" spans="2:3" x14ac:dyDescent="0.3">
      <c r="B1617" s="171">
        <v>44488</v>
      </c>
      <c r="C1617" s="60">
        <v>7170.1</v>
      </c>
    </row>
    <row r="1618" spans="2:3" x14ac:dyDescent="0.3">
      <c r="B1618" s="171">
        <v>44487</v>
      </c>
      <c r="C1618" s="60">
        <v>7399.3</v>
      </c>
    </row>
    <row r="1619" spans="2:3" x14ac:dyDescent="0.3">
      <c r="B1619" s="171">
        <v>44483</v>
      </c>
      <c r="C1619" s="60">
        <v>7395.5</v>
      </c>
    </row>
    <row r="1620" spans="2:3" x14ac:dyDescent="0.3">
      <c r="B1620" s="171">
        <v>44482</v>
      </c>
      <c r="C1620" s="60">
        <v>7350.4</v>
      </c>
    </row>
    <row r="1621" spans="2:3" x14ac:dyDescent="0.3">
      <c r="B1621" s="171">
        <v>44481</v>
      </c>
      <c r="C1621" s="60">
        <v>7250.15</v>
      </c>
    </row>
    <row r="1622" spans="2:3" x14ac:dyDescent="0.3">
      <c r="B1622" s="171">
        <v>44480</v>
      </c>
      <c r="C1622" s="60">
        <v>7330.25</v>
      </c>
    </row>
    <row r="1623" spans="2:3" x14ac:dyDescent="0.3">
      <c r="B1623" s="171">
        <v>44477</v>
      </c>
      <c r="C1623" s="60">
        <v>7335.75</v>
      </c>
    </row>
    <row r="1624" spans="2:3" x14ac:dyDescent="0.3">
      <c r="B1624" s="171">
        <v>44476</v>
      </c>
      <c r="C1624" s="60">
        <v>7354.6</v>
      </c>
    </row>
    <row r="1625" spans="2:3" x14ac:dyDescent="0.3">
      <c r="B1625" s="171">
        <v>44475</v>
      </c>
      <c r="C1625" s="60">
        <v>7363</v>
      </c>
    </row>
    <row r="1626" spans="2:3" x14ac:dyDescent="0.3">
      <c r="B1626" s="171">
        <v>44474</v>
      </c>
      <c r="C1626" s="60">
        <v>7464</v>
      </c>
    </row>
    <row r="1627" spans="2:3" x14ac:dyDescent="0.3">
      <c r="B1627" s="171">
        <v>44473</v>
      </c>
      <c r="C1627" s="60">
        <v>7515.6</v>
      </c>
    </row>
    <row r="1628" spans="2:3" x14ac:dyDescent="0.3">
      <c r="B1628" s="171">
        <v>44470</v>
      </c>
      <c r="C1628" s="60">
        <v>7483.55</v>
      </c>
    </row>
    <row r="1629" spans="2:3" x14ac:dyDescent="0.3">
      <c r="B1629" s="171">
        <v>44469</v>
      </c>
      <c r="C1629" s="60">
        <v>7396.1</v>
      </c>
    </row>
    <row r="1630" spans="2:3" x14ac:dyDescent="0.3">
      <c r="B1630" s="171">
        <v>44468</v>
      </c>
      <c r="C1630" s="60">
        <v>7464.55</v>
      </c>
    </row>
    <row r="1631" spans="2:3" x14ac:dyDescent="0.3">
      <c r="B1631" s="171">
        <v>44467</v>
      </c>
      <c r="C1631" s="60">
        <v>7588.3</v>
      </c>
    </row>
    <row r="1632" spans="2:3" x14ac:dyDescent="0.3">
      <c r="B1632" s="171">
        <v>44466</v>
      </c>
      <c r="C1632" s="60">
        <v>7622.9</v>
      </c>
    </row>
    <row r="1633" spans="2:3" x14ac:dyDescent="0.3">
      <c r="B1633" s="171">
        <v>44463</v>
      </c>
      <c r="C1633" s="60">
        <v>7521.5</v>
      </c>
    </row>
    <row r="1634" spans="2:3" x14ac:dyDescent="0.3">
      <c r="B1634" s="171">
        <v>44462</v>
      </c>
      <c r="C1634" s="60">
        <v>7619.7</v>
      </c>
    </row>
    <row r="1635" spans="2:3" x14ac:dyDescent="0.3">
      <c r="B1635" s="171">
        <v>44461</v>
      </c>
      <c r="C1635" s="60">
        <v>7625.6</v>
      </c>
    </row>
    <row r="1636" spans="2:3" x14ac:dyDescent="0.3">
      <c r="B1636" s="171">
        <v>44460</v>
      </c>
      <c r="C1636" s="60">
        <v>7592.7</v>
      </c>
    </row>
    <row r="1637" spans="2:3" x14ac:dyDescent="0.3">
      <c r="B1637" s="171">
        <v>44459</v>
      </c>
      <c r="C1637" s="60">
        <v>7576</v>
      </c>
    </row>
    <row r="1638" spans="2:3" x14ac:dyDescent="0.3">
      <c r="B1638" s="171">
        <v>44456</v>
      </c>
      <c r="C1638" s="60">
        <v>7711.85</v>
      </c>
    </row>
    <row r="1639" spans="2:3" x14ac:dyDescent="0.3">
      <c r="B1639" s="171">
        <v>44455</v>
      </c>
      <c r="C1639" s="60">
        <v>7765.45</v>
      </c>
    </row>
    <row r="1640" spans="2:3" x14ac:dyDescent="0.3">
      <c r="B1640" s="171">
        <v>44454</v>
      </c>
      <c r="C1640" s="60">
        <v>7820.85</v>
      </c>
    </row>
    <row r="1641" spans="2:3" x14ac:dyDescent="0.3">
      <c r="B1641" s="171">
        <v>44453</v>
      </c>
      <c r="C1641" s="60">
        <v>7856.45</v>
      </c>
    </row>
    <row r="1642" spans="2:3" x14ac:dyDescent="0.3">
      <c r="B1642" s="171">
        <v>44452</v>
      </c>
      <c r="C1642" s="60">
        <v>7944.45</v>
      </c>
    </row>
    <row r="1643" spans="2:3" x14ac:dyDescent="0.3">
      <c r="B1643" s="171">
        <v>44448</v>
      </c>
      <c r="C1643" s="60">
        <v>7939.65</v>
      </c>
    </row>
    <row r="1644" spans="2:3" x14ac:dyDescent="0.3">
      <c r="B1644" s="171">
        <v>44447</v>
      </c>
      <c r="C1644" s="60">
        <v>7992.9</v>
      </c>
    </row>
    <row r="1645" spans="2:3" x14ac:dyDescent="0.3">
      <c r="B1645" s="171">
        <v>44446</v>
      </c>
      <c r="C1645" s="60">
        <v>8026.25</v>
      </c>
    </row>
    <row r="1646" spans="2:3" x14ac:dyDescent="0.3">
      <c r="B1646" s="171">
        <v>44445</v>
      </c>
      <c r="C1646" s="60">
        <v>7952.6</v>
      </c>
    </row>
    <row r="1647" spans="2:3" x14ac:dyDescent="0.3">
      <c r="B1647" s="171">
        <v>44442</v>
      </c>
      <c r="C1647" s="60">
        <v>7929.85</v>
      </c>
    </row>
    <row r="1648" spans="2:3" x14ac:dyDescent="0.3">
      <c r="B1648" s="171">
        <v>44441</v>
      </c>
      <c r="C1648" s="60">
        <v>7952.75</v>
      </c>
    </row>
    <row r="1649" spans="2:3" x14ac:dyDescent="0.3">
      <c r="B1649" s="171">
        <v>44440</v>
      </c>
      <c r="C1649" s="60">
        <v>7766.95</v>
      </c>
    </row>
    <row r="1650" spans="2:3" x14ac:dyDescent="0.3">
      <c r="B1650" s="171">
        <v>44439</v>
      </c>
      <c r="C1650" s="60">
        <v>7832.45</v>
      </c>
    </row>
    <row r="1651" spans="2:3" x14ac:dyDescent="0.3">
      <c r="B1651" s="171">
        <v>44438</v>
      </c>
      <c r="C1651" s="60">
        <v>7703.8</v>
      </c>
    </row>
    <row r="1652" spans="2:3" x14ac:dyDescent="0.3">
      <c r="B1652" s="171">
        <v>44435</v>
      </c>
      <c r="C1652" s="60">
        <v>7565.6</v>
      </c>
    </row>
    <row r="1653" spans="2:3" x14ac:dyDescent="0.3">
      <c r="B1653" s="171">
        <v>44434</v>
      </c>
      <c r="C1653" s="60">
        <v>7307.1</v>
      </c>
    </row>
    <row r="1654" spans="2:3" x14ac:dyDescent="0.3">
      <c r="B1654" s="171">
        <v>44433</v>
      </c>
      <c r="C1654" s="60">
        <v>7382.35</v>
      </c>
    </row>
    <row r="1655" spans="2:3" x14ac:dyDescent="0.3">
      <c r="B1655" s="171">
        <v>44432</v>
      </c>
      <c r="C1655" s="60">
        <v>7455.35</v>
      </c>
    </row>
    <row r="1656" spans="2:3" x14ac:dyDescent="0.3">
      <c r="B1656" s="171">
        <v>44431</v>
      </c>
      <c r="C1656" s="60">
        <v>7351</v>
      </c>
    </row>
    <row r="1657" spans="2:3" x14ac:dyDescent="0.3">
      <c r="B1657" s="171">
        <v>44428</v>
      </c>
      <c r="C1657" s="60">
        <v>7493.35</v>
      </c>
    </row>
    <row r="1658" spans="2:3" x14ac:dyDescent="0.3">
      <c r="B1658" s="171">
        <v>44426</v>
      </c>
      <c r="C1658" s="60">
        <v>7601.45</v>
      </c>
    </row>
    <row r="1659" spans="2:3" x14ac:dyDescent="0.3">
      <c r="B1659" s="171">
        <v>44425</v>
      </c>
      <c r="C1659" s="60">
        <v>7409.05</v>
      </c>
    </row>
    <row r="1660" spans="2:3" x14ac:dyDescent="0.3">
      <c r="B1660" s="171">
        <v>44424</v>
      </c>
      <c r="C1660" s="60">
        <v>7346.65</v>
      </c>
    </row>
    <row r="1661" spans="2:3" x14ac:dyDescent="0.3">
      <c r="B1661" s="171">
        <v>44421</v>
      </c>
      <c r="C1661" s="60">
        <v>7460.7</v>
      </c>
    </row>
    <row r="1662" spans="2:3" x14ac:dyDescent="0.3">
      <c r="B1662" s="171">
        <v>44420</v>
      </c>
      <c r="C1662" s="60">
        <v>7468.7</v>
      </c>
    </row>
    <row r="1663" spans="2:3" x14ac:dyDescent="0.3">
      <c r="B1663" s="171">
        <v>44419</v>
      </c>
      <c r="C1663" s="60">
        <v>7452.45</v>
      </c>
    </row>
    <row r="1664" spans="2:3" x14ac:dyDescent="0.3">
      <c r="B1664" s="171">
        <v>44418</v>
      </c>
      <c r="C1664" s="60">
        <v>7474.15</v>
      </c>
    </row>
    <row r="1665" spans="2:3" x14ac:dyDescent="0.3">
      <c r="B1665" s="171">
        <v>44417</v>
      </c>
      <c r="C1665" s="60">
        <v>7495.65</v>
      </c>
    </row>
    <row r="1666" spans="2:3" x14ac:dyDescent="0.3">
      <c r="B1666" s="171">
        <v>44414</v>
      </c>
      <c r="C1666" s="60">
        <v>7527.65</v>
      </c>
    </row>
    <row r="1667" spans="2:3" x14ac:dyDescent="0.3">
      <c r="B1667" s="171">
        <v>44413</v>
      </c>
      <c r="C1667" s="60">
        <v>7659</v>
      </c>
    </row>
    <row r="1668" spans="2:3" x14ac:dyDescent="0.3">
      <c r="B1668" s="171">
        <v>44412</v>
      </c>
      <c r="C1668" s="60">
        <v>7750</v>
      </c>
    </row>
    <row r="1669" spans="2:3" x14ac:dyDescent="0.3">
      <c r="B1669" s="171">
        <v>44411</v>
      </c>
      <c r="C1669" s="60">
        <v>7843.25</v>
      </c>
    </row>
    <row r="1670" spans="2:3" x14ac:dyDescent="0.3">
      <c r="B1670" s="171">
        <v>44410</v>
      </c>
      <c r="C1670" s="60">
        <v>7642.05</v>
      </c>
    </row>
    <row r="1671" spans="2:3" x14ac:dyDescent="0.3">
      <c r="B1671" s="171">
        <v>44407</v>
      </c>
      <c r="C1671" s="60">
        <v>7619.2</v>
      </c>
    </row>
    <row r="1672" spans="2:3" x14ac:dyDescent="0.3">
      <c r="B1672" s="171">
        <v>44406</v>
      </c>
      <c r="C1672" s="60">
        <v>7700.45</v>
      </c>
    </row>
    <row r="1673" spans="2:3" x14ac:dyDescent="0.3">
      <c r="B1673" s="171">
        <v>44405</v>
      </c>
      <c r="C1673" s="60">
        <v>7654.65</v>
      </c>
    </row>
    <row r="1674" spans="2:3" x14ac:dyDescent="0.3">
      <c r="B1674" s="171">
        <v>44404</v>
      </c>
      <c r="C1674" s="60">
        <v>7596.25</v>
      </c>
    </row>
    <row r="1675" spans="2:3" x14ac:dyDescent="0.3">
      <c r="B1675" s="171">
        <v>44403</v>
      </c>
      <c r="C1675" s="60">
        <v>7616.7</v>
      </c>
    </row>
    <row r="1676" spans="2:3" x14ac:dyDescent="0.3">
      <c r="B1676" s="171">
        <v>44400</v>
      </c>
      <c r="C1676" s="60">
        <v>7490.3</v>
      </c>
    </row>
    <row r="1677" spans="2:3" x14ac:dyDescent="0.3">
      <c r="B1677" s="171">
        <v>44399</v>
      </c>
      <c r="C1677" s="60">
        <v>7459</v>
      </c>
    </row>
    <row r="1678" spans="2:3" x14ac:dyDescent="0.3">
      <c r="B1678" s="171">
        <v>44397</v>
      </c>
      <c r="C1678" s="60">
        <v>7424.7</v>
      </c>
    </row>
    <row r="1679" spans="2:3" x14ac:dyDescent="0.3">
      <c r="B1679" s="171">
        <v>44396</v>
      </c>
      <c r="C1679" s="60">
        <v>7312.35</v>
      </c>
    </row>
    <row r="1680" spans="2:3" x14ac:dyDescent="0.3">
      <c r="B1680" s="171">
        <v>44393</v>
      </c>
      <c r="C1680" s="60">
        <v>7334.55</v>
      </c>
    </row>
    <row r="1681" spans="2:3" x14ac:dyDescent="0.3">
      <c r="B1681" s="171">
        <v>44392</v>
      </c>
      <c r="C1681" s="60">
        <v>7189.65</v>
      </c>
    </row>
    <row r="1682" spans="2:3" x14ac:dyDescent="0.3">
      <c r="B1682" s="171">
        <v>44391</v>
      </c>
      <c r="C1682" s="60">
        <v>7118.05</v>
      </c>
    </row>
    <row r="1683" spans="2:3" x14ac:dyDescent="0.3">
      <c r="B1683" s="171">
        <v>44390</v>
      </c>
      <c r="C1683" s="60">
        <v>7128.85</v>
      </c>
    </row>
    <row r="1684" spans="2:3" x14ac:dyDescent="0.3">
      <c r="B1684" s="171">
        <v>44389</v>
      </c>
      <c r="C1684" s="60">
        <v>7093.75</v>
      </c>
    </row>
    <row r="1685" spans="2:3" x14ac:dyDescent="0.3">
      <c r="B1685" s="171">
        <v>44386</v>
      </c>
      <c r="C1685" s="60">
        <v>6899.55</v>
      </c>
    </row>
    <row r="1686" spans="2:3" x14ac:dyDescent="0.3">
      <c r="B1686" s="171">
        <v>44385</v>
      </c>
      <c r="C1686" s="60">
        <v>6901.9</v>
      </c>
    </row>
    <row r="1687" spans="2:3" x14ac:dyDescent="0.3">
      <c r="B1687" s="171">
        <v>44384</v>
      </c>
      <c r="C1687" s="60">
        <v>6925.1</v>
      </c>
    </row>
    <row r="1688" spans="2:3" x14ac:dyDescent="0.3">
      <c r="B1688" s="171">
        <v>44383</v>
      </c>
      <c r="C1688" s="60">
        <v>6933.05</v>
      </c>
    </row>
    <row r="1689" spans="2:3" x14ac:dyDescent="0.3">
      <c r="B1689" s="171">
        <v>44382</v>
      </c>
      <c r="C1689" s="60">
        <v>6719.85</v>
      </c>
    </row>
    <row r="1690" spans="2:3" x14ac:dyDescent="0.3">
      <c r="B1690" s="171">
        <v>44379</v>
      </c>
      <c r="C1690" s="60">
        <v>6719.9</v>
      </c>
    </row>
    <row r="1691" spans="2:3" x14ac:dyDescent="0.3">
      <c r="B1691" s="171">
        <v>44378</v>
      </c>
      <c r="C1691" s="60">
        <v>6707.25</v>
      </c>
    </row>
    <row r="1692" spans="2:3" x14ac:dyDescent="0.3">
      <c r="B1692" s="171">
        <v>44377</v>
      </c>
      <c r="C1692" s="60">
        <v>6776</v>
      </c>
    </row>
    <row r="1693" spans="2:3" x14ac:dyDescent="0.3">
      <c r="B1693" s="171">
        <v>44376</v>
      </c>
      <c r="C1693" s="60">
        <v>6824.7</v>
      </c>
    </row>
    <row r="1694" spans="2:3" x14ac:dyDescent="0.3">
      <c r="B1694" s="171">
        <v>44375</v>
      </c>
      <c r="C1694" s="60">
        <v>6869.45</v>
      </c>
    </row>
    <row r="1695" spans="2:3" x14ac:dyDescent="0.3">
      <c r="B1695" s="171">
        <v>44372</v>
      </c>
      <c r="C1695" s="60">
        <v>6923</v>
      </c>
    </row>
    <row r="1696" spans="2:3" x14ac:dyDescent="0.3">
      <c r="B1696" s="171">
        <v>44371</v>
      </c>
      <c r="C1696" s="60">
        <v>6961.95</v>
      </c>
    </row>
    <row r="1697" spans="2:3" x14ac:dyDescent="0.3">
      <c r="B1697" s="171">
        <v>44370</v>
      </c>
      <c r="C1697" s="60">
        <v>6903.35</v>
      </c>
    </row>
    <row r="1698" spans="2:3" x14ac:dyDescent="0.3">
      <c r="B1698" s="171">
        <v>44369</v>
      </c>
      <c r="C1698" s="60">
        <v>6858.95</v>
      </c>
    </row>
    <row r="1699" spans="2:3" x14ac:dyDescent="0.3">
      <c r="B1699" s="171">
        <v>44368</v>
      </c>
      <c r="C1699" s="60">
        <v>6775.5</v>
      </c>
    </row>
    <row r="1700" spans="2:3" x14ac:dyDescent="0.3">
      <c r="B1700" s="171">
        <v>44365</v>
      </c>
      <c r="C1700" s="60">
        <v>6693.9</v>
      </c>
    </row>
    <row r="1701" spans="2:3" x14ac:dyDescent="0.3">
      <c r="B1701" s="171">
        <v>44364</v>
      </c>
      <c r="C1701" s="60">
        <v>6704.85</v>
      </c>
    </row>
    <row r="1702" spans="2:3" x14ac:dyDescent="0.3">
      <c r="B1702" s="171">
        <v>44363</v>
      </c>
      <c r="C1702" s="60">
        <v>6587.4</v>
      </c>
    </row>
    <row r="1703" spans="2:3" x14ac:dyDescent="0.3">
      <c r="B1703" s="171">
        <v>44362</v>
      </c>
      <c r="C1703" s="60">
        <v>6668.3</v>
      </c>
    </row>
    <row r="1704" spans="2:3" x14ac:dyDescent="0.3">
      <c r="B1704" s="171">
        <v>44361</v>
      </c>
      <c r="C1704" s="60">
        <v>6678.5</v>
      </c>
    </row>
    <row r="1705" spans="2:3" x14ac:dyDescent="0.3">
      <c r="B1705" s="171">
        <v>44358</v>
      </c>
      <c r="C1705" s="60">
        <v>6662.85</v>
      </c>
    </row>
    <row r="1706" spans="2:3" x14ac:dyDescent="0.3">
      <c r="B1706" s="171">
        <v>44357</v>
      </c>
      <c r="C1706" s="60">
        <v>6709.65</v>
      </c>
    </row>
    <row r="1707" spans="2:3" x14ac:dyDescent="0.3">
      <c r="B1707" s="171">
        <v>44356</v>
      </c>
      <c r="C1707" s="60">
        <v>6724.75</v>
      </c>
    </row>
    <row r="1708" spans="2:3" x14ac:dyDescent="0.3">
      <c r="B1708" s="171">
        <v>44355</v>
      </c>
      <c r="C1708" s="60">
        <v>6794.4</v>
      </c>
    </row>
    <row r="1709" spans="2:3" x14ac:dyDescent="0.3">
      <c r="B1709" s="171">
        <v>44354</v>
      </c>
      <c r="C1709" s="60">
        <v>6849.65</v>
      </c>
    </row>
    <row r="1710" spans="2:3" x14ac:dyDescent="0.3">
      <c r="B1710" s="171">
        <v>44351</v>
      </c>
      <c r="C1710" s="60">
        <v>6664.3</v>
      </c>
    </row>
    <row r="1711" spans="2:3" x14ac:dyDescent="0.3">
      <c r="B1711" s="171">
        <v>44350</v>
      </c>
      <c r="C1711" s="60">
        <v>6641.7</v>
      </c>
    </row>
    <row r="1712" spans="2:3" x14ac:dyDescent="0.3">
      <c r="B1712" s="171">
        <v>44349</v>
      </c>
      <c r="C1712" s="60">
        <v>6594.2</v>
      </c>
    </row>
    <row r="1713" spans="2:3" x14ac:dyDescent="0.3">
      <c r="B1713" s="171">
        <v>44348</v>
      </c>
      <c r="C1713" s="60">
        <v>6601.35</v>
      </c>
    </row>
    <row r="1714" spans="2:3" x14ac:dyDescent="0.3">
      <c r="B1714" s="171">
        <v>44347</v>
      </c>
      <c r="C1714" s="60">
        <v>6708</v>
      </c>
    </row>
    <row r="1715" spans="2:3" x14ac:dyDescent="0.3">
      <c r="B1715" s="171">
        <v>44344</v>
      </c>
      <c r="C1715" s="60">
        <v>6598.5</v>
      </c>
    </row>
    <row r="1716" spans="2:3" x14ac:dyDescent="0.3">
      <c r="B1716" s="171">
        <v>44343</v>
      </c>
      <c r="C1716" s="60">
        <v>6673.25</v>
      </c>
    </row>
    <row r="1717" spans="2:3" x14ac:dyDescent="0.3">
      <c r="B1717" s="171">
        <v>44342</v>
      </c>
      <c r="C1717" s="60">
        <v>6580.9</v>
      </c>
    </row>
    <row r="1718" spans="2:3" x14ac:dyDescent="0.3">
      <c r="B1718" s="171">
        <v>44341</v>
      </c>
      <c r="C1718" s="60">
        <v>6556.6</v>
      </c>
    </row>
    <row r="1719" spans="2:3" x14ac:dyDescent="0.3">
      <c r="B1719" s="171">
        <v>44340</v>
      </c>
      <c r="C1719" s="60">
        <v>6562.4</v>
      </c>
    </row>
    <row r="1720" spans="2:3" x14ac:dyDescent="0.3">
      <c r="B1720" s="171">
        <v>44337</v>
      </c>
      <c r="C1720" s="60">
        <v>6637.6</v>
      </c>
    </row>
    <row r="1721" spans="2:3" x14ac:dyDescent="0.3">
      <c r="B1721" s="171">
        <v>44336</v>
      </c>
      <c r="C1721" s="60">
        <v>6573.85</v>
      </c>
    </row>
    <row r="1722" spans="2:3" x14ac:dyDescent="0.3">
      <c r="B1722" s="171">
        <v>44335</v>
      </c>
      <c r="C1722" s="60">
        <v>6561.2</v>
      </c>
    </row>
    <row r="1723" spans="2:3" x14ac:dyDescent="0.3">
      <c r="B1723" s="171">
        <v>44334</v>
      </c>
      <c r="C1723" s="60">
        <v>6653</v>
      </c>
    </row>
    <row r="1724" spans="2:3" x14ac:dyDescent="0.3">
      <c r="B1724" s="171">
        <v>44333</v>
      </c>
      <c r="C1724" s="60">
        <v>6532.35</v>
      </c>
    </row>
    <row r="1725" spans="2:3" x14ac:dyDescent="0.3">
      <c r="B1725" s="171">
        <v>44330</v>
      </c>
      <c r="C1725" s="60">
        <v>6368.1</v>
      </c>
    </row>
    <row r="1726" spans="2:3" x14ac:dyDescent="0.3">
      <c r="B1726" s="171">
        <v>44328</v>
      </c>
      <c r="C1726" s="60">
        <v>6388.85</v>
      </c>
    </row>
    <row r="1727" spans="2:3" x14ac:dyDescent="0.3">
      <c r="B1727" s="171">
        <v>44327</v>
      </c>
      <c r="C1727" s="60">
        <v>6490.6</v>
      </c>
    </row>
    <row r="1728" spans="2:3" x14ac:dyDescent="0.3">
      <c r="B1728" s="171">
        <v>44326</v>
      </c>
      <c r="C1728" s="60">
        <v>6403.1</v>
      </c>
    </row>
    <row r="1729" spans="2:3" x14ac:dyDescent="0.3">
      <c r="B1729" s="171">
        <v>44323</v>
      </c>
      <c r="C1729" s="60">
        <v>6481.9</v>
      </c>
    </row>
    <row r="1730" spans="2:3" x14ac:dyDescent="0.3">
      <c r="B1730" s="171">
        <v>44322</v>
      </c>
      <c r="C1730" s="60">
        <v>6405.45</v>
      </c>
    </row>
    <row r="1731" spans="2:3" x14ac:dyDescent="0.3">
      <c r="B1731" s="171">
        <v>44321</v>
      </c>
      <c r="C1731" s="60">
        <v>6380.35</v>
      </c>
    </row>
    <row r="1732" spans="2:3" x14ac:dyDescent="0.3">
      <c r="B1732" s="171">
        <v>44320</v>
      </c>
      <c r="C1732" s="60">
        <v>6296.45</v>
      </c>
    </row>
    <row r="1733" spans="2:3" x14ac:dyDescent="0.3">
      <c r="B1733" s="171">
        <v>44319</v>
      </c>
      <c r="C1733" s="60">
        <v>6350.15</v>
      </c>
    </row>
    <row r="1734" spans="2:3" x14ac:dyDescent="0.3">
      <c r="B1734" s="171">
        <v>44316</v>
      </c>
      <c r="C1734" s="60">
        <v>6278.95</v>
      </c>
    </row>
    <row r="1735" spans="2:3" x14ac:dyDescent="0.3">
      <c r="B1735" s="171">
        <v>44315</v>
      </c>
      <c r="C1735" s="60">
        <v>6382.45</v>
      </c>
    </row>
    <row r="1736" spans="2:3" x14ac:dyDescent="0.3">
      <c r="B1736" s="171">
        <v>44314</v>
      </c>
      <c r="C1736" s="60">
        <v>6360.8</v>
      </c>
    </row>
    <row r="1737" spans="2:3" x14ac:dyDescent="0.3">
      <c r="B1737" s="171">
        <v>44313</v>
      </c>
      <c r="C1737" s="60">
        <v>6326.8</v>
      </c>
    </row>
    <row r="1738" spans="2:3" x14ac:dyDescent="0.3">
      <c r="B1738" s="171">
        <v>44312</v>
      </c>
      <c r="C1738" s="60">
        <v>6275.9</v>
      </c>
    </row>
    <row r="1739" spans="2:3" x14ac:dyDescent="0.3">
      <c r="B1739" s="171">
        <v>44309</v>
      </c>
      <c r="C1739" s="60">
        <v>6067.9</v>
      </c>
    </row>
    <row r="1740" spans="2:3" x14ac:dyDescent="0.3">
      <c r="B1740" s="171">
        <v>44308</v>
      </c>
      <c r="C1740" s="60">
        <v>6092.3</v>
      </c>
    </row>
    <row r="1741" spans="2:3" x14ac:dyDescent="0.3">
      <c r="B1741" s="171">
        <v>44306</v>
      </c>
      <c r="C1741" s="60">
        <v>6200.85</v>
      </c>
    </row>
    <row r="1742" spans="2:3" x14ac:dyDescent="0.3">
      <c r="B1742" s="171">
        <v>44305</v>
      </c>
      <c r="C1742" s="60">
        <v>6509.75</v>
      </c>
    </row>
    <row r="1743" spans="2:3" x14ac:dyDescent="0.3">
      <c r="B1743" s="171">
        <v>44302</v>
      </c>
      <c r="C1743" s="60">
        <v>6715.2</v>
      </c>
    </row>
    <row r="1744" spans="2:3" x14ac:dyDescent="0.3">
      <c r="B1744" s="171">
        <v>44301</v>
      </c>
      <c r="C1744" s="60">
        <v>6539.3</v>
      </c>
    </row>
    <row r="1745" spans="2:3" x14ac:dyDescent="0.3">
      <c r="B1745" s="171">
        <v>44299</v>
      </c>
      <c r="C1745" s="60">
        <v>6604.45</v>
      </c>
    </row>
    <row r="1746" spans="2:3" x14ac:dyDescent="0.3">
      <c r="B1746" s="171">
        <v>44298</v>
      </c>
      <c r="C1746" s="60">
        <v>6509.4</v>
      </c>
    </row>
    <row r="1747" spans="2:3" x14ac:dyDescent="0.3">
      <c r="B1747" s="171">
        <v>44295</v>
      </c>
      <c r="C1747" s="60">
        <v>6825.85</v>
      </c>
    </row>
    <row r="1748" spans="2:3" x14ac:dyDescent="0.3">
      <c r="B1748" s="171">
        <v>44294</v>
      </c>
      <c r="C1748" s="60">
        <v>6971.25</v>
      </c>
    </row>
    <row r="1749" spans="2:3" x14ac:dyDescent="0.3">
      <c r="B1749" s="171">
        <v>44293</v>
      </c>
      <c r="C1749" s="60">
        <v>6760.05</v>
      </c>
    </row>
    <row r="1750" spans="2:3" x14ac:dyDescent="0.3">
      <c r="B1750" s="171">
        <v>44292</v>
      </c>
      <c r="C1750" s="60">
        <v>6736.65</v>
      </c>
    </row>
    <row r="1751" spans="2:3" x14ac:dyDescent="0.3">
      <c r="B1751" s="171">
        <v>44291</v>
      </c>
      <c r="C1751" s="60">
        <v>6795.8</v>
      </c>
    </row>
    <row r="1752" spans="2:3" x14ac:dyDescent="0.3">
      <c r="B1752" s="171">
        <v>44287</v>
      </c>
      <c r="C1752" s="60">
        <v>6898.85</v>
      </c>
    </row>
    <row r="1753" spans="2:3" x14ac:dyDescent="0.3">
      <c r="B1753" s="171">
        <v>44286</v>
      </c>
      <c r="C1753" s="60">
        <v>6737.95</v>
      </c>
    </row>
    <row r="1754" spans="2:3" x14ac:dyDescent="0.3">
      <c r="B1754" s="171">
        <v>44285</v>
      </c>
      <c r="C1754" s="60">
        <v>6785.6</v>
      </c>
    </row>
    <row r="1755" spans="2:3" x14ac:dyDescent="0.3">
      <c r="B1755" s="171">
        <v>44281</v>
      </c>
      <c r="C1755" s="60">
        <v>6735.25</v>
      </c>
    </row>
    <row r="1756" spans="2:3" x14ac:dyDescent="0.3">
      <c r="B1756" s="171">
        <v>44280</v>
      </c>
      <c r="C1756" s="60">
        <v>6666.5</v>
      </c>
    </row>
    <row r="1757" spans="2:3" x14ac:dyDescent="0.3">
      <c r="B1757" s="171">
        <v>44279</v>
      </c>
      <c r="C1757" s="60">
        <v>6858.65</v>
      </c>
    </row>
    <row r="1758" spans="2:3" x14ac:dyDescent="0.3">
      <c r="B1758" s="171">
        <v>44278</v>
      </c>
      <c r="C1758" s="60">
        <v>6939.1</v>
      </c>
    </row>
    <row r="1759" spans="2:3" x14ac:dyDescent="0.3">
      <c r="B1759" s="171">
        <v>44277</v>
      </c>
      <c r="C1759" s="60">
        <v>6728</v>
      </c>
    </row>
    <row r="1760" spans="2:3" x14ac:dyDescent="0.3">
      <c r="B1760" s="171">
        <v>44274</v>
      </c>
      <c r="C1760" s="60">
        <v>6672</v>
      </c>
    </row>
    <row r="1761" spans="2:3" x14ac:dyDescent="0.3">
      <c r="B1761" s="171">
        <v>44273</v>
      </c>
      <c r="C1761" s="60">
        <v>6510.05</v>
      </c>
    </row>
    <row r="1762" spans="2:3" x14ac:dyDescent="0.3">
      <c r="B1762" s="171">
        <v>44272</v>
      </c>
      <c r="C1762" s="60">
        <v>6520.25</v>
      </c>
    </row>
    <row r="1763" spans="2:3" x14ac:dyDescent="0.3">
      <c r="B1763" s="171">
        <v>44271</v>
      </c>
      <c r="C1763" s="60">
        <v>6639.95</v>
      </c>
    </row>
    <row r="1764" spans="2:3" x14ac:dyDescent="0.3">
      <c r="B1764" s="171">
        <v>44270</v>
      </c>
      <c r="C1764" s="60">
        <v>6561.45</v>
      </c>
    </row>
    <row r="1765" spans="2:3" x14ac:dyDescent="0.3">
      <c r="B1765" s="171">
        <v>44267</v>
      </c>
      <c r="C1765" s="60">
        <v>6638.15</v>
      </c>
    </row>
    <row r="1766" spans="2:3" x14ac:dyDescent="0.3">
      <c r="B1766" s="171">
        <v>44265</v>
      </c>
      <c r="C1766" s="60">
        <v>6764.05</v>
      </c>
    </row>
    <row r="1767" spans="2:3" x14ac:dyDescent="0.3">
      <c r="B1767" s="171">
        <v>44264</v>
      </c>
      <c r="C1767" s="60">
        <v>6697.4</v>
      </c>
    </row>
    <row r="1768" spans="2:3" x14ac:dyDescent="0.3">
      <c r="B1768" s="171">
        <v>44263</v>
      </c>
      <c r="C1768" s="60">
        <v>6668.15</v>
      </c>
    </row>
    <row r="1769" spans="2:3" x14ac:dyDescent="0.3">
      <c r="B1769" s="171">
        <v>44260</v>
      </c>
      <c r="C1769" s="60">
        <v>6810.3</v>
      </c>
    </row>
    <row r="1770" spans="2:3" x14ac:dyDescent="0.3">
      <c r="B1770" s="171">
        <v>44259</v>
      </c>
      <c r="C1770" s="60">
        <v>6775.55</v>
      </c>
    </row>
    <row r="1771" spans="2:3" x14ac:dyDescent="0.3">
      <c r="B1771" s="171">
        <v>44258</v>
      </c>
      <c r="C1771" s="60">
        <v>6500.5</v>
      </c>
    </row>
    <row r="1772" spans="2:3" x14ac:dyDescent="0.3">
      <c r="B1772" s="171">
        <v>44257</v>
      </c>
      <c r="C1772" s="60">
        <v>6423.1</v>
      </c>
    </row>
    <row r="1773" spans="2:3" x14ac:dyDescent="0.3">
      <c r="B1773" s="171">
        <v>44256</v>
      </c>
      <c r="C1773" s="60">
        <v>6365.05</v>
      </c>
    </row>
    <row r="1774" spans="2:3" x14ac:dyDescent="0.3">
      <c r="B1774" s="171">
        <v>44253</v>
      </c>
      <c r="C1774" s="60">
        <v>6115</v>
      </c>
    </row>
    <row r="1775" spans="2:3" x14ac:dyDescent="0.3">
      <c r="B1775" s="171">
        <v>44252</v>
      </c>
      <c r="C1775" s="60">
        <v>6383.3</v>
      </c>
    </row>
    <row r="1776" spans="2:3" x14ac:dyDescent="0.3">
      <c r="B1776" s="171">
        <v>44251</v>
      </c>
      <c r="C1776" s="60">
        <v>6414.55</v>
      </c>
    </row>
    <row r="1777" spans="2:3" x14ac:dyDescent="0.3">
      <c r="B1777" s="171">
        <v>44250</v>
      </c>
      <c r="C1777" s="60">
        <v>6268.45</v>
      </c>
    </row>
    <row r="1778" spans="2:3" x14ac:dyDescent="0.3">
      <c r="B1778" s="171">
        <v>44249</v>
      </c>
      <c r="C1778" s="60">
        <v>6175.1</v>
      </c>
    </row>
    <row r="1779" spans="2:3" x14ac:dyDescent="0.3">
      <c r="B1779" s="171">
        <v>44246</v>
      </c>
      <c r="C1779" s="60">
        <v>6208.5</v>
      </c>
    </row>
    <row r="1780" spans="2:3" x14ac:dyDescent="0.3">
      <c r="B1780" s="171">
        <v>44245</v>
      </c>
      <c r="C1780" s="60">
        <v>6325.85</v>
      </c>
    </row>
    <row r="1781" spans="2:3" x14ac:dyDescent="0.3">
      <c r="B1781" s="171">
        <v>44244</v>
      </c>
      <c r="C1781" s="60">
        <v>6419.2</v>
      </c>
    </row>
    <row r="1782" spans="2:3" x14ac:dyDescent="0.3">
      <c r="B1782" s="171">
        <v>44243</v>
      </c>
      <c r="C1782" s="60">
        <v>6457.8</v>
      </c>
    </row>
    <row r="1783" spans="2:3" x14ac:dyDescent="0.3">
      <c r="B1783" s="171">
        <v>44242</v>
      </c>
      <c r="C1783" s="60">
        <v>6407.75</v>
      </c>
    </row>
    <row r="1784" spans="2:3" x14ac:dyDescent="0.3">
      <c r="B1784" s="171">
        <v>44239</v>
      </c>
      <c r="C1784" s="60">
        <v>6397.25</v>
      </c>
    </row>
    <row r="1785" spans="2:3" x14ac:dyDescent="0.3">
      <c r="B1785" s="171">
        <v>44238</v>
      </c>
      <c r="C1785" s="60">
        <v>6427.15</v>
      </c>
    </row>
    <row r="1786" spans="2:3" x14ac:dyDescent="0.3">
      <c r="B1786" s="171">
        <v>44237</v>
      </c>
      <c r="C1786" s="60">
        <v>6392.15</v>
      </c>
    </row>
    <row r="1787" spans="2:3" x14ac:dyDescent="0.3">
      <c r="B1787" s="171">
        <v>44236</v>
      </c>
      <c r="C1787" s="60">
        <v>6420.4</v>
      </c>
    </row>
    <row r="1788" spans="2:3" x14ac:dyDescent="0.3">
      <c r="B1788" s="171">
        <v>44235</v>
      </c>
      <c r="C1788" s="60">
        <v>6368.15</v>
      </c>
    </row>
    <row r="1789" spans="2:3" x14ac:dyDescent="0.3">
      <c r="B1789" s="171">
        <v>44232</v>
      </c>
      <c r="C1789" s="60">
        <v>6352.1</v>
      </c>
    </row>
    <row r="1790" spans="2:3" x14ac:dyDescent="0.3">
      <c r="B1790" s="171">
        <v>44231</v>
      </c>
      <c r="C1790" s="60">
        <v>6182.8</v>
      </c>
    </row>
    <row r="1791" spans="2:3" x14ac:dyDescent="0.3">
      <c r="B1791" s="171">
        <v>44230</v>
      </c>
      <c r="C1791" s="60">
        <v>6074.7</v>
      </c>
    </row>
    <row r="1792" spans="2:3" x14ac:dyDescent="0.3">
      <c r="B1792" s="171">
        <v>44229</v>
      </c>
      <c r="C1792" s="60">
        <v>6123.55</v>
      </c>
    </row>
    <row r="1793" spans="2:3" x14ac:dyDescent="0.3">
      <c r="B1793" s="171">
        <v>44228</v>
      </c>
      <c r="C1793" s="60">
        <v>5744.15</v>
      </c>
    </row>
    <row r="1794" spans="2:3" x14ac:dyDescent="0.3">
      <c r="B1794" s="171">
        <v>44225</v>
      </c>
      <c r="C1794" s="60">
        <v>5327.25</v>
      </c>
    </row>
    <row r="1795" spans="2:3" x14ac:dyDescent="0.3">
      <c r="B1795" s="171">
        <v>44224</v>
      </c>
      <c r="C1795" s="60">
        <v>5443.7</v>
      </c>
    </row>
    <row r="1796" spans="2:3" x14ac:dyDescent="0.3">
      <c r="B1796" s="171">
        <v>44223</v>
      </c>
      <c r="C1796" s="60">
        <v>5404.85</v>
      </c>
    </row>
    <row r="1797" spans="2:3" x14ac:dyDescent="0.3">
      <c r="B1797" s="171">
        <v>44221</v>
      </c>
      <c r="C1797" s="60">
        <v>5368.4</v>
      </c>
    </row>
    <row r="1798" spans="2:3" x14ac:dyDescent="0.3">
      <c r="B1798" s="171">
        <v>44218</v>
      </c>
      <c r="C1798" s="60">
        <v>5534.8</v>
      </c>
    </row>
    <row r="1799" spans="2:3" x14ac:dyDescent="0.3">
      <c r="B1799" s="171">
        <v>44217</v>
      </c>
      <c r="C1799" s="60">
        <v>5543.45</v>
      </c>
    </row>
    <row r="1800" spans="2:3" x14ac:dyDescent="0.3">
      <c r="B1800" s="171">
        <v>44216</v>
      </c>
      <c r="C1800" s="60">
        <v>5547.1</v>
      </c>
    </row>
    <row r="1801" spans="2:3" x14ac:dyDescent="0.3">
      <c r="B1801" s="171">
        <v>44215</v>
      </c>
      <c r="C1801" s="60">
        <v>5490.1</v>
      </c>
    </row>
    <row r="1802" spans="2:3" x14ac:dyDescent="0.3">
      <c r="B1802" s="171">
        <v>44214</v>
      </c>
      <c r="C1802" s="60">
        <v>5386</v>
      </c>
    </row>
    <row r="1803" spans="2:3" x14ac:dyDescent="0.3">
      <c r="B1803" s="171">
        <v>44211</v>
      </c>
      <c r="C1803" s="60">
        <v>5452.25</v>
      </c>
    </row>
    <row r="1804" spans="2:3" x14ac:dyDescent="0.3">
      <c r="B1804" s="171">
        <v>44210</v>
      </c>
      <c r="C1804" s="60">
        <v>5582.35</v>
      </c>
    </row>
    <row r="1805" spans="2:3" x14ac:dyDescent="0.3">
      <c r="B1805" s="171">
        <v>44209</v>
      </c>
      <c r="C1805" s="60">
        <v>5650.75</v>
      </c>
    </row>
    <row r="1806" spans="2:3" x14ac:dyDescent="0.3">
      <c r="B1806" s="171">
        <v>44208</v>
      </c>
      <c r="C1806" s="60">
        <v>5639</v>
      </c>
    </row>
    <row r="1807" spans="2:3" x14ac:dyDescent="0.3">
      <c r="B1807" s="171">
        <v>44207</v>
      </c>
      <c r="C1807" s="60">
        <v>5623.7</v>
      </c>
    </row>
    <row r="1808" spans="2:3" x14ac:dyDescent="0.3">
      <c r="B1808" s="171">
        <v>44204</v>
      </c>
      <c r="C1808" s="60">
        <v>5591.75</v>
      </c>
    </row>
    <row r="1809" spans="2:3" x14ac:dyDescent="0.3">
      <c r="B1809" s="171">
        <v>44203</v>
      </c>
      <c r="C1809" s="60">
        <v>5397.95</v>
      </c>
    </row>
    <row r="1810" spans="2:3" x14ac:dyDescent="0.3">
      <c r="B1810" s="171">
        <v>44202</v>
      </c>
      <c r="C1810" s="60">
        <v>5448.35</v>
      </c>
    </row>
    <row r="1811" spans="2:3" x14ac:dyDescent="0.3">
      <c r="B1811" s="171">
        <v>44201</v>
      </c>
      <c r="C1811" s="60">
        <v>5341.2</v>
      </c>
    </row>
    <row r="1812" spans="2:3" x14ac:dyDescent="0.3">
      <c r="B1812" s="171">
        <v>44200</v>
      </c>
      <c r="C1812" s="60">
        <v>5327.2</v>
      </c>
    </row>
    <row r="1813" spans="2:3" x14ac:dyDescent="0.3">
      <c r="B1813" s="171">
        <v>44197</v>
      </c>
      <c r="C1813" s="60">
        <v>5290.8</v>
      </c>
    </row>
    <row r="1814" spans="2:3" x14ac:dyDescent="0.3">
      <c r="B1814" s="171">
        <v>44196</v>
      </c>
      <c r="C1814" s="60">
        <v>5288.15</v>
      </c>
    </row>
    <row r="1815" spans="2:3" x14ac:dyDescent="0.3">
      <c r="B1815" s="171">
        <v>44195</v>
      </c>
      <c r="C1815" s="60">
        <v>5354.75</v>
      </c>
    </row>
    <row r="1816" spans="2:3" x14ac:dyDescent="0.3">
      <c r="B1816" s="171">
        <v>44194</v>
      </c>
      <c r="C1816" s="60">
        <v>5146.75</v>
      </c>
    </row>
    <row r="1817" spans="2:3" x14ac:dyDescent="0.3">
      <c r="B1817" s="171">
        <v>44193</v>
      </c>
      <c r="C1817" s="60">
        <v>5142.1499999999996</v>
      </c>
    </row>
    <row r="1818" spans="2:3" x14ac:dyDescent="0.3">
      <c r="B1818" s="171">
        <v>44189</v>
      </c>
      <c r="C1818" s="60">
        <v>5044.75</v>
      </c>
    </row>
    <row r="1819" spans="2:3" x14ac:dyDescent="0.3">
      <c r="B1819" s="171">
        <v>44188</v>
      </c>
      <c r="C1819" s="60">
        <v>5033.95</v>
      </c>
    </row>
    <row r="1820" spans="2:3" x14ac:dyDescent="0.3">
      <c r="B1820" s="171">
        <v>44187</v>
      </c>
      <c r="C1820" s="60">
        <v>5021.3</v>
      </c>
    </row>
    <row r="1821" spans="2:3" x14ac:dyDescent="0.3">
      <c r="B1821" s="171">
        <v>44186</v>
      </c>
      <c r="C1821" s="60">
        <v>5007.8500000000004</v>
      </c>
    </row>
    <row r="1822" spans="2:3" x14ac:dyDescent="0.3">
      <c r="B1822" s="171">
        <v>44183</v>
      </c>
      <c r="C1822" s="60">
        <v>5152.5</v>
      </c>
    </row>
    <row r="1823" spans="2:3" x14ac:dyDescent="0.3">
      <c r="B1823" s="171">
        <v>44182</v>
      </c>
      <c r="C1823" s="60">
        <v>5171.8</v>
      </c>
    </row>
    <row r="1824" spans="2:3" x14ac:dyDescent="0.3">
      <c r="B1824" s="171">
        <v>44181</v>
      </c>
      <c r="C1824" s="60">
        <v>5113</v>
      </c>
    </row>
    <row r="1825" spans="2:3" x14ac:dyDescent="0.3">
      <c r="B1825" s="171">
        <v>44180</v>
      </c>
      <c r="C1825" s="60">
        <v>5156.8500000000004</v>
      </c>
    </row>
    <row r="1826" spans="2:3" x14ac:dyDescent="0.3">
      <c r="B1826" s="171">
        <v>44179</v>
      </c>
      <c r="C1826" s="60">
        <v>5073.75</v>
      </c>
    </row>
    <row r="1827" spans="2:3" x14ac:dyDescent="0.3">
      <c r="B1827" s="171">
        <v>44176</v>
      </c>
      <c r="C1827" s="60">
        <v>5015</v>
      </c>
    </row>
    <row r="1828" spans="2:3" x14ac:dyDescent="0.3">
      <c r="B1828" s="171">
        <v>44175</v>
      </c>
      <c r="C1828" s="60">
        <v>4964.3</v>
      </c>
    </row>
    <row r="1829" spans="2:3" x14ac:dyDescent="0.3">
      <c r="B1829" s="171">
        <v>44174</v>
      </c>
      <c r="C1829" s="60">
        <v>5144.8</v>
      </c>
    </row>
    <row r="1830" spans="2:3" x14ac:dyDescent="0.3">
      <c r="B1830" s="171">
        <v>44173</v>
      </c>
      <c r="C1830" s="60">
        <v>5217.75</v>
      </c>
    </row>
    <row r="1831" spans="2:3" x14ac:dyDescent="0.3">
      <c r="B1831" s="171">
        <v>44172</v>
      </c>
      <c r="C1831" s="60">
        <v>5056.5</v>
      </c>
    </row>
    <row r="1832" spans="2:3" x14ac:dyDescent="0.3">
      <c r="B1832" s="171">
        <v>44169</v>
      </c>
      <c r="C1832" s="60">
        <v>5091.3999999999996</v>
      </c>
    </row>
    <row r="1833" spans="2:3" x14ac:dyDescent="0.3">
      <c r="B1833" s="171">
        <v>44168</v>
      </c>
      <c r="C1833" s="60">
        <v>4893.5</v>
      </c>
    </row>
    <row r="1834" spans="2:3" x14ac:dyDescent="0.3">
      <c r="B1834" s="171">
        <v>44167</v>
      </c>
      <c r="C1834" s="60">
        <v>4933.1000000000004</v>
      </c>
    </row>
    <row r="1835" spans="2:3" x14ac:dyDescent="0.3">
      <c r="B1835" s="171">
        <v>44166</v>
      </c>
      <c r="C1835" s="60">
        <v>4910.5</v>
      </c>
    </row>
    <row r="1836" spans="2:3" x14ac:dyDescent="0.3">
      <c r="B1836" s="171">
        <v>44162</v>
      </c>
      <c r="C1836" s="60">
        <v>4802</v>
      </c>
    </row>
    <row r="1837" spans="2:3" x14ac:dyDescent="0.3">
      <c r="B1837" s="171">
        <v>44161</v>
      </c>
      <c r="C1837" s="60">
        <v>4834.1499999999996</v>
      </c>
    </row>
    <row r="1838" spans="2:3" x14ac:dyDescent="0.3">
      <c r="B1838" s="171">
        <v>44160</v>
      </c>
      <c r="C1838" s="60">
        <v>4819.8500000000004</v>
      </c>
    </row>
    <row r="1839" spans="2:3" x14ac:dyDescent="0.3">
      <c r="B1839" s="171">
        <v>44159</v>
      </c>
      <c r="C1839" s="60">
        <v>4873.2</v>
      </c>
    </row>
    <row r="1840" spans="2:3" x14ac:dyDescent="0.3">
      <c r="B1840" s="171">
        <v>44158</v>
      </c>
      <c r="C1840" s="60">
        <v>4889.5</v>
      </c>
    </row>
    <row r="1841" spans="2:3" x14ac:dyDescent="0.3">
      <c r="B1841" s="171">
        <v>44155</v>
      </c>
      <c r="C1841" s="60">
        <v>4862.55</v>
      </c>
    </row>
    <row r="1842" spans="2:3" x14ac:dyDescent="0.3">
      <c r="B1842" s="171">
        <v>44154</v>
      </c>
      <c r="C1842" s="60">
        <v>4778</v>
      </c>
    </row>
    <row r="1843" spans="2:3" x14ac:dyDescent="0.3">
      <c r="B1843" s="171">
        <v>44153</v>
      </c>
      <c r="C1843" s="60">
        <v>4927.5</v>
      </c>
    </row>
    <row r="1844" spans="2:3" x14ac:dyDescent="0.3">
      <c r="B1844" s="171">
        <v>44152</v>
      </c>
      <c r="C1844" s="60">
        <v>4909.05</v>
      </c>
    </row>
    <row r="1845" spans="2:3" x14ac:dyDescent="0.3">
      <c r="B1845" s="171">
        <v>44148</v>
      </c>
      <c r="C1845" s="60">
        <v>4899.75</v>
      </c>
    </row>
    <row r="1846" spans="2:3" x14ac:dyDescent="0.3">
      <c r="B1846" s="171">
        <v>44147</v>
      </c>
      <c r="C1846" s="60">
        <v>4846.1000000000004</v>
      </c>
    </row>
    <row r="1847" spans="2:3" x14ac:dyDescent="0.3">
      <c r="B1847" s="171">
        <v>44146</v>
      </c>
      <c r="C1847" s="60">
        <v>4823.8</v>
      </c>
    </row>
    <row r="1848" spans="2:3" x14ac:dyDescent="0.3">
      <c r="B1848" s="171">
        <v>44145</v>
      </c>
      <c r="C1848" s="60">
        <v>4719.55</v>
      </c>
    </row>
    <row r="1849" spans="2:3" x14ac:dyDescent="0.3">
      <c r="B1849" s="171">
        <v>44144</v>
      </c>
      <c r="C1849" s="60">
        <v>4625.25</v>
      </c>
    </row>
    <row r="1850" spans="2:3" x14ac:dyDescent="0.3">
      <c r="B1850" s="171">
        <v>44141</v>
      </c>
      <c r="C1850" s="60">
        <v>4556</v>
      </c>
    </row>
    <row r="1851" spans="2:3" x14ac:dyDescent="0.3">
      <c r="B1851" s="171">
        <v>44140</v>
      </c>
      <c r="C1851" s="60">
        <v>4617.8999999999996</v>
      </c>
    </row>
    <row r="1852" spans="2:3" x14ac:dyDescent="0.3">
      <c r="B1852" s="171">
        <v>44139</v>
      </c>
      <c r="C1852" s="60">
        <v>4531.6000000000004</v>
      </c>
    </row>
    <row r="1853" spans="2:3" x14ac:dyDescent="0.3">
      <c r="B1853" s="171">
        <v>44138</v>
      </c>
      <c r="C1853" s="60">
        <v>4549.55</v>
      </c>
    </row>
    <row r="1854" spans="2:3" x14ac:dyDescent="0.3">
      <c r="B1854" s="171">
        <v>44137</v>
      </c>
      <c r="C1854" s="60">
        <v>4550.8</v>
      </c>
    </row>
    <row r="1855" spans="2:3" x14ac:dyDescent="0.3">
      <c r="B1855" s="171">
        <v>44134</v>
      </c>
      <c r="C1855" s="60">
        <v>4574.05</v>
      </c>
    </row>
    <row r="1856" spans="2:3" x14ac:dyDescent="0.3">
      <c r="B1856" s="171">
        <v>44133</v>
      </c>
      <c r="C1856" s="60">
        <v>4576.8</v>
      </c>
    </row>
    <row r="1857" spans="2:3" x14ac:dyDescent="0.3">
      <c r="B1857" s="171">
        <v>44132</v>
      </c>
      <c r="C1857" s="60">
        <v>4469.3</v>
      </c>
    </row>
    <row r="1858" spans="2:3" x14ac:dyDescent="0.3">
      <c r="B1858" s="171">
        <v>44131</v>
      </c>
      <c r="C1858" s="60">
        <v>4566.95</v>
      </c>
    </row>
    <row r="1859" spans="2:3" x14ac:dyDescent="0.3">
      <c r="B1859" s="171">
        <v>44130</v>
      </c>
      <c r="C1859" s="60">
        <v>4485.3999999999996</v>
      </c>
    </row>
    <row r="1860" spans="2:3" x14ac:dyDescent="0.3">
      <c r="B1860" s="171">
        <v>44127</v>
      </c>
      <c r="C1860" s="60">
        <v>4504.55</v>
      </c>
    </row>
    <row r="1861" spans="2:3" x14ac:dyDescent="0.3">
      <c r="B1861" s="171">
        <v>44126</v>
      </c>
      <c r="C1861" s="60">
        <v>4614.55</v>
      </c>
    </row>
    <row r="1862" spans="2:3" x14ac:dyDescent="0.3">
      <c r="B1862" s="171">
        <v>44125</v>
      </c>
      <c r="C1862" s="60">
        <v>4629.1000000000004</v>
      </c>
    </row>
    <row r="1863" spans="2:3" x14ac:dyDescent="0.3">
      <c r="B1863" s="171">
        <v>44124</v>
      </c>
      <c r="C1863" s="60">
        <v>4544.3500000000004</v>
      </c>
    </row>
    <row r="1864" spans="2:3" x14ac:dyDescent="0.3">
      <c r="B1864" s="171">
        <v>44123</v>
      </c>
      <c r="C1864" s="60">
        <v>4514.6000000000004</v>
      </c>
    </row>
    <row r="1865" spans="2:3" x14ac:dyDescent="0.3">
      <c r="B1865" s="171">
        <v>44120</v>
      </c>
      <c r="C1865" s="60">
        <v>4482.1000000000004</v>
      </c>
    </row>
    <row r="1866" spans="2:3" x14ac:dyDescent="0.3">
      <c r="B1866" s="171">
        <v>44119</v>
      </c>
      <c r="C1866" s="60">
        <v>4383.3</v>
      </c>
    </row>
    <row r="1867" spans="2:3" x14ac:dyDescent="0.3">
      <c r="B1867" s="171">
        <v>44118</v>
      </c>
      <c r="C1867" s="60">
        <v>4442.8500000000004</v>
      </c>
    </row>
    <row r="1868" spans="2:3" x14ac:dyDescent="0.3">
      <c r="B1868" s="171">
        <v>44117</v>
      </c>
      <c r="C1868" s="60">
        <v>4382.75</v>
      </c>
    </row>
    <row r="1869" spans="2:3" x14ac:dyDescent="0.3">
      <c r="B1869" s="171">
        <v>44116</v>
      </c>
      <c r="C1869" s="60">
        <v>4306.3</v>
      </c>
    </row>
    <row r="1870" spans="2:3" x14ac:dyDescent="0.3">
      <c r="B1870" s="171">
        <v>44113</v>
      </c>
      <c r="C1870" s="60">
        <v>4298.3500000000004</v>
      </c>
    </row>
    <row r="1871" spans="2:3" x14ac:dyDescent="0.3">
      <c r="B1871" s="171">
        <v>44112</v>
      </c>
      <c r="C1871" s="60">
        <v>4346</v>
      </c>
    </row>
    <row r="1872" spans="2:3" x14ac:dyDescent="0.3">
      <c r="B1872" s="171">
        <v>44111</v>
      </c>
      <c r="C1872" s="60">
        <v>4213.3500000000004</v>
      </c>
    </row>
    <row r="1873" spans="2:3" x14ac:dyDescent="0.3">
      <c r="B1873" s="171">
        <v>44110</v>
      </c>
      <c r="C1873" s="60">
        <v>4136.1000000000004</v>
      </c>
    </row>
    <row r="1874" spans="2:3" x14ac:dyDescent="0.3">
      <c r="B1874" s="171">
        <v>44109</v>
      </c>
      <c r="C1874" s="60">
        <v>4047.15</v>
      </c>
    </row>
    <row r="1875" spans="2:3" x14ac:dyDescent="0.3">
      <c r="B1875" s="171">
        <v>44105</v>
      </c>
      <c r="C1875" s="60">
        <v>4097.75</v>
      </c>
    </row>
    <row r="1876" spans="2:3" x14ac:dyDescent="0.3">
      <c r="B1876" s="171">
        <v>44104</v>
      </c>
      <c r="C1876" s="60">
        <v>4049.55</v>
      </c>
    </row>
    <row r="1877" spans="2:3" x14ac:dyDescent="0.3">
      <c r="B1877" s="171">
        <v>44103</v>
      </c>
      <c r="C1877" s="60">
        <v>4062.1</v>
      </c>
    </row>
    <row r="1878" spans="2:3" x14ac:dyDescent="0.3">
      <c r="B1878" s="171">
        <v>44102</v>
      </c>
      <c r="C1878" s="60">
        <v>3922</v>
      </c>
    </row>
    <row r="1879" spans="2:3" x14ac:dyDescent="0.3">
      <c r="B1879" s="171">
        <v>44099</v>
      </c>
      <c r="C1879" s="60">
        <v>3858.5</v>
      </c>
    </row>
    <row r="1880" spans="2:3" x14ac:dyDescent="0.3">
      <c r="B1880" s="171">
        <v>44098</v>
      </c>
      <c r="C1880" s="60">
        <v>3777.8</v>
      </c>
    </row>
    <row r="1881" spans="2:3" x14ac:dyDescent="0.3">
      <c r="B1881" s="171">
        <v>44097</v>
      </c>
      <c r="C1881" s="60">
        <v>3869.15</v>
      </c>
    </row>
    <row r="1882" spans="2:3" x14ac:dyDescent="0.3">
      <c r="B1882" s="171">
        <v>44096</v>
      </c>
      <c r="C1882" s="60">
        <v>3883.15</v>
      </c>
    </row>
    <row r="1883" spans="2:3" x14ac:dyDescent="0.3">
      <c r="B1883" s="171">
        <v>44095</v>
      </c>
      <c r="C1883" s="60">
        <v>3878.9</v>
      </c>
    </row>
    <row r="1884" spans="2:3" x14ac:dyDescent="0.3">
      <c r="B1884" s="171">
        <v>44092</v>
      </c>
      <c r="C1884" s="60">
        <v>4002.6</v>
      </c>
    </row>
    <row r="1885" spans="2:3" x14ac:dyDescent="0.3">
      <c r="B1885" s="171">
        <v>44091</v>
      </c>
      <c r="C1885" s="60">
        <v>3968.95</v>
      </c>
    </row>
    <row r="1886" spans="2:3" x14ac:dyDescent="0.3">
      <c r="B1886" s="171">
        <v>44090</v>
      </c>
      <c r="C1886" s="60">
        <v>3974.9</v>
      </c>
    </row>
    <row r="1887" spans="2:3" x14ac:dyDescent="0.3">
      <c r="B1887" s="171">
        <v>44089</v>
      </c>
      <c r="C1887" s="60">
        <v>3931.45</v>
      </c>
    </row>
    <row r="1888" spans="2:3" x14ac:dyDescent="0.3">
      <c r="B1888" s="171">
        <v>44088</v>
      </c>
      <c r="C1888" s="60">
        <v>3914.1</v>
      </c>
    </row>
    <row r="1889" spans="2:3" x14ac:dyDescent="0.3">
      <c r="B1889" s="171">
        <v>44085</v>
      </c>
      <c r="C1889" s="60">
        <v>3904.1</v>
      </c>
    </row>
    <row r="1890" spans="2:3" x14ac:dyDescent="0.3">
      <c r="B1890" s="171">
        <v>44084</v>
      </c>
      <c r="C1890" s="60">
        <v>3915.5</v>
      </c>
    </row>
    <row r="1891" spans="2:3" x14ac:dyDescent="0.3">
      <c r="B1891" s="171">
        <v>44083</v>
      </c>
      <c r="C1891" s="60">
        <v>3835.6</v>
      </c>
    </row>
    <row r="1892" spans="2:3" x14ac:dyDescent="0.3">
      <c r="B1892" s="171">
        <v>44082</v>
      </c>
      <c r="C1892" s="60">
        <v>3823.75</v>
      </c>
    </row>
    <row r="1893" spans="2:3" x14ac:dyDescent="0.3">
      <c r="B1893" s="171">
        <v>44081</v>
      </c>
      <c r="C1893" s="60">
        <v>3848.65</v>
      </c>
    </row>
    <row r="1894" spans="2:3" x14ac:dyDescent="0.3">
      <c r="B1894" s="171">
        <v>44078</v>
      </c>
      <c r="C1894" s="60">
        <v>3916.1</v>
      </c>
    </row>
    <row r="1895" spans="2:3" x14ac:dyDescent="0.3">
      <c r="B1895" s="171">
        <v>44077</v>
      </c>
      <c r="C1895" s="60">
        <v>3949</v>
      </c>
    </row>
    <row r="1896" spans="2:3" x14ac:dyDescent="0.3">
      <c r="B1896" s="171">
        <v>44076</v>
      </c>
      <c r="C1896" s="60">
        <v>3941.7</v>
      </c>
    </row>
    <row r="1897" spans="2:3" x14ac:dyDescent="0.3">
      <c r="B1897" s="171">
        <v>44075</v>
      </c>
      <c r="C1897" s="60">
        <v>3912.65</v>
      </c>
    </row>
    <row r="1898" spans="2:3" x14ac:dyDescent="0.3">
      <c r="B1898" s="171">
        <v>44074</v>
      </c>
      <c r="C1898" s="60">
        <v>3903.85</v>
      </c>
    </row>
    <row r="1899" spans="2:3" x14ac:dyDescent="0.3">
      <c r="B1899" s="171">
        <v>44071</v>
      </c>
      <c r="C1899" s="60">
        <v>4062.55</v>
      </c>
    </row>
    <row r="1900" spans="2:3" x14ac:dyDescent="0.3">
      <c r="B1900" s="171">
        <v>44070</v>
      </c>
      <c r="C1900" s="60">
        <v>4047.15</v>
      </c>
    </row>
    <row r="1901" spans="2:3" x14ac:dyDescent="0.3">
      <c r="B1901" s="171">
        <v>44069</v>
      </c>
      <c r="C1901" s="60">
        <v>4079.65</v>
      </c>
    </row>
    <row r="1902" spans="2:3" x14ac:dyDescent="0.3">
      <c r="B1902" s="171">
        <v>44068</v>
      </c>
      <c r="C1902" s="60">
        <v>4172.3500000000004</v>
      </c>
    </row>
    <row r="1903" spans="2:3" x14ac:dyDescent="0.3">
      <c r="B1903" s="171">
        <v>44067</v>
      </c>
      <c r="C1903" s="60">
        <v>4189.6000000000004</v>
      </c>
    </row>
    <row r="1904" spans="2:3" x14ac:dyDescent="0.3">
      <c r="B1904" s="171">
        <v>44064</v>
      </c>
      <c r="C1904" s="60">
        <v>4187.8</v>
      </c>
    </row>
    <row r="1905" spans="2:3" x14ac:dyDescent="0.3">
      <c r="B1905" s="171">
        <v>44063</v>
      </c>
      <c r="C1905" s="60">
        <v>4144.25</v>
      </c>
    </row>
    <row r="1906" spans="2:3" x14ac:dyDescent="0.3">
      <c r="B1906" s="171">
        <v>44062</v>
      </c>
      <c r="C1906" s="60">
        <v>4199.8500000000004</v>
      </c>
    </row>
    <row r="1907" spans="2:3" x14ac:dyDescent="0.3">
      <c r="B1907" s="171">
        <v>44061</v>
      </c>
      <c r="C1907" s="60">
        <v>4168.95</v>
      </c>
    </row>
    <row r="1908" spans="2:3" x14ac:dyDescent="0.3">
      <c r="B1908" s="171">
        <v>44060</v>
      </c>
      <c r="C1908" s="60">
        <v>4035.6</v>
      </c>
    </row>
    <row r="1909" spans="2:3" x14ac:dyDescent="0.3">
      <c r="B1909" s="171">
        <v>44057</v>
      </c>
      <c r="C1909" s="60">
        <v>4010.1</v>
      </c>
    </row>
    <row r="1910" spans="2:3" x14ac:dyDescent="0.3">
      <c r="B1910" s="171">
        <v>44056</v>
      </c>
      <c r="C1910" s="60">
        <v>4047.3</v>
      </c>
    </row>
    <row r="1911" spans="2:3" x14ac:dyDescent="0.3">
      <c r="B1911" s="171">
        <v>44055</v>
      </c>
      <c r="C1911" s="60">
        <v>3999.65</v>
      </c>
    </row>
    <row r="1912" spans="2:3" x14ac:dyDescent="0.3">
      <c r="B1912" s="171">
        <v>44054</v>
      </c>
      <c r="C1912" s="60">
        <v>3968.75</v>
      </c>
    </row>
    <row r="1913" spans="2:3" x14ac:dyDescent="0.3">
      <c r="B1913" s="171">
        <v>44053</v>
      </c>
      <c r="C1913" s="60">
        <v>3968.35</v>
      </c>
    </row>
    <row r="1914" spans="2:3" x14ac:dyDescent="0.3">
      <c r="B1914" s="171">
        <v>44050</v>
      </c>
      <c r="C1914" s="60">
        <v>4004.25</v>
      </c>
    </row>
    <row r="1915" spans="2:3" x14ac:dyDescent="0.3">
      <c r="B1915" s="171">
        <v>44049</v>
      </c>
      <c r="C1915" s="60">
        <v>4028.35</v>
      </c>
    </row>
    <row r="1916" spans="2:3" x14ac:dyDescent="0.3">
      <c r="B1916" s="171">
        <v>44048</v>
      </c>
      <c r="C1916" s="60">
        <v>4041.05</v>
      </c>
    </row>
    <row r="1917" spans="2:3" x14ac:dyDescent="0.3">
      <c r="B1917" s="171">
        <v>44047</v>
      </c>
      <c r="C1917" s="60">
        <v>4004.3</v>
      </c>
    </row>
    <row r="1918" spans="2:3" x14ac:dyDescent="0.3">
      <c r="B1918" s="171">
        <v>44046</v>
      </c>
      <c r="C1918" s="60">
        <v>4045.55</v>
      </c>
    </row>
    <row r="1919" spans="2:3" x14ac:dyDescent="0.3">
      <c r="B1919" s="171">
        <v>44043</v>
      </c>
      <c r="C1919" s="60">
        <v>4117.3</v>
      </c>
    </row>
    <row r="1920" spans="2:3" x14ac:dyDescent="0.3">
      <c r="B1920" s="171">
        <v>44042</v>
      </c>
      <c r="C1920" s="60">
        <v>4155.55</v>
      </c>
    </row>
    <row r="1921" spans="2:3" x14ac:dyDescent="0.3">
      <c r="B1921" s="171">
        <v>44041</v>
      </c>
      <c r="C1921" s="60">
        <v>4180.95</v>
      </c>
    </row>
    <row r="1922" spans="2:3" x14ac:dyDescent="0.3">
      <c r="B1922" s="171">
        <v>44040</v>
      </c>
      <c r="C1922" s="60">
        <v>4136.3500000000004</v>
      </c>
    </row>
    <row r="1923" spans="2:3" x14ac:dyDescent="0.3">
      <c r="B1923" s="171">
        <v>44039</v>
      </c>
      <c r="C1923" s="60">
        <v>3860.1</v>
      </c>
    </row>
    <row r="1924" spans="2:3" x14ac:dyDescent="0.3">
      <c r="B1924" s="171">
        <v>44036</v>
      </c>
      <c r="C1924" s="60">
        <v>3782.5</v>
      </c>
    </row>
    <row r="1925" spans="2:3" x14ac:dyDescent="0.3">
      <c r="B1925" s="171">
        <v>44035</v>
      </c>
      <c r="C1925" s="60">
        <v>3837.9</v>
      </c>
    </row>
    <row r="1926" spans="2:3" x14ac:dyDescent="0.3">
      <c r="B1926" s="171">
        <v>44034</v>
      </c>
      <c r="C1926" s="60">
        <v>3862.65</v>
      </c>
    </row>
    <row r="1927" spans="2:3" x14ac:dyDescent="0.3">
      <c r="B1927" s="171">
        <v>44033</v>
      </c>
      <c r="C1927" s="60">
        <v>3863.3</v>
      </c>
    </row>
    <row r="1928" spans="2:3" x14ac:dyDescent="0.3">
      <c r="B1928" s="171">
        <v>44032</v>
      </c>
      <c r="C1928" s="60">
        <v>3865.1</v>
      </c>
    </row>
    <row r="1929" spans="2:3" x14ac:dyDescent="0.3">
      <c r="B1929" s="171">
        <v>44029</v>
      </c>
      <c r="C1929" s="60">
        <v>3862.85</v>
      </c>
    </row>
    <row r="1930" spans="2:3" x14ac:dyDescent="0.3">
      <c r="B1930" s="171">
        <v>44028</v>
      </c>
      <c r="C1930" s="60">
        <v>3816.25</v>
      </c>
    </row>
    <row r="1931" spans="2:3" x14ac:dyDescent="0.3">
      <c r="B1931" s="171">
        <v>44027</v>
      </c>
      <c r="C1931" s="60">
        <v>3820.65</v>
      </c>
    </row>
    <row r="1932" spans="2:3" x14ac:dyDescent="0.3">
      <c r="B1932" s="171">
        <v>44026</v>
      </c>
      <c r="C1932" s="60">
        <v>3770.9</v>
      </c>
    </row>
    <row r="1933" spans="2:3" x14ac:dyDescent="0.3">
      <c r="B1933" s="171">
        <v>44025</v>
      </c>
      <c r="C1933" s="60">
        <v>3787.9</v>
      </c>
    </row>
    <row r="1934" spans="2:3" x14ac:dyDescent="0.3">
      <c r="B1934" s="171">
        <v>44022</v>
      </c>
      <c r="C1934" s="60">
        <v>3798.5</v>
      </c>
    </row>
    <row r="1935" spans="2:3" x14ac:dyDescent="0.3">
      <c r="B1935" s="171">
        <v>44021</v>
      </c>
      <c r="C1935" s="60">
        <v>3843.45</v>
      </c>
    </row>
    <row r="1936" spans="2:3" x14ac:dyDescent="0.3">
      <c r="B1936" s="171">
        <v>44020</v>
      </c>
      <c r="C1936" s="60">
        <v>3786.65</v>
      </c>
    </row>
    <row r="1937" spans="2:3" x14ac:dyDescent="0.3">
      <c r="B1937" s="171">
        <v>44019</v>
      </c>
      <c r="C1937" s="60">
        <v>3862</v>
      </c>
    </row>
    <row r="1938" spans="2:3" x14ac:dyDescent="0.3">
      <c r="B1938" s="171">
        <v>44018</v>
      </c>
      <c r="C1938" s="60">
        <v>3930.9</v>
      </c>
    </row>
    <row r="1939" spans="2:3" x14ac:dyDescent="0.3">
      <c r="B1939" s="171">
        <v>44015</v>
      </c>
      <c r="C1939" s="60">
        <v>3889.6</v>
      </c>
    </row>
    <row r="1940" spans="2:3" x14ac:dyDescent="0.3">
      <c r="B1940" s="171">
        <v>44014</v>
      </c>
      <c r="C1940" s="60">
        <v>3914.95</v>
      </c>
    </row>
    <row r="1941" spans="2:3" x14ac:dyDescent="0.3">
      <c r="B1941" s="171">
        <v>44013</v>
      </c>
      <c r="C1941" s="60">
        <v>3898.6</v>
      </c>
    </row>
    <row r="1942" spans="2:3" x14ac:dyDescent="0.3">
      <c r="B1942" s="171">
        <v>44012</v>
      </c>
      <c r="C1942" s="60">
        <v>3893.55</v>
      </c>
    </row>
    <row r="1943" spans="2:3" x14ac:dyDescent="0.3">
      <c r="B1943" s="171">
        <v>44011</v>
      </c>
      <c r="C1943" s="60">
        <v>3807</v>
      </c>
    </row>
    <row r="1944" spans="2:3" x14ac:dyDescent="0.3">
      <c r="B1944" s="171">
        <v>44008</v>
      </c>
      <c r="C1944" s="60">
        <v>3860.6</v>
      </c>
    </row>
    <row r="1945" spans="2:3" x14ac:dyDescent="0.3">
      <c r="B1945" s="171">
        <v>44007</v>
      </c>
      <c r="C1945" s="60">
        <v>3802.35</v>
      </c>
    </row>
    <row r="1946" spans="2:3" x14ac:dyDescent="0.3">
      <c r="B1946" s="171">
        <v>44006</v>
      </c>
      <c r="C1946" s="60">
        <v>3821.6</v>
      </c>
    </row>
    <row r="1947" spans="2:3" x14ac:dyDescent="0.3">
      <c r="B1947" s="171">
        <v>44005</v>
      </c>
      <c r="C1947" s="60">
        <v>3942.8</v>
      </c>
    </row>
    <row r="1948" spans="2:3" x14ac:dyDescent="0.3">
      <c r="B1948" s="171">
        <v>44004</v>
      </c>
      <c r="C1948" s="60">
        <v>3825.25</v>
      </c>
    </row>
    <row r="1949" spans="2:3" x14ac:dyDescent="0.3">
      <c r="B1949" s="171">
        <v>44001</v>
      </c>
      <c r="C1949" s="60">
        <v>3836.35</v>
      </c>
    </row>
    <row r="1950" spans="2:3" x14ac:dyDescent="0.3">
      <c r="B1950" s="171">
        <v>44000</v>
      </c>
      <c r="C1950" s="60">
        <v>3844.25</v>
      </c>
    </row>
    <row r="1951" spans="2:3" x14ac:dyDescent="0.3">
      <c r="B1951" s="171">
        <v>43999</v>
      </c>
      <c r="C1951" s="60">
        <v>3809.2</v>
      </c>
    </row>
    <row r="1952" spans="2:3" x14ac:dyDescent="0.3">
      <c r="B1952" s="171">
        <v>43998</v>
      </c>
      <c r="C1952" s="60">
        <v>3779.95</v>
      </c>
    </row>
    <row r="1953" spans="2:3" x14ac:dyDescent="0.3">
      <c r="B1953" s="171">
        <v>43997</v>
      </c>
      <c r="C1953" s="60">
        <v>3744.8</v>
      </c>
    </row>
    <row r="1954" spans="2:3" x14ac:dyDescent="0.3">
      <c r="B1954" s="171">
        <v>43994</v>
      </c>
      <c r="C1954" s="60">
        <v>3788.55</v>
      </c>
    </row>
    <row r="1955" spans="2:3" x14ac:dyDescent="0.3">
      <c r="B1955" s="171">
        <v>43993</v>
      </c>
      <c r="C1955" s="60">
        <v>3704.9</v>
      </c>
    </row>
    <row r="1956" spans="2:3" x14ac:dyDescent="0.3">
      <c r="B1956" s="171">
        <v>43992</v>
      </c>
      <c r="C1956" s="60">
        <v>3792.45</v>
      </c>
    </row>
    <row r="1957" spans="2:3" x14ac:dyDescent="0.3">
      <c r="B1957" s="171">
        <v>43991</v>
      </c>
      <c r="C1957" s="60">
        <v>3791.35</v>
      </c>
    </row>
    <row r="1958" spans="2:3" x14ac:dyDescent="0.3">
      <c r="B1958" s="171">
        <v>43990</v>
      </c>
      <c r="C1958" s="60">
        <v>3778.2</v>
      </c>
    </row>
    <row r="1959" spans="2:3" x14ac:dyDescent="0.3">
      <c r="B1959" s="171">
        <v>43987</v>
      </c>
      <c r="C1959" s="60">
        <v>3869.55</v>
      </c>
    </row>
    <row r="1960" spans="2:3" x14ac:dyDescent="0.3">
      <c r="B1960" s="171">
        <v>43986</v>
      </c>
      <c r="C1960" s="60">
        <v>3803.9</v>
      </c>
    </row>
    <row r="1961" spans="2:3" x14ac:dyDescent="0.3">
      <c r="B1961" s="171">
        <v>43985</v>
      </c>
      <c r="C1961" s="60">
        <v>3855.9</v>
      </c>
    </row>
    <row r="1962" spans="2:3" x14ac:dyDescent="0.3">
      <c r="B1962" s="171">
        <v>43984</v>
      </c>
      <c r="C1962" s="60">
        <v>3834.25</v>
      </c>
    </row>
    <row r="1963" spans="2:3" x14ac:dyDescent="0.3">
      <c r="B1963" s="171">
        <v>43983</v>
      </c>
      <c r="C1963" s="60">
        <v>3815.7</v>
      </c>
    </row>
    <row r="1964" spans="2:3" x14ac:dyDescent="0.3">
      <c r="B1964" s="171">
        <v>43980</v>
      </c>
      <c r="C1964" s="60">
        <v>3904.85</v>
      </c>
    </row>
    <row r="1965" spans="2:3" x14ac:dyDescent="0.3">
      <c r="B1965" s="171">
        <v>43979</v>
      </c>
      <c r="C1965" s="60">
        <v>3809.2</v>
      </c>
    </row>
    <row r="1966" spans="2:3" x14ac:dyDescent="0.3">
      <c r="B1966" s="171">
        <v>43978</v>
      </c>
      <c r="C1966" s="60">
        <v>3727.4</v>
      </c>
    </row>
    <row r="1967" spans="2:3" x14ac:dyDescent="0.3">
      <c r="B1967" s="171">
        <v>43977</v>
      </c>
      <c r="C1967" s="60">
        <v>3786</v>
      </c>
    </row>
    <row r="1968" spans="2:3" x14ac:dyDescent="0.3">
      <c r="B1968" s="171">
        <v>43973</v>
      </c>
      <c r="C1968" s="60">
        <v>3638.95</v>
      </c>
    </row>
    <row r="1969" spans="2:3" x14ac:dyDescent="0.3">
      <c r="B1969" s="171">
        <v>43972</v>
      </c>
      <c r="C1969" s="60">
        <v>3571.5</v>
      </c>
    </row>
    <row r="1970" spans="2:3" x14ac:dyDescent="0.3">
      <c r="B1970" s="171">
        <v>43971</v>
      </c>
      <c r="C1970" s="60">
        <v>3528.5</v>
      </c>
    </row>
    <row r="1971" spans="2:3" x14ac:dyDescent="0.3">
      <c r="B1971" s="171">
        <v>43970</v>
      </c>
      <c r="C1971" s="60">
        <v>3438.15</v>
      </c>
    </row>
    <row r="1972" spans="2:3" x14ac:dyDescent="0.3">
      <c r="B1972" s="171">
        <v>43969</v>
      </c>
      <c r="C1972" s="60">
        <v>3307.8</v>
      </c>
    </row>
    <row r="1973" spans="2:3" x14ac:dyDescent="0.3">
      <c r="B1973" s="171">
        <v>43966</v>
      </c>
      <c r="C1973" s="60">
        <v>3583.15</v>
      </c>
    </row>
    <row r="1974" spans="2:3" x14ac:dyDescent="0.3">
      <c r="B1974" s="171">
        <v>43965</v>
      </c>
      <c r="C1974" s="60">
        <v>3609.5</v>
      </c>
    </row>
    <row r="1975" spans="2:3" x14ac:dyDescent="0.3">
      <c r="B1975" s="171">
        <v>43964</v>
      </c>
      <c r="C1975" s="60">
        <v>3546.7</v>
      </c>
    </row>
    <row r="1976" spans="2:3" x14ac:dyDescent="0.3">
      <c r="B1976" s="171">
        <v>43963</v>
      </c>
      <c r="C1976" s="60">
        <v>3349.35</v>
      </c>
    </row>
    <row r="1977" spans="2:3" x14ac:dyDescent="0.3">
      <c r="B1977" s="171">
        <v>43962</v>
      </c>
      <c r="C1977" s="60">
        <v>3360.75</v>
      </c>
    </row>
    <row r="1978" spans="2:3" x14ac:dyDescent="0.3">
      <c r="B1978" s="171">
        <v>43959</v>
      </c>
      <c r="C1978" s="60">
        <v>3305.8</v>
      </c>
    </row>
    <row r="1979" spans="2:3" x14ac:dyDescent="0.3">
      <c r="B1979" s="171">
        <v>43958</v>
      </c>
      <c r="C1979" s="60">
        <v>3252.85</v>
      </c>
    </row>
    <row r="1980" spans="2:3" x14ac:dyDescent="0.3">
      <c r="B1980" s="171">
        <v>43957</v>
      </c>
      <c r="C1980" s="60">
        <v>3324.4</v>
      </c>
    </row>
    <row r="1981" spans="2:3" x14ac:dyDescent="0.3">
      <c r="B1981" s="171">
        <v>43956</v>
      </c>
      <c r="C1981" s="60">
        <v>3284.35</v>
      </c>
    </row>
    <row r="1982" spans="2:3" x14ac:dyDescent="0.3">
      <c r="B1982" s="171">
        <v>43955</v>
      </c>
      <c r="C1982" s="60">
        <v>3347.6</v>
      </c>
    </row>
    <row r="1983" spans="2:3" x14ac:dyDescent="0.3">
      <c r="B1983" s="171">
        <v>43951</v>
      </c>
      <c r="C1983" s="60">
        <v>3534.3</v>
      </c>
    </row>
    <row r="1984" spans="2:3" x14ac:dyDescent="0.3">
      <c r="B1984" s="171">
        <v>43950</v>
      </c>
      <c r="C1984" s="60">
        <v>3434.35</v>
      </c>
    </row>
    <row r="1985" spans="2:3" x14ac:dyDescent="0.3">
      <c r="B1985" s="171">
        <v>43949</v>
      </c>
      <c r="C1985" s="60">
        <v>3394</v>
      </c>
    </row>
    <row r="1986" spans="2:3" x14ac:dyDescent="0.3">
      <c r="B1986" s="171">
        <v>43948</v>
      </c>
      <c r="C1986" s="60">
        <v>3360.65</v>
      </c>
    </row>
    <row r="1987" spans="2:3" x14ac:dyDescent="0.3">
      <c r="B1987" s="171">
        <v>43945</v>
      </c>
      <c r="C1987" s="60">
        <v>3307.95</v>
      </c>
    </row>
    <row r="1988" spans="2:3" x14ac:dyDescent="0.3">
      <c r="B1988" s="171">
        <v>43944</v>
      </c>
      <c r="C1988" s="60">
        <v>3442.2</v>
      </c>
    </row>
    <row r="1989" spans="2:3" x14ac:dyDescent="0.3">
      <c r="B1989" s="171">
        <v>43943</v>
      </c>
      <c r="C1989" s="60">
        <v>3441.15</v>
      </c>
    </row>
    <row r="1990" spans="2:3" x14ac:dyDescent="0.3">
      <c r="B1990" s="171">
        <v>43942</v>
      </c>
      <c r="C1990" s="60">
        <v>3403.25</v>
      </c>
    </row>
    <row r="1991" spans="2:3" x14ac:dyDescent="0.3">
      <c r="B1991" s="171">
        <v>43941</v>
      </c>
      <c r="C1991" s="60">
        <v>3516.55</v>
      </c>
    </row>
    <row r="1992" spans="2:3" x14ac:dyDescent="0.3">
      <c r="B1992" s="171">
        <v>43938</v>
      </c>
      <c r="C1992" s="60">
        <v>3534.05</v>
      </c>
    </row>
    <row r="1993" spans="2:3" x14ac:dyDescent="0.3">
      <c r="B1993" s="171">
        <v>43937</v>
      </c>
      <c r="C1993" s="60">
        <v>3539.1</v>
      </c>
    </row>
    <row r="1994" spans="2:3" x14ac:dyDescent="0.3">
      <c r="B1994" s="171">
        <v>43936</v>
      </c>
      <c r="C1994" s="60">
        <v>3600.15</v>
      </c>
    </row>
    <row r="1995" spans="2:3" x14ac:dyDescent="0.3">
      <c r="B1995" s="171">
        <v>43934</v>
      </c>
      <c r="C1995" s="60">
        <v>3466.1</v>
      </c>
    </row>
    <row r="1996" spans="2:3" x14ac:dyDescent="0.3">
      <c r="B1996" s="171">
        <v>43930</v>
      </c>
      <c r="C1996" s="60">
        <v>3366.05</v>
      </c>
    </row>
    <row r="1997" spans="2:3" x14ac:dyDescent="0.3">
      <c r="B1997" s="171">
        <v>43929</v>
      </c>
      <c r="C1997" s="60">
        <v>3256.45</v>
      </c>
    </row>
    <row r="1998" spans="2:3" x14ac:dyDescent="0.3">
      <c r="B1998" s="171">
        <v>43928</v>
      </c>
      <c r="C1998" s="60">
        <v>3279.5</v>
      </c>
    </row>
    <row r="1999" spans="2:3" x14ac:dyDescent="0.3">
      <c r="B1999" s="171">
        <v>43924</v>
      </c>
      <c r="C1999" s="60">
        <v>3041.6</v>
      </c>
    </row>
    <row r="2000" spans="2:3" x14ac:dyDescent="0.3">
      <c r="B2000" s="171">
        <v>43922</v>
      </c>
      <c r="C2000" s="60">
        <v>3140.65</v>
      </c>
    </row>
    <row r="2001" spans="2:3" x14ac:dyDescent="0.3">
      <c r="B2001" s="171">
        <v>43921</v>
      </c>
      <c r="C2001" s="60">
        <v>3244.85</v>
      </c>
    </row>
    <row r="2002" spans="2:3" x14ac:dyDescent="0.3">
      <c r="B2002" s="171">
        <v>43920</v>
      </c>
      <c r="C2002" s="60">
        <v>3085.9</v>
      </c>
    </row>
    <row r="2003" spans="2:3" x14ac:dyDescent="0.3">
      <c r="B2003" s="171">
        <v>43917</v>
      </c>
      <c r="C2003" s="60">
        <v>3143.6</v>
      </c>
    </row>
    <row r="2004" spans="2:3" x14ac:dyDescent="0.3">
      <c r="B2004" s="171">
        <v>43916</v>
      </c>
      <c r="C2004" s="60">
        <v>3229.15</v>
      </c>
    </row>
    <row r="2005" spans="2:3" x14ac:dyDescent="0.3">
      <c r="B2005" s="171">
        <v>43915</v>
      </c>
      <c r="C2005" s="60">
        <v>3228.6</v>
      </c>
    </row>
    <row r="2006" spans="2:3" x14ac:dyDescent="0.3">
      <c r="B2006" s="171">
        <v>43914</v>
      </c>
      <c r="C2006" s="60">
        <v>3018.1</v>
      </c>
    </row>
    <row r="2007" spans="2:3" x14ac:dyDescent="0.3">
      <c r="B2007" s="171">
        <v>43913</v>
      </c>
      <c r="C2007" s="60">
        <v>3054.85</v>
      </c>
    </row>
    <row r="2008" spans="2:3" x14ac:dyDescent="0.3">
      <c r="B2008" s="171">
        <v>43910</v>
      </c>
      <c r="C2008" s="60">
        <v>3573.85</v>
      </c>
    </row>
    <row r="2009" spans="2:3" x14ac:dyDescent="0.3">
      <c r="B2009" s="171">
        <v>43909</v>
      </c>
      <c r="C2009" s="60">
        <v>3166.05</v>
      </c>
    </row>
    <row r="2010" spans="2:3" x14ac:dyDescent="0.3">
      <c r="B2010" s="171">
        <v>43908</v>
      </c>
      <c r="C2010" s="60">
        <v>3303.55</v>
      </c>
    </row>
    <row r="2011" spans="2:3" x14ac:dyDescent="0.3">
      <c r="B2011" s="171">
        <v>43907</v>
      </c>
      <c r="C2011" s="60">
        <v>3470.45</v>
      </c>
    </row>
    <row r="2012" spans="2:3" x14ac:dyDescent="0.3">
      <c r="B2012" s="171">
        <v>43906</v>
      </c>
      <c r="C2012" s="60">
        <v>3518.05</v>
      </c>
    </row>
    <row r="2013" spans="2:3" x14ac:dyDescent="0.3">
      <c r="B2013" s="171">
        <v>43903</v>
      </c>
      <c r="C2013" s="60">
        <v>3788.9</v>
      </c>
    </row>
    <row r="2014" spans="2:3" x14ac:dyDescent="0.3">
      <c r="B2014" s="171">
        <v>43902</v>
      </c>
      <c r="C2014" s="60">
        <v>3663.5</v>
      </c>
    </row>
    <row r="2015" spans="2:3" x14ac:dyDescent="0.3">
      <c r="B2015" s="171">
        <v>43901</v>
      </c>
      <c r="C2015" s="60">
        <v>3993.4</v>
      </c>
    </row>
    <row r="2016" spans="2:3" x14ac:dyDescent="0.3">
      <c r="B2016" s="171">
        <v>43899</v>
      </c>
      <c r="C2016" s="60">
        <v>4097.3500000000004</v>
      </c>
    </row>
    <row r="2017" spans="2:3" x14ac:dyDescent="0.3">
      <c r="B2017" s="171">
        <v>43896</v>
      </c>
      <c r="C2017" s="60">
        <v>4167.8500000000004</v>
      </c>
    </row>
    <row r="2018" spans="2:3" x14ac:dyDescent="0.3">
      <c r="B2018" s="171">
        <v>43895</v>
      </c>
      <c r="C2018" s="60">
        <v>4205.55</v>
      </c>
    </row>
    <row r="2019" spans="2:3" x14ac:dyDescent="0.3">
      <c r="B2019" s="171">
        <v>43894</v>
      </c>
      <c r="C2019" s="60">
        <v>4172.8</v>
      </c>
    </row>
    <row r="2020" spans="2:3" x14ac:dyDescent="0.3">
      <c r="B2020" s="171">
        <v>43893</v>
      </c>
      <c r="C2020" s="60">
        <v>4299.8999999999996</v>
      </c>
    </row>
    <row r="2021" spans="2:3" x14ac:dyDescent="0.3">
      <c r="B2021" s="171">
        <v>43892</v>
      </c>
      <c r="C2021" s="60">
        <v>4141.7</v>
      </c>
    </row>
    <row r="2022" spans="2:3" x14ac:dyDescent="0.3">
      <c r="B2022" s="171">
        <v>43889</v>
      </c>
      <c r="C2022" s="60">
        <v>4219.6000000000004</v>
      </c>
    </row>
    <row r="2023" spans="2:3" x14ac:dyDescent="0.3">
      <c r="B2023" s="171">
        <v>43888</v>
      </c>
      <c r="C2023" s="60">
        <v>4321.6499999999996</v>
      </c>
    </row>
    <row r="2024" spans="2:3" x14ac:dyDescent="0.3">
      <c r="B2024" s="171">
        <v>43887</v>
      </c>
      <c r="C2024" s="60">
        <v>4341.5</v>
      </c>
    </row>
    <row r="2025" spans="2:3" x14ac:dyDescent="0.3">
      <c r="B2025" s="171">
        <v>43886</v>
      </c>
      <c r="C2025" s="60">
        <v>4344</v>
      </c>
    </row>
    <row r="2026" spans="2:3" x14ac:dyDescent="0.3">
      <c r="B2026" s="171">
        <v>43885</v>
      </c>
      <c r="C2026" s="60">
        <v>4395</v>
      </c>
    </row>
    <row r="2027" spans="2:3" x14ac:dyDescent="0.3">
      <c r="B2027" s="171">
        <v>43881</v>
      </c>
      <c r="C2027" s="60">
        <v>4428.1000000000004</v>
      </c>
    </row>
    <row r="2028" spans="2:3" x14ac:dyDescent="0.3">
      <c r="B2028" s="171">
        <v>43880</v>
      </c>
      <c r="C2028" s="60">
        <v>4473.1000000000004</v>
      </c>
    </row>
    <row r="2029" spans="2:3" x14ac:dyDescent="0.3">
      <c r="B2029" s="171">
        <v>43879</v>
      </c>
      <c r="C2029" s="60">
        <v>4475.7</v>
      </c>
    </row>
    <row r="2030" spans="2:3" x14ac:dyDescent="0.3">
      <c r="B2030" s="171">
        <v>43878</v>
      </c>
      <c r="C2030" s="60">
        <v>4449.8500000000004</v>
      </c>
    </row>
    <row r="2031" spans="2:3" x14ac:dyDescent="0.3">
      <c r="B2031" s="171">
        <v>43875</v>
      </c>
      <c r="C2031" s="60">
        <v>4434.3500000000004</v>
      </c>
    </row>
    <row r="2032" spans="2:3" x14ac:dyDescent="0.3">
      <c r="B2032" s="171">
        <v>43874</v>
      </c>
      <c r="C2032" s="60">
        <v>4450.5</v>
      </c>
    </row>
    <row r="2033" spans="2:3" x14ac:dyDescent="0.3">
      <c r="B2033" s="171">
        <v>43873</v>
      </c>
      <c r="C2033" s="60">
        <v>4453.75</v>
      </c>
    </row>
    <row r="2034" spans="2:3" x14ac:dyDescent="0.3">
      <c r="B2034" s="171">
        <v>43872</v>
      </c>
      <c r="C2034" s="60">
        <v>4466.45</v>
      </c>
    </row>
    <row r="2035" spans="2:3" x14ac:dyDescent="0.3">
      <c r="B2035" s="171">
        <v>43871</v>
      </c>
      <c r="C2035" s="60">
        <v>4413.75</v>
      </c>
    </row>
    <row r="2036" spans="2:3" x14ac:dyDescent="0.3">
      <c r="B2036" s="171">
        <v>43868</v>
      </c>
      <c r="C2036" s="60">
        <v>4471.8</v>
      </c>
    </row>
    <row r="2037" spans="2:3" x14ac:dyDescent="0.3">
      <c r="B2037" s="171">
        <v>43867</v>
      </c>
      <c r="C2037" s="60">
        <v>4464.8999999999996</v>
      </c>
    </row>
    <row r="2038" spans="2:3" x14ac:dyDescent="0.3">
      <c r="B2038" s="171">
        <v>43866</v>
      </c>
      <c r="C2038" s="60">
        <v>4471.8</v>
      </c>
    </row>
    <row r="2039" spans="2:3" x14ac:dyDescent="0.3">
      <c r="B2039" s="171">
        <v>43865</v>
      </c>
      <c r="C2039" s="60">
        <v>4474.25</v>
      </c>
    </row>
    <row r="2040" spans="2:3" x14ac:dyDescent="0.3">
      <c r="B2040" s="171">
        <v>43864</v>
      </c>
      <c r="C2040" s="60">
        <v>4370.6499999999996</v>
      </c>
    </row>
    <row r="2041" spans="2:3" x14ac:dyDescent="0.3">
      <c r="B2041" s="171">
        <v>43862</v>
      </c>
      <c r="C2041" s="60">
        <v>4265.25</v>
      </c>
    </row>
    <row r="2042" spans="2:3" x14ac:dyDescent="0.3">
      <c r="B2042" s="171">
        <v>43861</v>
      </c>
      <c r="C2042" s="60">
        <v>4416.1000000000004</v>
      </c>
    </row>
    <row r="2043" spans="2:3" x14ac:dyDescent="0.3">
      <c r="B2043" s="171">
        <v>43860</v>
      </c>
      <c r="C2043" s="60">
        <v>4486</v>
      </c>
    </row>
    <row r="2044" spans="2:3" x14ac:dyDescent="0.3">
      <c r="B2044" s="171">
        <v>43859</v>
      </c>
      <c r="C2044" s="60">
        <v>4568.2</v>
      </c>
    </row>
    <row r="2045" spans="2:3" x14ac:dyDescent="0.3">
      <c r="B2045" s="171">
        <v>43858</v>
      </c>
      <c r="C2045" s="60">
        <v>4609.05</v>
      </c>
    </row>
    <row r="2046" spans="2:3" x14ac:dyDescent="0.3">
      <c r="B2046" s="171">
        <v>43857</v>
      </c>
      <c r="C2046" s="60">
        <v>4676.95</v>
      </c>
    </row>
    <row r="2047" spans="2:3" x14ac:dyDescent="0.3">
      <c r="B2047" s="171">
        <v>43854</v>
      </c>
      <c r="C2047" s="60">
        <v>4642.75</v>
      </c>
    </row>
    <row r="2048" spans="2:3" x14ac:dyDescent="0.3">
      <c r="B2048" s="171">
        <v>43853</v>
      </c>
      <c r="C2048" s="60">
        <v>4526.3999999999996</v>
      </c>
    </row>
    <row r="2049" spans="2:3" x14ac:dyDescent="0.3">
      <c r="B2049" s="171">
        <v>43852</v>
      </c>
      <c r="C2049" s="60">
        <v>4476.95</v>
      </c>
    </row>
    <row r="2050" spans="2:3" x14ac:dyDescent="0.3">
      <c r="B2050" s="171">
        <v>43851</v>
      </c>
      <c r="C2050" s="60">
        <v>4483.55</v>
      </c>
    </row>
    <row r="2051" spans="2:3" x14ac:dyDescent="0.3">
      <c r="B2051" s="171">
        <v>43850</v>
      </c>
      <c r="C2051" s="60">
        <v>4467.6499999999996</v>
      </c>
    </row>
    <row r="2052" spans="2:3" x14ac:dyDescent="0.3">
      <c r="B2052" s="171">
        <v>43847</v>
      </c>
      <c r="C2052" s="60">
        <v>4486.75</v>
      </c>
    </row>
    <row r="2053" spans="2:3" x14ac:dyDescent="0.3">
      <c r="B2053" s="171">
        <v>43846</v>
      </c>
      <c r="C2053" s="60">
        <v>4472.3500000000004</v>
      </c>
    </row>
    <row r="2054" spans="2:3" x14ac:dyDescent="0.3">
      <c r="B2054" s="171">
        <v>43845</v>
      </c>
      <c r="C2054" s="60">
        <v>4506.5</v>
      </c>
    </row>
    <row r="2055" spans="2:3" x14ac:dyDescent="0.3">
      <c r="B2055" s="171">
        <v>43844</v>
      </c>
      <c r="C2055" s="60">
        <v>4483.3</v>
      </c>
    </row>
    <row r="2056" spans="2:3" x14ac:dyDescent="0.3">
      <c r="B2056" s="171">
        <v>43843</v>
      </c>
      <c r="C2056" s="60">
        <v>4468.7</v>
      </c>
    </row>
    <row r="2057" spans="2:3" x14ac:dyDescent="0.3">
      <c r="B2057" s="171">
        <v>43840</v>
      </c>
      <c r="C2057" s="60">
        <v>4444.6000000000004</v>
      </c>
    </row>
    <row r="2058" spans="2:3" x14ac:dyDescent="0.3">
      <c r="B2058" s="171">
        <v>43839</v>
      </c>
      <c r="C2058" s="60">
        <v>4388</v>
      </c>
    </row>
    <row r="2059" spans="2:3" x14ac:dyDescent="0.3">
      <c r="B2059" s="171">
        <v>43838</v>
      </c>
      <c r="C2059" s="60">
        <v>4318.95</v>
      </c>
    </row>
    <row r="2060" spans="2:3" x14ac:dyDescent="0.3">
      <c r="B2060" s="171">
        <v>43837</v>
      </c>
      <c r="C2060" s="60">
        <v>4242.1000000000004</v>
      </c>
    </row>
    <row r="2061" spans="2:3" x14ac:dyDescent="0.3">
      <c r="B2061" s="171">
        <v>43836</v>
      </c>
      <c r="C2061" s="60">
        <v>4157.1000000000004</v>
      </c>
    </row>
    <row r="2062" spans="2:3" x14ac:dyDescent="0.3">
      <c r="B2062" s="171">
        <v>43833</v>
      </c>
      <c r="C2062" s="60">
        <v>4219.2</v>
      </c>
    </row>
    <row r="2063" spans="2:3" x14ac:dyDescent="0.3">
      <c r="B2063" s="171">
        <v>43832</v>
      </c>
      <c r="C2063" s="60">
        <v>4244.8</v>
      </c>
    </row>
    <row r="2064" spans="2:3" x14ac:dyDescent="0.3">
      <c r="B2064" s="171">
        <v>43831</v>
      </c>
      <c r="C2064" s="60">
        <v>4065</v>
      </c>
    </row>
    <row r="2065" spans="2:3" x14ac:dyDescent="0.3">
      <c r="B2065" s="171">
        <v>43830</v>
      </c>
      <c r="C2065" s="60">
        <v>4046.05</v>
      </c>
    </row>
    <row r="2066" spans="2:3" x14ac:dyDescent="0.3">
      <c r="B2066" s="171">
        <v>43829</v>
      </c>
      <c r="C2066" s="60">
        <v>4051.95</v>
      </c>
    </row>
    <row r="2067" spans="2:3" x14ac:dyDescent="0.3">
      <c r="B2067" s="171">
        <v>43826</v>
      </c>
      <c r="C2067" s="60">
        <v>4055.6</v>
      </c>
    </row>
    <row r="2068" spans="2:3" x14ac:dyDescent="0.3">
      <c r="B2068" s="171">
        <v>43825</v>
      </c>
      <c r="C2068" s="60">
        <v>4062.75</v>
      </c>
    </row>
    <row r="2069" spans="2:3" x14ac:dyDescent="0.3">
      <c r="B2069" s="171">
        <v>43823</v>
      </c>
      <c r="C2069" s="60">
        <v>4097.3500000000004</v>
      </c>
    </row>
    <row r="2070" spans="2:3" x14ac:dyDescent="0.3">
      <c r="B2070" s="171">
        <v>43822</v>
      </c>
      <c r="C2070" s="60">
        <v>4081.9</v>
      </c>
    </row>
    <row r="2071" spans="2:3" x14ac:dyDescent="0.3">
      <c r="B2071" s="171">
        <v>43819</v>
      </c>
      <c r="C2071" s="60">
        <v>4120.45</v>
      </c>
    </row>
    <row r="2072" spans="2:3" x14ac:dyDescent="0.3">
      <c r="B2072" s="171">
        <v>43818</v>
      </c>
      <c r="C2072" s="60">
        <v>4037.85</v>
      </c>
    </row>
    <row r="2073" spans="2:3" x14ac:dyDescent="0.3">
      <c r="B2073" s="171">
        <v>43817</v>
      </c>
      <c r="C2073" s="60">
        <v>4065.4</v>
      </c>
    </row>
    <row r="2074" spans="2:3" x14ac:dyDescent="0.3">
      <c r="B2074" s="171">
        <v>43816</v>
      </c>
      <c r="C2074" s="60">
        <v>4119.55</v>
      </c>
    </row>
    <row r="2075" spans="2:3" x14ac:dyDescent="0.3">
      <c r="B2075" s="171">
        <v>43815</v>
      </c>
      <c r="C2075" s="60">
        <v>4061.25</v>
      </c>
    </row>
    <row r="2076" spans="2:3" x14ac:dyDescent="0.3">
      <c r="B2076" s="171">
        <v>43812</v>
      </c>
      <c r="C2076" s="60">
        <v>4082.6</v>
      </c>
    </row>
    <row r="2077" spans="2:3" x14ac:dyDescent="0.3">
      <c r="B2077" s="171">
        <v>43811</v>
      </c>
      <c r="C2077" s="60">
        <v>3992.1</v>
      </c>
    </row>
    <row r="2078" spans="2:3" x14ac:dyDescent="0.3">
      <c r="B2078" s="171">
        <v>43810</v>
      </c>
      <c r="C2078" s="60">
        <v>4001.15</v>
      </c>
    </row>
    <row r="2079" spans="2:3" x14ac:dyDescent="0.3">
      <c r="B2079" s="171">
        <v>43809</v>
      </c>
      <c r="C2079" s="60">
        <v>4038.65</v>
      </c>
    </row>
    <row r="2080" spans="2:3" x14ac:dyDescent="0.3">
      <c r="B2080" s="171">
        <v>43808</v>
      </c>
      <c r="C2080" s="60">
        <v>4151.45</v>
      </c>
    </row>
    <row r="2081" spans="2:3" x14ac:dyDescent="0.3">
      <c r="B2081" s="171">
        <v>43805</v>
      </c>
      <c r="C2081" s="60">
        <v>4157.8500000000004</v>
      </c>
    </row>
    <row r="2082" spans="2:3" x14ac:dyDescent="0.3">
      <c r="B2082" s="171">
        <v>43804</v>
      </c>
      <c r="C2082" s="60">
        <v>4160.95</v>
      </c>
    </row>
    <row r="2083" spans="2:3" x14ac:dyDescent="0.3">
      <c r="B2083" s="171">
        <v>43803</v>
      </c>
      <c r="C2083" s="60">
        <v>4197.1499999999996</v>
      </c>
    </row>
    <row r="2084" spans="2:3" x14ac:dyDescent="0.3">
      <c r="B2084" s="171">
        <v>43802</v>
      </c>
      <c r="C2084" s="60">
        <v>4211.7</v>
      </c>
    </row>
    <row r="2085" spans="2:3" x14ac:dyDescent="0.3">
      <c r="B2085" s="171">
        <v>43801</v>
      </c>
      <c r="C2085" s="60">
        <v>4276.25</v>
      </c>
    </row>
    <row r="2086" spans="2:3" x14ac:dyDescent="0.3">
      <c r="B2086" s="171">
        <v>43798</v>
      </c>
      <c r="C2086" s="60">
        <v>4259.1000000000004</v>
      </c>
    </row>
    <row r="2087" spans="2:3" x14ac:dyDescent="0.3">
      <c r="B2087" s="171">
        <v>43797</v>
      </c>
      <c r="C2087" s="60">
        <v>4294.7</v>
      </c>
    </row>
    <row r="2088" spans="2:3" x14ac:dyDescent="0.3">
      <c r="B2088" s="171">
        <v>43796</v>
      </c>
      <c r="C2088" s="60">
        <v>4234.6499999999996</v>
      </c>
    </row>
    <row r="2089" spans="2:3" x14ac:dyDescent="0.3">
      <c r="B2089" s="171">
        <v>43795</v>
      </c>
      <c r="C2089" s="60">
        <v>4112.8500000000004</v>
      </c>
    </row>
    <row r="2090" spans="2:3" x14ac:dyDescent="0.3">
      <c r="B2090" s="171">
        <v>43794</v>
      </c>
      <c r="C2090" s="60">
        <v>4113.45</v>
      </c>
    </row>
    <row r="2091" spans="2:3" x14ac:dyDescent="0.3">
      <c r="B2091" s="171">
        <v>43791</v>
      </c>
      <c r="C2091" s="60">
        <v>4081.15</v>
      </c>
    </row>
    <row r="2092" spans="2:3" x14ac:dyDescent="0.3">
      <c r="B2092" s="171">
        <v>43790</v>
      </c>
      <c r="C2092" s="60">
        <v>4077.25</v>
      </c>
    </row>
    <row r="2093" spans="2:3" x14ac:dyDescent="0.3">
      <c r="B2093" s="171">
        <v>43789</v>
      </c>
      <c r="C2093" s="60">
        <v>4114.05</v>
      </c>
    </row>
    <row r="2094" spans="2:3" x14ac:dyDescent="0.3">
      <c r="B2094" s="171">
        <v>43788</v>
      </c>
      <c r="C2094" s="60">
        <v>4100.1499999999996</v>
      </c>
    </row>
    <row r="2095" spans="2:3" x14ac:dyDescent="0.3">
      <c r="B2095" s="171">
        <v>43787</v>
      </c>
      <c r="C2095" s="60">
        <v>4126.3500000000004</v>
      </c>
    </row>
    <row r="2096" spans="2:3" x14ac:dyDescent="0.3">
      <c r="B2096" s="171">
        <v>43784</v>
      </c>
      <c r="C2096" s="60">
        <v>4077.4</v>
      </c>
    </row>
    <row r="2097" spans="2:3" x14ac:dyDescent="0.3">
      <c r="B2097" s="171">
        <v>43783</v>
      </c>
      <c r="C2097" s="60">
        <v>4003.4</v>
      </c>
    </row>
    <row r="2098" spans="2:3" x14ac:dyDescent="0.3">
      <c r="B2098" s="171">
        <v>43782</v>
      </c>
      <c r="C2098" s="60">
        <v>4115.6000000000004</v>
      </c>
    </row>
    <row r="2099" spans="2:3" x14ac:dyDescent="0.3">
      <c r="B2099" s="171">
        <v>43780</v>
      </c>
      <c r="C2099" s="60">
        <v>4137.05</v>
      </c>
    </row>
    <row r="2100" spans="2:3" x14ac:dyDescent="0.3">
      <c r="B2100" s="171">
        <v>43777</v>
      </c>
      <c r="C2100" s="60">
        <v>4147.25</v>
      </c>
    </row>
    <row r="2101" spans="2:3" x14ac:dyDescent="0.3">
      <c r="B2101" s="171">
        <v>43776</v>
      </c>
      <c r="C2101" s="60">
        <v>4187.3999999999996</v>
      </c>
    </row>
    <row r="2102" spans="2:3" x14ac:dyDescent="0.3">
      <c r="B2102" s="171">
        <v>43775</v>
      </c>
      <c r="C2102" s="60">
        <v>4135.6499999999996</v>
      </c>
    </row>
    <row r="2103" spans="2:3" x14ac:dyDescent="0.3">
      <c r="B2103" s="171">
        <v>43774</v>
      </c>
      <c r="C2103" s="60">
        <v>4147.3999999999996</v>
      </c>
    </row>
    <row r="2104" spans="2:3" x14ac:dyDescent="0.3">
      <c r="B2104" s="171">
        <v>43773</v>
      </c>
      <c r="C2104" s="60">
        <v>4238.7</v>
      </c>
    </row>
    <row r="2105" spans="2:3" x14ac:dyDescent="0.3">
      <c r="B2105" s="171">
        <v>43770</v>
      </c>
      <c r="C2105" s="60">
        <v>4162.75</v>
      </c>
    </row>
    <row r="2106" spans="2:3" x14ac:dyDescent="0.3">
      <c r="B2106" s="171">
        <v>43769</v>
      </c>
      <c r="C2106" s="60">
        <v>4143.2</v>
      </c>
    </row>
    <row r="2107" spans="2:3" x14ac:dyDescent="0.3">
      <c r="B2107" s="171">
        <v>43768</v>
      </c>
      <c r="C2107" s="60">
        <v>4122.7</v>
      </c>
    </row>
    <row r="2108" spans="2:3" x14ac:dyDescent="0.3">
      <c r="B2108" s="171">
        <v>43767</v>
      </c>
      <c r="C2108" s="60">
        <v>4117.7</v>
      </c>
    </row>
    <row r="2109" spans="2:3" x14ac:dyDescent="0.3">
      <c r="B2109" s="171">
        <v>43765</v>
      </c>
      <c r="C2109" s="60">
        <v>4189.8999999999996</v>
      </c>
    </row>
    <row r="2110" spans="2:3" x14ac:dyDescent="0.3">
      <c r="B2110" s="171">
        <v>43763</v>
      </c>
      <c r="C2110" s="60">
        <v>4196.6000000000004</v>
      </c>
    </row>
    <row r="2111" spans="2:3" x14ac:dyDescent="0.3">
      <c r="B2111" s="171">
        <v>43762</v>
      </c>
      <c r="C2111" s="60">
        <v>4311.55</v>
      </c>
    </row>
    <row r="2112" spans="2:3" x14ac:dyDescent="0.3">
      <c r="B2112" s="171">
        <v>43761</v>
      </c>
      <c r="C2112" s="60">
        <v>4251.3</v>
      </c>
    </row>
    <row r="2113" spans="2:3" x14ac:dyDescent="0.3">
      <c r="B2113" s="171">
        <v>43760</v>
      </c>
      <c r="C2113" s="60">
        <v>4249.3</v>
      </c>
    </row>
    <row r="2114" spans="2:3" x14ac:dyDescent="0.3">
      <c r="B2114" s="171">
        <v>43756</v>
      </c>
      <c r="C2114" s="60">
        <v>4295.3</v>
      </c>
    </row>
    <row r="2115" spans="2:3" x14ac:dyDescent="0.3">
      <c r="B2115" s="171">
        <v>43755</v>
      </c>
      <c r="C2115" s="60">
        <v>4260.45</v>
      </c>
    </row>
    <row r="2116" spans="2:3" x14ac:dyDescent="0.3">
      <c r="B2116" s="171">
        <v>43754</v>
      </c>
      <c r="C2116" s="60">
        <v>4285.3</v>
      </c>
    </row>
    <row r="2117" spans="2:3" x14ac:dyDescent="0.3">
      <c r="B2117" s="171">
        <v>43753</v>
      </c>
      <c r="C2117" s="60">
        <v>4206.5</v>
      </c>
    </row>
    <row r="2118" spans="2:3" x14ac:dyDescent="0.3">
      <c r="B2118" s="171">
        <v>43752</v>
      </c>
      <c r="C2118" s="60">
        <v>4170.3</v>
      </c>
    </row>
    <row r="2119" spans="2:3" x14ac:dyDescent="0.3">
      <c r="B2119" s="171">
        <v>43749</v>
      </c>
      <c r="C2119" s="60">
        <v>4077.2</v>
      </c>
    </row>
    <row r="2120" spans="2:3" x14ac:dyDescent="0.3">
      <c r="B2120" s="171">
        <v>43748</v>
      </c>
      <c r="C2120" s="60">
        <v>3976.3</v>
      </c>
    </row>
    <row r="2121" spans="2:3" x14ac:dyDescent="0.3">
      <c r="B2121" s="171">
        <v>43747</v>
      </c>
      <c r="C2121" s="60">
        <v>4043.55</v>
      </c>
    </row>
    <row r="2122" spans="2:3" x14ac:dyDescent="0.3">
      <c r="B2122" s="171">
        <v>43745</v>
      </c>
      <c r="C2122" s="60">
        <v>3870.4</v>
      </c>
    </row>
    <row r="2123" spans="2:3" x14ac:dyDescent="0.3">
      <c r="B2123" s="171">
        <v>43742</v>
      </c>
      <c r="C2123" s="60">
        <v>3979.55</v>
      </c>
    </row>
    <row r="2124" spans="2:3" x14ac:dyDescent="0.3">
      <c r="B2124" s="171">
        <v>43741</v>
      </c>
      <c r="C2124" s="60">
        <v>4146.8</v>
      </c>
    </row>
    <row r="2125" spans="2:3" x14ac:dyDescent="0.3">
      <c r="B2125" s="171">
        <v>43739</v>
      </c>
      <c r="C2125" s="60">
        <v>4212.6000000000004</v>
      </c>
    </row>
    <row r="2126" spans="2:3" x14ac:dyDescent="0.3">
      <c r="B2126" s="171">
        <v>43738</v>
      </c>
      <c r="C2126" s="60">
        <v>4341.25</v>
      </c>
    </row>
    <row r="2127" spans="2:3" x14ac:dyDescent="0.3">
      <c r="B2127" s="171">
        <v>43735</v>
      </c>
      <c r="C2127" s="60">
        <v>4395.1499999999996</v>
      </c>
    </row>
    <row r="2128" spans="2:3" x14ac:dyDescent="0.3">
      <c r="B2128" s="171">
        <v>43734</v>
      </c>
      <c r="C2128" s="60">
        <v>4395.6000000000004</v>
      </c>
    </row>
    <row r="2129" spans="2:3" x14ac:dyDescent="0.3">
      <c r="B2129" s="171">
        <v>43733</v>
      </c>
      <c r="C2129" s="60">
        <v>4277.8500000000004</v>
      </c>
    </row>
    <row r="2130" spans="2:3" x14ac:dyDescent="0.3">
      <c r="B2130" s="171">
        <v>43732</v>
      </c>
      <c r="C2130" s="60">
        <v>4318</v>
      </c>
    </row>
    <row r="2131" spans="2:3" x14ac:dyDescent="0.3">
      <c r="B2131" s="171">
        <v>43731</v>
      </c>
      <c r="C2131" s="60">
        <v>4391.1000000000004</v>
      </c>
    </row>
    <row r="2132" spans="2:3" x14ac:dyDescent="0.3">
      <c r="B2132" s="171">
        <v>43728</v>
      </c>
      <c r="C2132" s="60">
        <v>4269.6499999999996</v>
      </c>
    </row>
    <row r="2133" spans="2:3" x14ac:dyDescent="0.3">
      <c r="B2133" s="171">
        <v>43727</v>
      </c>
      <c r="C2133" s="60">
        <v>3866.3</v>
      </c>
    </row>
    <row r="2134" spans="2:3" x14ac:dyDescent="0.3">
      <c r="B2134" s="171">
        <v>43726</v>
      </c>
      <c r="C2134" s="60">
        <v>3902.8</v>
      </c>
    </row>
    <row r="2135" spans="2:3" x14ac:dyDescent="0.3">
      <c r="B2135" s="171">
        <v>43725</v>
      </c>
      <c r="C2135" s="60">
        <v>3900.4</v>
      </c>
    </row>
    <row r="2136" spans="2:3" x14ac:dyDescent="0.3">
      <c r="B2136" s="171">
        <v>43724</v>
      </c>
      <c r="C2136" s="60">
        <v>3992.85</v>
      </c>
    </row>
    <row r="2137" spans="2:3" x14ac:dyDescent="0.3">
      <c r="B2137" s="171">
        <v>43721</v>
      </c>
      <c r="C2137" s="60">
        <v>4031.15</v>
      </c>
    </row>
    <row r="2138" spans="2:3" x14ac:dyDescent="0.3">
      <c r="B2138" s="171">
        <v>43720</v>
      </c>
      <c r="C2138" s="60">
        <v>4002.05</v>
      </c>
    </row>
    <row r="2139" spans="2:3" x14ac:dyDescent="0.3">
      <c r="B2139" s="171">
        <v>43719</v>
      </c>
      <c r="C2139" s="60">
        <v>3903.4</v>
      </c>
    </row>
    <row r="2140" spans="2:3" x14ac:dyDescent="0.3">
      <c r="B2140" s="171">
        <v>43717</v>
      </c>
      <c r="C2140" s="60">
        <v>3905.6</v>
      </c>
    </row>
    <row r="2141" spans="2:3" x14ac:dyDescent="0.3">
      <c r="B2141" s="171">
        <v>43714</v>
      </c>
      <c r="C2141" s="60">
        <v>3907.55</v>
      </c>
    </row>
    <row r="2142" spans="2:3" x14ac:dyDescent="0.3">
      <c r="B2142" s="171">
        <v>43713</v>
      </c>
      <c r="C2142" s="60">
        <v>3888.8</v>
      </c>
    </row>
    <row r="2143" spans="2:3" x14ac:dyDescent="0.3">
      <c r="B2143" s="171">
        <v>43712</v>
      </c>
      <c r="C2143" s="60">
        <v>3876.5</v>
      </c>
    </row>
    <row r="2144" spans="2:3" x14ac:dyDescent="0.3">
      <c r="B2144" s="171">
        <v>43711</v>
      </c>
      <c r="C2144" s="60">
        <v>3885.55</v>
      </c>
    </row>
    <row r="2145" spans="2:3" x14ac:dyDescent="0.3">
      <c r="B2145" s="171">
        <v>43707</v>
      </c>
      <c r="C2145" s="60">
        <v>4052.25</v>
      </c>
    </row>
    <row r="2146" spans="2:3" x14ac:dyDescent="0.3">
      <c r="B2146" s="171">
        <v>43706</v>
      </c>
      <c r="C2146" s="60">
        <v>4073.9</v>
      </c>
    </row>
    <row r="2147" spans="2:3" x14ac:dyDescent="0.3">
      <c r="B2147" s="171">
        <v>43705</v>
      </c>
      <c r="C2147" s="60">
        <v>4119.8</v>
      </c>
    </row>
    <row r="2148" spans="2:3" x14ac:dyDescent="0.3">
      <c r="B2148" s="171">
        <v>43704</v>
      </c>
      <c r="C2148" s="60">
        <v>4135.7</v>
      </c>
    </row>
    <row r="2149" spans="2:3" x14ac:dyDescent="0.3">
      <c r="B2149" s="171">
        <v>43703</v>
      </c>
      <c r="C2149" s="60">
        <v>4038.4</v>
      </c>
    </row>
    <row r="2150" spans="2:3" x14ac:dyDescent="0.3">
      <c r="B2150" s="171">
        <v>43700</v>
      </c>
      <c r="C2150" s="60">
        <v>3861.8</v>
      </c>
    </row>
    <row r="2151" spans="2:3" x14ac:dyDescent="0.3">
      <c r="B2151" s="171">
        <v>43699</v>
      </c>
      <c r="C2151" s="60">
        <v>3838.15</v>
      </c>
    </row>
    <row r="2152" spans="2:3" x14ac:dyDescent="0.3">
      <c r="B2152" s="171">
        <v>43698</v>
      </c>
      <c r="C2152" s="60">
        <v>3921.4</v>
      </c>
    </row>
    <row r="2153" spans="2:3" x14ac:dyDescent="0.3">
      <c r="B2153" s="171">
        <v>43697</v>
      </c>
      <c r="C2153" s="60">
        <v>4033.05</v>
      </c>
    </row>
    <row r="2154" spans="2:3" x14ac:dyDescent="0.3">
      <c r="B2154" s="171">
        <v>43696</v>
      </c>
      <c r="C2154" s="60">
        <v>4158.1499999999996</v>
      </c>
    </row>
    <row r="2155" spans="2:3" x14ac:dyDescent="0.3">
      <c r="B2155" s="171">
        <v>43693</v>
      </c>
      <c r="C2155" s="60">
        <v>4208</v>
      </c>
    </row>
    <row r="2156" spans="2:3" x14ac:dyDescent="0.3">
      <c r="B2156" s="171">
        <v>43691</v>
      </c>
      <c r="C2156" s="60">
        <v>4225.8999999999996</v>
      </c>
    </row>
    <row r="2157" spans="2:3" x14ac:dyDescent="0.3">
      <c r="B2157" s="171">
        <v>43690</v>
      </c>
      <c r="C2157" s="60">
        <v>4181.1499999999996</v>
      </c>
    </row>
    <row r="2158" spans="2:3" x14ac:dyDescent="0.3">
      <c r="B2158" s="171">
        <v>43686</v>
      </c>
      <c r="C2158" s="60">
        <v>4281.3500000000004</v>
      </c>
    </row>
    <row r="2159" spans="2:3" x14ac:dyDescent="0.3">
      <c r="B2159" s="171">
        <v>43685</v>
      </c>
      <c r="C2159" s="60">
        <v>4233.1499999999996</v>
      </c>
    </row>
    <row r="2160" spans="2:3" x14ac:dyDescent="0.3">
      <c r="B2160" s="171">
        <v>43684</v>
      </c>
      <c r="C2160" s="60">
        <v>4341.6499999999996</v>
      </c>
    </row>
    <row r="2161" spans="2:3" x14ac:dyDescent="0.3">
      <c r="B2161" s="171">
        <v>43683</v>
      </c>
      <c r="C2161" s="60">
        <v>4357</v>
      </c>
    </row>
    <row r="2162" spans="2:3" x14ac:dyDescent="0.3">
      <c r="B2162" s="171">
        <v>43682</v>
      </c>
      <c r="C2162" s="60">
        <v>4246.2</v>
      </c>
    </row>
    <row r="2163" spans="2:3" x14ac:dyDescent="0.3">
      <c r="B2163" s="171">
        <v>43679</v>
      </c>
      <c r="C2163" s="60">
        <v>4299.05</v>
      </c>
    </row>
    <row r="2164" spans="2:3" x14ac:dyDescent="0.3">
      <c r="B2164" s="171">
        <v>43678</v>
      </c>
      <c r="C2164" s="60">
        <v>4231.7</v>
      </c>
    </row>
    <row r="2165" spans="2:3" x14ac:dyDescent="0.3">
      <c r="B2165" s="171">
        <v>43677</v>
      </c>
      <c r="C2165" s="60">
        <v>4346.8999999999996</v>
      </c>
    </row>
    <row r="2166" spans="2:3" x14ac:dyDescent="0.3">
      <c r="B2166" s="171">
        <v>43676</v>
      </c>
      <c r="C2166" s="60">
        <v>4317.55</v>
      </c>
    </row>
    <row r="2167" spans="2:3" x14ac:dyDescent="0.3">
      <c r="B2167" s="171">
        <v>43675</v>
      </c>
      <c r="C2167" s="60">
        <v>4368.95</v>
      </c>
    </row>
    <row r="2168" spans="2:3" x14ac:dyDescent="0.3">
      <c r="B2168" s="171">
        <v>43672</v>
      </c>
      <c r="C2168" s="60">
        <v>4500.55</v>
      </c>
    </row>
    <row r="2169" spans="2:3" x14ac:dyDescent="0.3">
      <c r="B2169" s="171">
        <v>43671</v>
      </c>
      <c r="C2169" s="60">
        <v>4460.1000000000004</v>
      </c>
    </row>
    <row r="2170" spans="2:3" x14ac:dyDescent="0.3">
      <c r="B2170" s="171">
        <v>43670</v>
      </c>
      <c r="C2170" s="60">
        <v>4442.8500000000004</v>
      </c>
    </row>
    <row r="2171" spans="2:3" x14ac:dyDescent="0.3">
      <c r="B2171" s="171">
        <v>43669</v>
      </c>
      <c r="C2171" s="60">
        <v>4539.45</v>
      </c>
    </row>
    <row r="2172" spans="2:3" x14ac:dyDescent="0.3">
      <c r="B2172" s="171">
        <v>43668</v>
      </c>
      <c r="C2172" s="60">
        <v>4584.1000000000004</v>
      </c>
    </row>
    <row r="2173" spans="2:3" x14ac:dyDescent="0.3">
      <c r="B2173" s="171">
        <v>43665</v>
      </c>
      <c r="C2173" s="60">
        <v>4522.95</v>
      </c>
    </row>
    <row r="2174" spans="2:3" x14ac:dyDescent="0.3">
      <c r="B2174" s="171">
        <v>43664</v>
      </c>
      <c r="C2174" s="60">
        <v>4601.75</v>
      </c>
    </row>
    <row r="2175" spans="2:3" x14ac:dyDescent="0.3">
      <c r="B2175" s="171">
        <v>43663</v>
      </c>
      <c r="C2175" s="60">
        <v>4608.95</v>
      </c>
    </row>
    <row r="2176" spans="2:3" x14ac:dyDescent="0.3">
      <c r="B2176" s="171">
        <v>43662</v>
      </c>
      <c r="C2176" s="60">
        <v>4600.8999999999996</v>
      </c>
    </row>
    <row r="2177" spans="2:3" x14ac:dyDescent="0.3">
      <c r="B2177" s="171">
        <v>43661</v>
      </c>
      <c r="C2177" s="60">
        <v>4597</v>
      </c>
    </row>
    <row r="2178" spans="2:3" x14ac:dyDescent="0.3">
      <c r="B2178" s="171">
        <v>43658</v>
      </c>
      <c r="C2178" s="60">
        <v>4565.8500000000004</v>
      </c>
    </row>
    <row r="2179" spans="2:3" x14ac:dyDescent="0.3">
      <c r="B2179" s="171">
        <v>43657</v>
      </c>
      <c r="C2179" s="60">
        <v>4539.1000000000004</v>
      </c>
    </row>
    <row r="2180" spans="2:3" x14ac:dyDescent="0.3">
      <c r="B2180" s="171">
        <v>43656</v>
      </c>
      <c r="C2180" s="60">
        <v>4480.7</v>
      </c>
    </row>
    <row r="2181" spans="2:3" x14ac:dyDescent="0.3">
      <c r="B2181" s="171">
        <v>43655</v>
      </c>
      <c r="C2181" s="60">
        <v>4498.7</v>
      </c>
    </row>
    <row r="2182" spans="2:3" x14ac:dyDescent="0.3">
      <c r="B2182" s="171">
        <v>43654</v>
      </c>
      <c r="C2182" s="60">
        <v>4392.3500000000004</v>
      </c>
    </row>
    <row r="2183" spans="2:3" x14ac:dyDescent="0.3">
      <c r="B2183" s="171">
        <v>43651</v>
      </c>
      <c r="C2183" s="60">
        <v>4522.05</v>
      </c>
    </row>
    <row r="2184" spans="2:3" x14ac:dyDescent="0.3">
      <c r="B2184" s="171">
        <v>43650</v>
      </c>
      <c r="C2184" s="60">
        <v>4645.3500000000004</v>
      </c>
    </row>
    <row r="2185" spans="2:3" x14ac:dyDescent="0.3">
      <c r="B2185" s="171">
        <v>43649</v>
      </c>
      <c r="C2185" s="60">
        <v>4561.1499999999996</v>
      </c>
    </row>
    <row r="2186" spans="2:3" x14ac:dyDescent="0.3">
      <c r="B2186" s="171">
        <v>43648</v>
      </c>
      <c r="C2186" s="60">
        <v>4544.1000000000004</v>
      </c>
    </row>
    <row r="2187" spans="2:3" x14ac:dyDescent="0.3">
      <c r="B2187" s="171">
        <v>43647</v>
      </c>
      <c r="C2187" s="60">
        <v>4526.6499999999996</v>
      </c>
    </row>
    <row r="2188" spans="2:3" x14ac:dyDescent="0.3">
      <c r="B2188" s="171">
        <v>43644</v>
      </c>
      <c r="C2188" s="60">
        <v>4555.8500000000004</v>
      </c>
    </row>
    <row r="2189" spans="2:3" x14ac:dyDescent="0.3">
      <c r="B2189" s="171">
        <v>43643</v>
      </c>
      <c r="C2189" s="60">
        <v>4599.1499999999996</v>
      </c>
    </row>
    <row r="2190" spans="2:3" x14ac:dyDescent="0.3">
      <c r="B2190" s="171">
        <v>43642</v>
      </c>
      <c r="C2190" s="60">
        <v>4597.3999999999996</v>
      </c>
    </row>
    <row r="2191" spans="2:3" x14ac:dyDescent="0.3">
      <c r="B2191" s="171">
        <v>43641</v>
      </c>
      <c r="C2191" s="60">
        <v>4596.05</v>
      </c>
    </row>
    <row r="2192" spans="2:3" x14ac:dyDescent="0.3">
      <c r="B2192" s="171">
        <v>43640</v>
      </c>
      <c r="C2192" s="60">
        <v>4574.8</v>
      </c>
    </row>
    <row r="2193" spans="2:3" x14ac:dyDescent="0.3">
      <c r="B2193" s="171">
        <v>43637</v>
      </c>
      <c r="C2193" s="60">
        <v>4595.1499999999996</v>
      </c>
    </row>
    <row r="2194" spans="2:3" x14ac:dyDescent="0.3">
      <c r="B2194" s="171">
        <v>43636</v>
      </c>
      <c r="C2194" s="60">
        <v>4576.05</v>
      </c>
    </row>
    <row r="2195" spans="2:3" x14ac:dyDescent="0.3">
      <c r="B2195" s="171">
        <v>43635</v>
      </c>
      <c r="C2195" s="60">
        <v>4485</v>
      </c>
    </row>
    <row r="2196" spans="2:3" x14ac:dyDescent="0.3">
      <c r="B2196" s="171">
        <v>43634</v>
      </c>
      <c r="C2196" s="60">
        <v>4511.45</v>
      </c>
    </row>
    <row r="2197" spans="2:3" x14ac:dyDescent="0.3">
      <c r="B2197" s="171">
        <v>43633</v>
      </c>
      <c r="C2197" s="60">
        <v>4455.3</v>
      </c>
    </row>
    <row r="2198" spans="2:3" x14ac:dyDescent="0.3">
      <c r="B2198" s="171">
        <v>43630</v>
      </c>
      <c r="C2198" s="60">
        <v>4501.75</v>
      </c>
    </row>
    <row r="2199" spans="2:3" x14ac:dyDescent="0.3">
      <c r="B2199" s="171">
        <v>43629</v>
      </c>
      <c r="C2199" s="60">
        <v>4570.2</v>
      </c>
    </row>
    <row r="2200" spans="2:3" x14ac:dyDescent="0.3">
      <c r="B2200" s="171">
        <v>43628</v>
      </c>
      <c r="C2200" s="60">
        <v>4569.1000000000004</v>
      </c>
    </row>
    <row r="2201" spans="2:3" x14ac:dyDescent="0.3">
      <c r="B2201" s="171">
        <v>43627</v>
      </c>
      <c r="C2201" s="60">
        <v>4584.75</v>
      </c>
    </row>
    <row r="2202" spans="2:3" x14ac:dyDescent="0.3">
      <c r="B2202" s="171">
        <v>43626</v>
      </c>
      <c r="C2202" s="60">
        <v>4597.8500000000004</v>
      </c>
    </row>
    <row r="2203" spans="2:3" x14ac:dyDescent="0.3">
      <c r="B2203" s="171">
        <v>43623</v>
      </c>
      <c r="C2203" s="60">
        <v>4572.8500000000004</v>
      </c>
    </row>
    <row r="2204" spans="2:3" x14ac:dyDescent="0.3">
      <c r="B2204" s="171">
        <v>43622</v>
      </c>
      <c r="C2204" s="60">
        <v>4571.2</v>
      </c>
    </row>
    <row r="2205" spans="2:3" x14ac:dyDescent="0.3">
      <c r="B2205" s="171">
        <v>43620</v>
      </c>
      <c r="C2205" s="60">
        <v>4692</v>
      </c>
    </row>
    <row r="2206" spans="2:3" x14ac:dyDescent="0.3">
      <c r="B2206" s="171">
        <v>43619</v>
      </c>
      <c r="C2206" s="60">
        <v>4762.3</v>
      </c>
    </row>
    <row r="2207" spans="2:3" x14ac:dyDescent="0.3">
      <c r="B2207" s="171">
        <v>43616</v>
      </c>
      <c r="C2207" s="60">
        <v>4760.1000000000004</v>
      </c>
    </row>
    <row r="2208" spans="2:3" x14ac:dyDescent="0.3">
      <c r="B2208" s="171">
        <v>43615</v>
      </c>
      <c r="C2208" s="60">
        <v>4758.8999999999996</v>
      </c>
    </row>
    <row r="2209" spans="2:3" x14ac:dyDescent="0.3">
      <c r="B2209" s="171">
        <v>43614</v>
      </c>
      <c r="C2209" s="60">
        <v>4719.8500000000004</v>
      </c>
    </row>
    <row r="2210" spans="2:3" x14ac:dyDescent="0.3">
      <c r="B2210" s="171">
        <v>43613</v>
      </c>
      <c r="C2210" s="60">
        <v>4772.95</v>
      </c>
    </row>
    <row r="2211" spans="2:3" x14ac:dyDescent="0.3">
      <c r="B2211" s="171">
        <v>43612</v>
      </c>
      <c r="C2211" s="60">
        <v>4841.05</v>
      </c>
    </row>
    <row r="2212" spans="2:3" x14ac:dyDescent="0.3">
      <c r="B2212" s="171">
        <v>43609</v>
      </c>
      <c r="C2212" s="60">
        <v>4800.1000000000004</v>
      </c>
    </row>
    <row r="2213" spans="2:3" x14ac:dyDescent="0.3">
      <c r="B2213" s="171">
        <v>43608</v>
      </c>
      <c r="C2213" s="60">
        <v>4683.95</v>
      </c>
    </row>
    <row r="2214" spans="2:3" x14ac:dyDescent="0.3">
      <c r="B2214" s="171">
        <v>43607</v>
      </c>
      <c r="C2214" s="60">
        <v>4647.3500000000004</v>
      </c>
    </row>
    <row r="2215" spans="2:3" x14ac:dyDescent="0.3">
      <c r="B2215" s="171">
        <v>43606</v>
      </c>
      <c r="C2215" s="60">
        <v>4639.75</v>
      </c>
    </row>
    <row r="2216" spans="2:3" x14ac:dyDescent="0.3">
      <c r="B2216" s="171">
        <v>43605</v>
      </c>
      <c r="C2216" s="60">
        <v>4774.2</v>
      </c>
    </row>
    <row r="2217" spans="2:3" x14ac:dyDescent="0.3">
      <c r="B2217" s="171">
        <v>43602</v>
      </c>
      <c r="C2217" s="60">
        <v>4492.8</v>
      </c>
    </row>
    <row r="2218" spans="2:3" x14ac:dyDescent="0.3">
      <c r="B2218" s="171">
        <v>43601</v>
      </c>
      <c r="C2218" s="60">
        <v>4512.8</v>
      </c>
    </row>
    <row r="2219" spans="2:3" x14ac:dyDescent="0.3">
      <c r="B2219" s="171">
        <v>43600</v>
      </c>
      <c r="C2219" s="60">
        <v>4342.3500000000004</v>
      </c>
    </row>
    <row r="2220" spans="2:3" x14ac:dyDescent="0.3">
      <c r="B2220" s="171">
        <v>43599</v>
      </c>
      <c r="C2220" s="60">
        <v>4424.3</v>
      </c>
    </row>
    <row r="2221" spans="2:3" x14ac:dyDescent="0.3">
      <c r="B2221" s="171">
        <v>43598</v>
      </c>
      <c r="C2221" s="60">
        <v>4338.45</v>
      </c>
    </row>
    <row r="2222" spans="2:3" x14ac:dyDescent="0.3">
      <c r="B2222" s="171">
        <v>43595</v>
      </c>
      <c r="C2222" s="60">
        <v>4434.25</v>
      </c>
    </row>
    <row r="2223" spans="2:3" x14ac:dyDescent="0.3">
      <c r="B2223" s="171">
        <v>43594</v>
      </c>
      <c r="C2223" s="60">
        <v>4478.3999999999996</v>
      </c>
    </row>
    <row r="2224" spans="2:3" x14ac:dyDescent="0.3">
      <c r="B2224" s="171">
        <v>43593</v>
      </c>
      <c r="C2224" s="60">
        <v>4507.6499999999996</v>
      </c>
    </row>
    <row r="2225" spans="2:3" x14ac:dyDescent="0.3">
      <c r="B2225" s="171">
        <v>43592</v>
      </c>
      <c r="C2225" s="60">
        <v>4531.25</v>
      </c>
    </row>
    <row r="2226" spans="2:3" x14ac:dyDescent="0.3">
      <c r="B2226" s="171">
        <v>43591</v>
      </c>
      <c r="C2226" s="60">
        <v>4518.55</v>
      </c>
    </row>
    <row r="2227" spans="2:3" x14ac:dyDescent="0.3">
      <c r="B2227" s="171">
        <v>43588</v>
      </c>
      <c r="C2227" s="60">
        <v>4566</v>
      </c>
    </row>
    <row r="2228" spans="2:3" x14ac:dyDescent="0.3">
      <c r="B2228" s="171">
        <v>43587</v>
      </c>
      <c r="C2228" s="60">
        <v>4616.3</v>
      </c>
    </row>
    <row r="2229" spans="2:3" x14ac:dyDescent="0.3">
      <c r="B2229" s="171">
        <v>43585</v>
      </c>
      <c r="C2229" s="60">
        <v>4616.8</v>
      </c>
    </row>
    <row r="2230" spans="2:3" x14ac:dyDescent="0.3">
      <c r="B2230" s="171">
        <v>43581</v>
      </c>
      <c r="C2230" s="60">
        <v>4609.95</v>
      </c>
    </row>
    <row r="2231" spans="2:3" x14ac:dyDescent="0.3">
      <c r="B2231" s="171">
        <v>43580</v>
      </c>
      <c r="C2231" s="60">
        <v>4619</v>
      </c>
    </row>
    <row r="2232" spans="2:3" x14ac:dyDescent="0.3">
      <c r="B2232" s="171">
        <v>43579</v>
      </c>
      <c r="C2232" s="60">
        <v>4394.6499999999996</v>
      </c>
    </row>
    <row r="2233" spans="2:3" x14ac:dyDescent="0.3">
      <c r="B2233" s="171">
        <v>43578</v>
      </c>
      <c r="C2233" s="60">
        <v>4198.25</v>
      </c>
    </row>
    <row r="2234" spans="2:3" x14ac:dyDescent="0.3">
      <c r="B2234" s="171">
        <v>43577</v>
      </c>
      <c r="C2234" s="60">
        <v>4204.8500000000004</v>
      </c>
    </row>
    <row r="2235" spans="2:3" x14ac:dyDescent="0.3">
      <c r="B2235" s="171">
        <v>43573</v>
      </c>
      <c r="C2235" s="60">
        <v>4259.95</v>
      </c>
    </row>
    <row r="2236" spans="2:3" x14ac:dyDescent="0.3">
      <c r="B2236" s="171">
        <v>43571</v>
      </c>
      <c r="C2236" s="60">
        <v>4255.05</v>
      </c>
    </row>
    <row r="2237" spans="2:3" x14ac:dyDescent="0.3">
      <c r="B2237" s="171">
        <v>43570</v>
      </c>
      <c r="C2237" s="60">
        <v>4225.3</v>
      </c>
    </row>
    <row r="2238" spans="2:3" x14ac:dyDescent="0.3">
      <c r="B2238" s="171">
        <v>43567</v>
      </c>
      <c r="C2238" s="60">
        <v>4166.5</v>
      </c>
    </row>
    <row r="2239" spans="2:3" x14ac:dyDescent="0.3">
      <c r="B2239" s="171">
        <v>43566</v>
      </c>
      <c r="C2239" s="60">
        <v>4140.1499999999996</v>
      </c>
    </row>
    <row r="2240" spans="2:3" x14ac:dyDescent="0.3">
      <c r="B2240" s="171">
        <v>43565</v>
      </c>
      <c r="C2240" s="60">
        <v>4131.05</v>
      </c>
    </row>
    <row r="2241" spans="2:3" x14ac:dyDescent="0.3">
      <c r="B2241" s="171">
        <v>43564</v>
      </c>
      <c r="C2241" s="60">
        <v>4163.2</v>
      </c>
    </row>
    <row r="2242" spans="2:3" x14ac:dyDescent="0.3">
      <c r="B2242" s="171">
        <v>43563</v>
      </c>
      <c r="C2242" s="60">
        <v>4166.8500000000004</v>
      </c>
    </row>
    <row r="2243" spans="2:3" x14ac:dyDescent="0.3">
      <c r="B2243" s="171">
        <v>43560</v>
      </c>
      <c r="C2243" s="60">
        <v>4190.3999999999996</v>
      </c>
    </row>
    <row r="2244" spans="2:3" x14ac:dyDescent="0.3">
      <c r="B2244" s="171">
        <v>43559</v>
      </c>
      <c r="C2244" s="60">
        <v>4079.95</v>
      </c>
    </row>
    <row r="2245" spans="2:3" x14ac:dyDescent="0.3">
      <c r="B2245" s="171">
        <v>43558</v>
      </c>
      <c r="C2245" s="60">
        <v>4001.6</v>
      </c>
    </row>
    <row r="2246" spans="2:3" x14ac:dyDescent="0.3">
      <c r="B2246" s="171">
        <v>43557</v>
      </c>
      <c r="C2246" s="60">
        <v>4026</v>
      </c>
    </row>
    <row r="2247" spans="2:3" x14ac:dyDescent="0.3">
      <c r="B2247" s="171">
        <v>43556</v>
      </c>
      <c r="C2247" s="60">
        <v>4053.5</v>
      </c>
    </row>
    <row r="2248" spans="2:3" x14ac:dyDescent="0.3">
      <c r="B2248" s="171">
        <v>43553</v>
      </c>
      <c r="C2248" s="60">
        <v>3998.35</v>
      </c>
    </row>
    <row r="2249" spans="2:3" x14ac:dyDescent="0.3">
      <c r="B2249" s="171">
        <v>43552</v>
      </c>
      <c r="C2249" s="60">
        <v>3908.95</v>
      </c>
    </row>
    <row r="2250" spans="2:3" x14ac:dyDescent="0.3">
      <c r="B2250" s="171">
        <v>43551</v>
      </c>
      <c r="C2250" s="60">
        <v>3901.95</v>
      </c>
    </row>
    <row r="2251" spans="2:3" x14ac:dyDescent="0.3">
      <c r="B2251" s="171">
        <v>43550</v>
      </c>
      <c r="C2251" s="60">
        <v>3925.6</v>
      </c>
    </row>
    <row r="2252" spans="2:3" x14ac:dyDescent="0.3">
      <c r="B2252" s="171">
        <v>43549</v>
      </c>
      <c r="C2252" s="60">
        <v>3871.05</v>
      </c>
    </row>
    <row r="2253" spans="2:3" x14ac:dyDescent="0.3">
      <c r="B2253" s="171">
        <v>43546</v>
      </c>
      <c r="C2253" s="60">
        <v>3929.75</v>
      </c>
    </row>
    <row r="2254" spans="2:3" x14ac:dyDescent="0.3">
      <c r="B2254" s="171">
        <v>43544</v>
      </c>
      <c r="C2254" s="60">
        <v>3922.3</v>
      </c>
    </row>
    <row r="2255" spans="2:3" x14ac:dyDescent="0.3">
      <c r="B2255" s="171">
        <v>43543</v>
      </c>
      <c r="C2255" s="60">
        <v>3978</v>
      </c>
    </row>
    <row r="2256" spans="2:3" x14ac:dyDescent="0.3">
      <c r="B2256" s="171">
        <v>43542</v>
      </c>
      <c r="C2256" s="60">
        <v>3970.2</v>
      </c>
    </row>
    <row r="2257" spans="2:3" x14ac:dyDescent="0.3">
      <c r="B2257" s="171">
        <v>43539</v>
      </c>
      <c r="C2257" s="60">
        <v>3916.1</v>
      </c>
    </row>
    <row r="2258" spans="2:3" x14ac:dyDescent="0.3">
      <c r="B2258" s="171">
        <v>43538</v>
      </c>
      <c r="C2258" s="60">
        <v>3964.15</v>
      </c>
    </row>
    <row r="2259" spans="2:3" x14ac:dyDescent="0.3">
      <c r="B2259" s="171">
        <v>43537</v>
      </c>
      <c r="C2259" s="60">
        <v>4025.65</v>
      </c>
    </row>
    <row r="2260" spans="2:3" x14ac:dyDescent="0.3">
      <c r="B2260" s="171">
        <v>43536</v>
      </c>
      <c r="C2260" s="60">
        <v>4095.75</v>
      </c>
    </row>
    <row r="2261" spans="2:3" x14ac:dyDescent="0.3">
      <c r="B2261" s="171">
        <v>43535</v>
      </c>
      <c r="C2261" s="60">
        <v>4049.15</v>
      </c>
    </row>
    <row r="2262" spans="2:3" x14ac:dyDescent="0.3">
      <c r="B2262" s="171">
        <v>43532</v>
      </c>
      <c r="C2262" s="60">
        <v>3972</v>
      </c>
    </row>
    <row r="2263" spans="2:3" x14ac:dyDescent="0.3">
      <c r="B2263" s="171">
        <v>43531</v>
      </c>
      <c r="C2263" s="60">
        <v>3912.8</v>
      </c>
    </row>
    <row r="2264" spans="2:3" x14ac:dyDescent="0.3">
      <c r="B2264" s="171">
        <v>43530</v>
      </c>
      <c r="C2264" s="60">
        <v>3978.65</v>
      </c>
    </row>
    <row r="2265" spans="2:3" x14ac:dyDescent="0.3">
      <c r="B2265" s="171">
        <v>43529</v>
      </c>
      <c r="C2265" s="60">
        <v>3962.2</v>
      </c>
    </row>
    <row r="2266" spans="2:3" x14ac:dyDescent="0.3">
      <c r="B2266" s="171">
        <v>43525</v>
      </c>
      <c r="C2266" s="60">
        <v>3878.35</v>
      </c>
    </row>
    <row r="2267" spans="2:3" x14ac:dyDescent="0.3">
      <c r="B2267" s="171">
        <v>43524</v>
      </c>
      <c r="C2267" s="60">
        <v>3826.5</v>
      </c>
    </row>
    <row r="2268" spans="2:3" x14ac:dyDescent="0.3">
      <c r="B2268" s="171">
        <v>43523</v>
      </c>
      <c r="C2268" s="60">
        <v>3889.1</v>
      </c>
    </row>
    <row r="2269" spans="2:3" x14ac:dyDescent="0.3">
      <c r="B2269" s="171">
        <v>43522</v>
      </c>
      <c r="C2269" s="60">
        <v>3788.55</v>
      </c>
    </row>
    <row r="2270" spans="2:3" x14ac:dyDescent="0.3">
      <c r="B2270" s="171">
        <v>43521</v>
      </c>
      <c r="C2270" s="60">
        <v>3716.6</v>
      </c>
    </row>
    <row r="2271" spans="2:3" x14ac:dyDescent="0.3">
      <c r="B2271" s="171">
        <v>43518</v>
      </c>
      <c r="C2271" s="60">
        <v>3625.7</v>
      </c>
    </row>
    <row r="2272" spans="2:3" x14ac:dyDescent="0.3">
      <c r="B2272" s="171">
        <v>43517</v>
      </c>
      <c r="C2272" s="60">
        <v>3631.25</v>
      </c>
    </row>
    <row r="2273" spans="2:3" x14ac:dyDescent="0.3">
      <c r="B2273" s="171">
        <v>43516</v>
      </c>
      <c r="C2273" s="60">
        <v>3573.35</v>
      </c>
    </row>
    <row r="2274" spans="2:3" x14ac:dyDescent="0.3">
      <c r="B2274" s="171">
        <v>43515</v>
      </c>
      <c r="C2274" s="60">
        <v>3467.6</v>
      </c>
    </row>
    <row r="2275" spans="2:3" x14ac:dyDescent="0.3">
      <c r="B2275" s="171">
        <v>43514</v>
      </c>
      <c r="C2275" s="60">
        <v>3429.25</v>
      </c>
    </row>
    <row r="2276" spans="2:3" x14ac:dyDescent="0.3">
      <c r="B2276" s="171">
        <v>43511</v>
      </c>
      <c r="C2276" s="60">
        <v>3439.45</v>
      </c>
    </row>
    <row r="2277" spans="2:3" x14ac:dyDescent="0.3">
      <c r="B2277" s="171">
        <v>43510</v>
      </c>
      <c r="C2277" s="60">
        <v>3494.9</v>
      </c>
    </row>
    <row r="2278" spans="2:3" x14ac:dyDescent="0.3">
      <c r="B2278" s="171">
        <v>43509</v>
      </c>
      <c r="C2278" s="60">
        <v>3472.25</v>
      </c>
    </row>
    <row r="2279" spans="2:3" x14ac:dyDescent="0.3">
      <c r="B2279" s="171">
        <v>43508</v>
      </c>
      <c r="C2279" s="60">
        <v>3452.35</v>
      </c>
    </row>
    <row r="2280" spans="2:3" x14ac:dyDescent="0.3">
      <c r="B2280" s="171">
        <v>43507</v>
      </c>
      <c r="C2280" s="60">
        <v>3449.4</v>
      </c>
    </row>
    <row r="2281" spans="2:3" x14ac:dyDescent="0.3">
      <c r="B2281" s="171">
        <v>43504</v>
      </c>
      <c r="C2281" s="60">
        <v>3557.8</v>
      </c>
    </row>
    <row r="2282" spans="2:3" x14ac:dyDescent="0.3">
      <c r="B2282" s="171">
        <v>43503</v>
      </c>
      <c r="C2282" s="60">
        <v>3570.55</v>
      </c>
    </row>
    <row r="2283" spans="2:3" x14ac:dyDescent="0.3">
      <c r="B2283" s="171">
        <v>43502</v>
      </c>
      <c r="C2283" s="60">
        <v>3510.35</v>
      </c>
    </row>
    <row r="2284" spans="2:3" x14ac:dyDescent="0.3">
      <c r="B2284" s="171">
        <v>43501</v>
      </c>
      <c r="C2284" s="60">
        <v>3461.75</v>
      </c>
    </row>
    <row r="2285" spans="2:3" x14ac:dyDescent="0.3">
      <c r="B2285" s="171">
        <v>43500</v>
      </c>
      <c r="C2285" s="60">
        <v>3447.5</v>
      </c>
    </row>
    <row r="2286" spans="2:3" x14ac:dyDescent="0.3">
      <c r="B2286" s="171">
        <v>43497</v>
      </c>
      <c r="C2286" s="60">
        <v>3483.65</v>
      </c>
    </row>
    <row r="2287" spans="2:3" x14ac:dyDescent="0.3">
      <c r="B2287" s="171">
        <v>43496</v>
      </c>
      <c r="C2287" s="60">
        <v>3519.35</v>
      </c>
    </row>
    <row r="2288" spans="2:3" x14ac:dyDescent="0.3">
      <c r="B2288" s="171">
        <v>43495</v>
      </c>
      <c r="C2288" s="60">
        <v>3442.2</v>
      </c>
    </row>
    <row r="2289" spans="2:3" x14ac:dyDescent="0.3">
      <c r="B2289" s="171">
        <v>43494</v>
      </c>
      <c r="C2289" s="60">
        <v>3409.65</v>
      </c>
    </row>
    <row r="2290" spans="2:3" x14ac:dyDescent="0.3">
      <c r="B2290" s="171">
        <v>43493</v>
      </c>
      <c r="C2290" s="60">
        <v>3374.45</v>
      </c>
    </row>
    <row r="2291" spans="2:3" x14ac:dyDescent="0.3">
      <c r="B2291" s="171">
        <v>43490</v>
      </c>
      <c r="C2291" s="60">
        <v>3510.8</v>
      </c>
    </row>
    <row r="2292" spans="2:3" x14ac:dyDescent="0.3">
      <c r="B2292" s="171">
        <v>43489</v>
      </c>
      <c r="C2292" s="60">
        <v>3790.7</v>
      </c>
    </row>
    <row r="2293" spans="2:3" x14ac:dyDescent="0.3">
      <c r="B2293" s="171">
        <v>43488</v>
      </c>
      <c r="C2293" s="60">
        <v>3850.65</v>
      </c>
    </row>
    <row r="2294" spans="2:3" x14ac:dyDescent="0.3">
      <c r="B2294" s="171">
        <v>43487</v>
      </c>
      <c r="C2294" s="60">
        <v>3860.5</v>
      </c>
    </row>
    <row r="2295" spans="2:3" x14ac:dyDescent="0.3">
      <c r="B2295" s="171">
        <v>43486</v>
      </c>
      <c r="C2295" s="60">
        <v>3849.55</v>
      </c>
    </row>
    <row r="2296" spans="2:3" x14ac:dyDescent="0.3">
      <c r="B2296" s="171">
        <v>43483</v>
      </c>
      <c r="C2296" s="60">
        <v>3819.95</v>
      </c>
    </row>
    <row r="2297" spans="2:3" x14ac:dyDescent="0.3">
      <c r="B2297" s="171">
        <v>43482</v>
      </c>
      <c r="C2297" s="60">
        <v>3846.45</v>
      </c>
    </row>
    <row r="2298" spans="2:3" x14ac:dyDescent="0.3">
      <c r="B2298" s="171">
        <v>43481</v>
      </c>
      <c r="C2298" s="60">
        <v>3887</v>
      </c>
    </row>
    <row r="2299" spans="2:3" x14ac:dyDescent="0.3">
      <c r="B2299" s="171">
        <v>43480</v>
      </c>
      <c r="C2299" s="60">
        <v>3827.65</v>
      </c>
    </row>
    <row r="2300" spans="2:3" x14ac:dyDescent="0.3">
      <c r="B2300" s="171">
        <v>43479</v>
      </c>
      <c r="C2300" s="60">
        <v>3776.6</v>
      </c>
    </row>
    <row r="2301" spans="2:3" x14ac:dyDescent="0.3">
      <c r="B2301" s="171">
        <v>43476</v>
      </c>
      <c r="C2301" s="60">
        <v>3770.2</v>
      </c>
    </row>
    <row r="2302" spans="2:3" x14ac:dyDescent="0.3">
      <c r="B2302" s="171">
        <v>43475</v>
      </c>
      <c r="C2302" s="60">
        <v>3818.2</v>
      </c>
    </row>
    <row r="2303" spans="2:3" x14ac:dyDescent="0.3">
      <c r="B2303" s="171">
        <v>43474</v>
      </c>
      <c r="C2303" s="60">
        <v>3817.25</v>
      </c>
    </row>
    <row r="2304" spans="2:3" x14ac:dyDescent="0.3">
      <c r="B2304" s="171">
        <v>43473</v>
      </c>
      <c r="C2304" s="60">
        <v>3916.3</v>
      </c>
    </row>
    <row r="2305" spans="2:3" x14ac:dyDescent="0.3">
      <c r="B2305" s="171">
        <v>43472</v>
      </c>
      <c r="C2305" s="60">
        <v>3926.75</v>
      </c>
    </row>
    <row r="2306" spans="2:3" x14ac:dyDescent="0.3">
      <c r="B2306" s="171">
        <v>43469</v>
      </c>
      <c r="C2306" s="60">
        <v>3914.55</v>
      </c>
    </row>
    <row r="2307" spans="2:3" x14ac:dyDescent="0.3">
      <c r="B2307" s="171">
        <v>43468</v>
      </c>
      <c r="C2307" s="60">
        <v>3900.05</v>
      </c>
    </row>
    <row r="2308" spans="2:3" x14ac:dyDescent="0.3">
      <c r="B2308" s="171">
        <v>43467</v>
      </c>
      <c r="C2308" s="60">
        <v>4006.1</v>
      </c>
    </row>
    <row r="2309" spans="2:3" x14ac:dyDescent="0.3">
      <c r="B2309" s="171">
        <v>43466</v>
      </c>
      <c r="C2309" s="60">
        <v>4009.2</v>
      </c>
    </row>
    <row r="2310" spans="2:3" x14ac:dyDescent="0.3">
      <c r="B2310" s="171">
        <v>43465</v>
      </c>
      <c r="C2310" s="60">
        <v>3990.95</v>
      </c>
    </row>
    <row r="2311" spans="2:3" x14ac:dyDescent="0.3">
      <c r="B2311" s="171">
        <v>43462</v>
      </c>
      <c r="C2311" s="60">
        <v>4004.95</v>
      </c>
    </row>
    <row r="2312" spans="2:3" x14ac:dyDescent="0.3">
      <c r="B2312" s="171">
        <v>43461</v>
      </c>
      <c r="C2312" s="60">
        <v>3982.5</v>
      </c>
    </row>
    <row r="2313" spans="2:3" x14ac:dyDescent="0.3">
      <c r="B2313" s="171">
        <v>43460</v>
      </c>
      <c r="C2313" s="60">
        <v>3996.1</v>
      </c>
    </row>
    <row r="2314" spans="2:3" x14ac:dyDescent="0.3">
      <c r="B2314" s="171">
        <v>43458</v>
      </c>
      <c r="C2314" s="60">
        <v>3917.15</v>
      </c>
    </row>
    <row r="2315" spans="2:3" x14ac:dyDescent="0.3">
      <c r="B2315" s="171">
        <v>43455</v>
      </c>
      <c r="C2315" s="60">
        <v>3984.3</v>
      </c>
    </row>
    <row r="2316" spans="2:3" x14ac:dyDescent="0.3">
      <c r="B2316" s="171">
        <v>43454</v>
      </c>
      <c r="C2316" s="60">
        <v>4040.35</v>
      </c>
    </row>
    <row r="2317" spans="2:3" x14ac:dyDescent="0.3">
      <c r="B2317" s="171">
        <v>43453</v>
      </c>
      <c r="C2317" s="60">
        <v>4084.55</v>
      </c>
    </row>
    <row r="2318" spans="2:3" x14ac:dyDescent="0.3">
      <c r="B2318" s="171">
        <v>43452</v>
      </c>
      <c r="C2318" s="60">
        <v>4008.15</v>
      </c>
    </row>
    <row r="2319" spans="2:3" x14ac:dyDescent="0.3">
      <c r="B2319" s="171">
        <v>43451</v>
      </c>
      <c r="C2319" s="60">
        <v>4009.3</v>
      </c>
    </row>
    <row r="2320" spans="2:3" x14ac:dyDescent="0.3">
      <c r="B2320" s="171">
        <v>43448</v>
      </c>
      <c r="C2320" s="60">
        <v>4005.05</v>
      </c>
    </row>
    <row r="2321" spans="2:3" x14ac:dyDescent="0.3">
      <c r="B2321" s="171">
        <v>43447</v>
      </c>
      <c r="C2321" s="60">
        <v>3949.1</v>
      </c>
    </row>
    <row r="2322" spans="2:3" x14ac:dyDescent="0.3">
      <c r="B2322" s="171">
        <v>43446</v>
      </c>
      <c r="C2322" s="60">
        <v>3932.4</v>
      </c>
    </row>
    <row r="2323" spans="2:3" x14ac:dyDescent="0.3">
      <c r="B2323" s="171">
        <v>43445</v>
      </c>
      <c r="C2323" s="60">
        <v>3874.1</v>
      </c>
    </row>
    <row r="2324" spans="2:3" x14ac:dyDescent="0.3">
      <c r="B2324" s="171">
        <v>43444</v>
      </c>
      <c r="C2324" s="60">
        <v>3776.55</v>
      </c>
    </row>
    <row r="2325" spans="2:3" x14ac:dyDescent="0.3">
      <c r="B2325" s="171">
        <v>43441</v>
      </c>
      <c r="C2325" s="60">
        <v>3932.5</v>
      </c>
    </row>
    <row r="2326" spans="2:3" x14ac:dyDescent="0.3">
      <c r="B2326" s="171">
        <v>43440</v>
      </c>
      <c r="C2326" s="60">
        <v>3864.5</v>
      </c>
    </row>
    <row r="2327" spans="2:3" x14ac:dyDescent="0.3">
      <c r="B2327" s="171">
        <v>43439</v>
      </c>
      <c r="C2327" s="60">
        <v>3969.05</v>
      </c>
    </row>
    <row r="2328" spans="2:3" x14ac:dyDescent="0.3">
      <c r="B2328" s="171">
        <v>43438</v>
      </c>
      <c r="C2328" s="60">
        <v>4030.65</v>
      </c>
    </row>
    <row r="2329" spans="2:3" x14ac:dyDescent="0.3">
      <c r="B2329" s="171">
        <v>43437</v>
      </c>
      <c r="C2329" s="60">
        <v>4047</v>
      </c>
    </row>
    <row r="2330" spans="2:3" x14ac:dyDescent="0.3">
      <c r="B2330" s="171">
        <v>43434</v>
      </c>
      <c r="C2330" s="60">
        <v>3999.65</v>
      </c>
    </row>
    <row r="2331" spans="2:3" x14ac:dyDescent="0.3">
      <c r="B2331" s="171">
        <v>43433</v>
      </c>
      <c r="C2331" s="60">
        <v>4030.4</v>
      </c>
    </row>
    <row r="2332" spans="2:3" x14ac:dyDescent="0.3">
      <c r="B2332" s="171">
        <v>43432</v>
      </c>
      <c r="C2332" s="60">
        <v>4003.9</v>
      </c>
    </row>
    <row r="2333" spans="2:3" x14ac:dyDescent="0.3">
      <c r="B2333" s="171">
        <v>43431</v>
      </c>
      <c r="C2333" s="60">
        <v>4005</v>
      </c>
    </row>
    <row r="2334" spans="2:3" x14ac:dyDescent="0.3">
      <c r="B2334" s="171">
        <v>43430</v>
      </c>
      <c r="C2334" s="60">
        <v>3959.85</v>
      </c>
    </row>
    <row r="2335" spans="2:3" x14ac:dyDescent="0.3">
      <c r="B2335" s="171">
        <v>43426</v>
      </c>
      <c r="C2335" s="60">
        <v>3950.4</v>
      </c>
    </row>
    <row r="2336" spans="2:3" x14ac:dyDescent="0.3">
      <c r="B2336" s="171">
        <v>43425</v>
      </c>
      <c r="C2336" s="60">
        <v>4043.8</v>
      </c>
    </row>
    <row r="2337" spans="2:3" x14ac:dyDescent="0.3">
      <c r="B2337" s="171">
        <v>43424</v>
      </c>
      <c r="C2337" s="60">
        <v>3976.45</v>
      </c>
    </row>
    <row r="2338" spans="2:3" x14ac:dyDescent="0.3">
      <c r="B2338" s="171">
        <v>43423</v>
      </c>
      <c r="C2338" s="60">
        <v>4031.95</v>
      </c>
    </row>
    <row r="2339" spans="2:3" x14ac:dyDescent="0.3">
      <c r="B2339" s="171">
        <v>43420</v>
      </c>
      <c r="C2339" s="60">
        <v>3962.4</v>
      </c>
    </row>
    <row r="2340" spans="2:3" x14ac:dyDescent="0.3">
      <c r="B2340" s="171">
        <v>43419</v>
      </c>
      <c r="C2340" s="60">
        <v>3912.95</v>
      </c>
    </row>
    <row r="2341" spans="2:3" x14ac:dyDescent="0.3">
      <c r="B2341" s="171">
        <v>43418</v>
      </c>
      <c r="C2341" s="60">
        <v>3917.05</v>
      </c>
    </row>
    <row r="2342" spans="2:3" x14ac:dyDescent="0.3">
      <c r="B2342" s="171">
        <v>43417</v>
      </c>
      <c r="C2342" s="60">
        <v>3829.9</v>
      </c>
    </row>
    <row r="2343" spans="2:3" x14ac:dyDescent="0.3">
      <c r="B2343" s="171">
        <v>43416</v>
      </c>
      <c r="C2343" s="60">
        <v>3726.85</v>
      </c>
    </row>
    <row r="2344" spans="2:3" x14ac:dyDescent="0.3">
      <c r="B2344" s="171">
        <v>43413</v>
      </c>
      <c r="C2344" s="60">
        <v>3817.85</v>
      </c>
    </row>
    <row r="2345" spans="2:3" x14ac:dyDescent="0.3">
      <c r="B2345" s="171">
        <v>43411</v>
      </c>
      <c r="C2345" s="60">
        <v>3782.6</v>
      </c>
    </row>
    <row r="2346" spans="2:3" x14ac:dyDescent="0.3">
      <c r="B2346" s="171">
        <v>43410</v>
      </c>
      <c r="C2346" s="60">
        <v>3744.4</v>
      </c>
    </row>
    <row r="2347" spans="2:3" x14ac:dyDescent="0.3">
      <c r="B2347" s="171">
        <v>43409</v>
      </c>
      <c r="C2347" s="60">
        <v>3774.55</v>
      </c>
    </row>
    <row r="2348" spans="2:3" x14ac:dyDescent="0.3">
      <c r="B2348" s="171">
        <v>43406</v>
      </c>
      <c r="C2348" s="60">
        <v>3730.8</v>
      </c>
    </row>
    <row r="2349" spans="2:3" x14ac:dyDescent="0.3">
      <c r="B2349" s="171">
        <v>43405</v>
      </c>
      <c r="C2349" s="60">
        <v>3601.65</v>
      </c>
    </row>
    <row r="2350" spans="2:3" x14ac:dyDescent="0.3">
      <c r="B2350" s="171">
        <v>43404</v>
      </c>
      <c r="C2350" s="60">
        <v>3499.4</v>
      </c>
    </row>
    <row r="2351" spans="2:3" x14ac:dyDescent="0.3">
      <c r="B2351" s="171">
        <v>43403</v>
      </c>
      <c r="C2351" s="60">
        <v>3463.65</v>
      </c>
    </row>
    <row r="2352" spans="2:3" x14ac:dyDescent="0.3">
      <c r="B2352" s="171">
        <v>43402</v>
      </c>
      <c r="C2352" s="60">
        <v>3441.7</v>
      </c>
    </row>
    <row r="2353" spans="2:3" x14ac:dyDescent="0.3">
      <c r="B2353" s="171">
        <v>43399</v>
      </c>
      <c r="C2353" s="60">
        <v>3386.7</v>
      </c>
    </row>
    <row r="2354" spans="2:3" x14ac:dyDescent="0.3">
      <c r="B2354" s="171">
        <v>43398</v>
      </c>
      <c r="C2354" s="60">
        <v>3347.5</v>
      </c>
    </row>
    <row r="2355" spans="2:3" x14ac:dyDescent="0.3">
      <c r="B2355" s="171">
        <v>43397</v>
      </c>
      <c r="C2355" s="60">
        <v>3383.55</v>
      </c>
    </row>
    <row r="2356" spans="2:3" x14ac:dyDescent="0.3">
      <c r="B2356" s="171">
        <v>43396</v>
      </c>
      <c r="C2356" s="60">
        <v>3343.65</v>
      </c>
    </row>
    <row r="2357" spans="2:3" x14ac:dyDescent="0.3">
      <c r="B2357" s="171">
        <v>43395</v>
      </c>
      <c r="C2357" s="60">
        <v>3463.25</v>
      </c>
    </row>
    <row r="2358" spans="2:3" x14ac:dyDescent="0.3">
      <c r="B2358" s="171">
        <v>43392</v>
      </c>
      <c r="C2358" s="60">
        <v>3609.6</v>
      </c>
    </row>
    <row r="2359" spans="2:3" x14ac:dyDescent="0.3">
      <c r="B2359" s="171">
        <v>43390</v>
      </c>
      <c r="C2359" s="60">
        <v>3723</v>
      </c>
    </row>
    <row r="2360" spans="2:3" x14ac:dyDescent="0.3">
      <c r="B2360" s="171">
        <v>43389</v>
      </c>
      <c r="C2360" s="60">
        <v>3752.7</v>
      </c>
    </row>
    <row r="2361" spans="2:3" x14ac:dyDescent="0.3">
      <c r="B2361" s="171">
        <v>43388</v>
      </c>
      <c r="C2361" s="60">
        <v>3708.4</v>
      </c>
    </row>
    <row r="2362" spans="2:3" x14ac:dyDescent="0.3">
      <c r="B2362" s="171">
        <v>43385</v>
      </c>
      <c r="C2362" s="60">
        <v>3795.15</v>
      </c>
    </row>
    <row r="2363" spans="2:3" x14ac:dyDescent="0.3">
      <c r="B2363" s="171">
        <v>43384</v>
      </c>
      <c r="C2363" s="60">
        <v>3688.75</v>
      </c>
    </row>
    <row r="2364" spans="2:3" x14ac:dyDescent="0.3">
      <c r="B2364" s="171">
        <v>43383</v>
      </c>
      <c r="C2364" s="60">
        <v>3778</v>
      </c>
    </row>
    <row r="2365" spans="2:3" x14ac:dyDescent="0.3">
      <c r="B2365" s="171">
        <v>43382</v>
      </c>
      <c r="C2365" s="60">
        <v>3782</v>
      </c>
    </row>
    <row r="2366" spans="2:3" x14ac:dyDescent="0.3">
      <c r="B2366" s="171">
        <v>43381</v>
      </c>
      <c r="C2366" s="60">
        <v>3758.9</v>
      </c>
    </row>
    <row r="2367" spans="2:3" x14ac:dyDescent="0.3">
      <c r="B2367" s="171">
        <v>43378</v>
      </c>
      <c r="C2367" s="60">
        <v>3793.8</v>
      </c>
    </row>
    <row r="2368" spans="2:3" x14ac:dyDescent="0.3">
      <c r="B2368" s="171">
        <v>43377</v>
      </c>
      <c r="C2368" s="60">
        <v>3943.65</v>
      </c>
    </row>
    <row r="2369" spans="2:3" x14ac:dyDescent="0.3">
      <c r="B2369" s="171">
        <v>43376</v>
      </c>
      <c r="C2369" s="60">
        <v>3860.3</v>
      </c>
    </row>
    <row r="2370" spans="2:3" x14ac:dyDescent="0.3">
      <c r="B2370" s="171">
        <v>43374</v>
      </c>
      <c r="C2370" s="60">
        <v>3940.2</v>
      </c>
    </row>
    <row r="2371" spans="2:3" x14ac:dyDescent="0.3">
      <c r="B2371" s="171">
        <v>43371</v>
      </c>
      <c r="C2371" s="60">
        <v>4059.95</v>
      </c>
    </row>
    <row r="2372" spans="2:3" x14ac:dyDescent="0.3">
      <c r="B2372" s="171">
        <v>43370</v>
      </c>
      <c r="C2372" s="60">
        <v>4120.3999999999996</v>
      </c>
    </row>
    <row r="2373" spans="2:3" x14ac:dyDescent="0.3">
      <c r="B2373" s="171">
        <v>43369</v>
      </c>
      <c r="C2373" s="60">
        <v>4067.55</v>
      </c>
    </row>
    <row r="2374" spans="2:3" x14ac:dyDescent="0.3">
      <c r="B2374" s="171">
        <v>43368</v>
      </c>
      <c r="C2374" s="60">
        <v>4028.7</v>
      </c>
    </row>
    <row r="2375" spans="2:3" x14ac:dyDescent="0.3">
      <c r="B2375" s="171">
        <v>43367</v>
      </c>
      <c r="C2375" s="60">
        <v>3974.9</v>
      </c>
    </row>
    <row r="2376" spans="2:3" x14ac:dyDescent="0.3">
      <c r="B2376" s="171">
        <v>43364</v>
      </c>
      <c r="C2376" s="60">
        <v>4069.35</v>
      </c>
    </row>
    <row r="2377" spans="2:3" x14ac:dyDescent="0.3">
      <c r="B2377" s="171">
        <v>43362</v>
      </c>
      <c r="C2377" s="60">
        <v>4050.7</v>
      </c>
    </row>
    <row r="2378" spans="2:3" x14ac:dyDescent="0.3">
      <c r="B2378" s="171">
        <v>43361</v>
      </c>
      <c r="C2378" s="60">
        <v>4059.95</v>
      </c>
    </row>
    <row r="2379" spans="2:3" x14ac:dyDescent="0.3">
      <c r="B2379" s="171">
        <v>43360</v>
      </c>
      <c r="C2379" s="60">
        <v>4103.5</v>
      </c>
    </row>
    <row r="2380" spans="2:3" x14ac:dyDescent="0.3">
      <c r="B2380" s="171">
        <v>43357</v>
      </c>
      <c r="C2380" s="60">
        <v>4189.1000000000004</v>
      </c>
    </row>
    <row r="2381" spans="2:3" x14ac:dyDescent="0.3">
      <c r="B2381" s="171">
        <v>43355</v>
      </c>
      <c r="C2381" s="60">
        <v>4096.3500000000004</v>
      </c>
    </row>
    <row r="2382" spans="2:3" x14ac:dyDescent="0.3">
      <c r="B2382" s="171">
        <v>43354</v>
      </c>
      <c r="C2382" s="60">
        <v>4107.6000000000004</v>
      </c>
    </row>
    <row r="2383" spans="2:3" x14ac:dyDescent="0.3">
      <c r="B2383" s="171">
        <v>43353</v>
      </c>
      <c r="C2383" s="60">
        <v>4154.6499999999996</v>
      </c>
    </row>
    <row r="2384" spans="2:3" x14ac:dyDescent="0.3">
      <c r="B2384" s="171">
        <v>43350</v>
      </c>
      <c r="C2384" s="60">
        <v>4268.2</v>
      </c>
    </row>
    <row r="2385" spans="2:3" x14ac:dyDescent="0.3">
      <c r="B2385" s="171">
        <v>43349</v>
      </c>
      <c r="C2385" s="60">
        <v>4153.2</v>
      </c>
    </row>
    <row r="2386" spans="2:3" x14ac:dyDescent="0.3">
      <c r="B2386" s="171">
        <v>43348</v>
      </c>
      <c r="C2386" s="60">
        <v>4159.45</v>
      </c>
    </row>
    <row r="2387" spans="2:3" x14ac:dyDescent="0.3">
      <c r="B2387" s="171">
        <v>43347</v>
      </c>
      <c r="C2387" s="60">
        <v>4201.1499999999996</v>
      </c>
    </row>
    <row r="2388" spans="2:3" x14ac:dyDescent="0.3">
      <c r="B2388" s="171">
        <v>43346</v>
      </c>
      <c r="C2388" s="60">
        <v>4373.55</v>
      </c>
    </row>
    <row r="2389" spans="2:3" x14ac:dyDescent="0.3">
      <c r="B2389" s="171">
        <v>43343</v>
      </c>
      <c r="C2389" s="60">
        <v>4475.5</v>
      </c>
    </row>
    <row r="2390" spans="2:3" x14ac:dyDescent="0.3">
      <c r="B2390" s="171">
        <v>43342</v>
      </c>
      <c r="C2390" s="60">
        <v>4426.3999999999996</v>
      </c>
    </row>
    <row r="2391" spans="2:3" x14ac:dyDescent="0.3">
      <c r="B2391" s="171">
        <v>43341</v>
      </c>
      <c r="C2391" s="60">
        <v>4401.95</v>
      </c>
    </row>
    <row r="2392" spans="2:3" x14ac:dyDescent="0.3">
      <c r="B2392" s="171">
        <v>43340</v>
      </c>
      <c r="C2392" s="60">
        <v>4427.6499999999996</v>
      </c>
    </row>
    <row r="2393" spans="2:3" x14ac:dyDescent="0.3">
      <c r="B2393" s="171">
        <v>43339</v>
      </c>
      <c r="C2393" s="60">
        <v>4370.8</v>
      </c>
    </row>
    <row r="2394" spans="2:3" x14ac:dyDescent="0.3">
      <c r="B2394" s="171">
        <v>43336</v>
      </c>
      <c r="C2394" s="60">
        <v>4316</v>
      </c>
    </row>
    <row r="2395" spans="2:3" x14ac:dyDescent="0.3">
      <c r="B2395" s="171">
        <v>43335</v>
      </c>
      <c r="C2395" s="60">
        <v>4347.25</v>
      </c>
    </row>
    <row r="2396" spans="2:3" x14ac:dyDescent="0.3">
      <c r="B2396" s="171">
        <v>43333</v>
      </c>
      <c r="C2396" s="60">
        <v>4350.2</v>
      </c>
    </row>
    <row r="2397" spans="2:3" x14ac:dyDescent="0.3">
      <c r="B2397" s="171">
        <v>43332</v>
      </c>
      <c r="C2397" s="60">
        <v>4300.7</v>
      </c>
    </row>
    <row r="2398" spans="2:3" x14ac:dyDescent="0.3">
      <c r="B2398" s="171">
        <v>43329</v>
      </c>
      <c r="C2398" s="60">
        <v>4285.7</v>
      </c>
    </row>
    <row r="2399" spans="2:3" x14ac:dyDescent="0.3">
      <c r="B2399" s="171">
        <v>43328</v>
      </c>
      <c r="C2399" s="60">
        <v>4213.5</v>
      </c>
    </row>
    <row r="2400" spans="2:3" x14ac:dyDescent="0.3">
      <c r="B2400" s="171">
        <v>43326</v>
      </c>
      <c r="C2400" s="60">
        <v>4299.1000000000004</v>
      </c>
    </row>
    <row r="2401" spans="2:3" x14ac:dyDescent="0.3">
      <c r="B2401" s="171">
        <v>43325</v>
      </c>
      <c r="C2401" s="60">
        <v>4194.2</v>
      </c>
    </row>
    <row r="2402" spans="2:3" x14ac:dyDescent="0.3">
      <c r="B2402" s="171">
        <v>43322</v>
      </c>
      <c r="C2402" s="60">
        <v>4246.2</v>
      </c>
    </row>
    <row r="2403" spans="2:3" x14ac:dyDescent="0.3">
      <c r="B2403" s="171">
        <v>43321</v>
      </c>
      <c r="C2403" s="60">
        <v>4310.8</v>
      </c>
    </row>
    <row r="2404" spans="2:3" x14ac:dyDescent="0.3">
      <c r="B2404" s="171">
        <v>43320</v>
      </c>
      <c r="C2404" s="60">
        <v>4244.1000000000004</v>
      </c>
    </row>
    <row r="2405" spans="2:3" x14ac:dyDescent="0.3">
      <c r="B2405" s="171">
        <v>43319</v>
      </c>
      <c r="C2405" s="60">
        <v>4206.7</v>
      </c>
    </row>
    <row r="2406" spans="2:3" x14ac:dyDescent="0.3">
      <c r="B2406" s="171">
        <v>43318</v>
      </c>
      <c r="C2406" s="60">
        <v>4177.8</v>
      </c>
    </row>
    <row r="2407" spans="2:3" x14ac:dyDescent="0.3">
      <c r="B2407" s="171">
        <v>43315</v>
      </c>
      <c r="C2407" s="60">
        <v>4167.75</v>
      </c>
    </row>
    <row r="2408" spans="2:3" x14ac:dyDescent="0.3">
      <c r="B2408" s="171">
        <v>43314</v>
      </c>
      <c r="C2408" s="60">
        <v>4183.5</v>
      </c>
    </row>
    <row r="2409" spans="2:3" x14ac:dyDescent="0.3">
      <c r="B2409" s="171">
        <v>43313</v>
      </c>
      <c r="C2409" s="60">
        <v>4193.05</v>
      </c>
    </row>
    <row r="2410" spans="2:3" x14ac:dyDescent="0.3">
      <c r="B2410" s="171">
        <v>43312</v>
      </c>
      <c r="C2410" s="60">
        <v>4193.8</v>
      </c>
    </row>
    <row r="2411" spans="2:3" x14ac:dyDescent="0.3">
      <c r="B2411" s="171">
        <v>43311</v>
      </c>
      <c r="C2411" s="60">
        <v>4243.3500000000004</v>
      </c>
    </row>
    <row r="2412" spans="2:3" x14ac:dyDescent="0.3">
      <c r="B2412" s="171">
        <v>43308</v>
      </c>
      <c r="C2412" s="60">
        <v>4124.6499999999996</v>
      </c>
    </row>
    <row r="2413" spans="2:3" x14ac:dyDescent="0.3">
      <c r="B2413" s="171">
        <v>43307</v>
      </c>
      <c r="C2413" s="60">
        <v>4142.8</v>
      </c>
    </row>
    <row r="2414" spans="2:3" x14ac:dyDescent="0.3">
      <c r="B2414" s="171">
        <v>43306</v>
      </c>
      <c r="C2414" s="60">
        <v>4044.85</v>
      </c>
    </row>
    <row r="2415" spans="2:3" x14ac:dyDescent="0.3">
      <c r="B2415" s="171">
        <v>43305</v>
      </c>
      <c r="C2415" s="60">
        <v>4136.8</v>
      </c>
    </row>
    <row r="2416" spans="2:3" x14ac:dyDescent="0.3">
      <c r="B2416" s="171">
        <v>43304</v>
      </c>
      <c r="C2416" s="60">
        <v>4009.65</v>
      </c>
    </row>
    <row r="2417" spans="2:3" x14ac:dyDescent="0.3">
      <c r="B2417" s="171">
        <v>43301</v>
      </c>
      <c r="C2417" s="60">
        <v>3871.7</v>
      </c>
    </row>
    <row r="2418" spans="2:3" x14ac:dyDescent="0.3">
      <c r="B2418" s="171">
        <v>43300</v>
      </c>
      <c r="C2418" s="60">
        <v>3857.25</v>
      </c>
    </row>
    <row r="2419" spans="2:3" x14ac:dyDescent="0.3">
      <c r="B2419" s="171">
        <v>43299</v>
      </c>
      <c r="C2419" s="60">
        <v>3849.35</v>
      </c>
    </row>
    <row r="2420" spans="2:3" x14ac:dyDescent="0.3">
      <c r="B2420" s="171">
        <v>43298</v>
      </c>
      <c r="C2420" s="60">
        <v>3895.2</v>
      </c>
    </row>
    <row r="2421" spans="2:3" x14ac:dyDescent="0.3">
      <c r="B2421" s="171">
        <v>43297</v>
      </c>
      <c r="C2421" s="60">
        <v>3864</v>
      </c>
    </row>
    <row r="2422" spans="2:3" x14ac:dyDescent="0.3">
      <c r="B2422" s="171">
        <v>43294</v>
      </c>
      <c r="C2422" s="60">
        <v>3963.75</v>
      </c>
    </row>
    <row r="2423" spans="2:3" x14ac:dyDescent="0.3">
      <c r="B2423" s="171">
        <v>43293</v>
      </c>
      <c r="C2423" s="60">
        <v>3946.95</v>
      </c>
    </row>
    <row r="2424" spans="2:3" x14ac:dyDescent="0.3">
      <c r="B2424" s="171">
        <v>43292</v>
      </c>
      <c r="C2424" s="60">
        <v>3951.8</v>
      </c>
    </row>
    <row r="2425" spans="2:3" x14ac:dyDescent="0.3">
      <c r="B2425" s="171">
        <v>43291</v>
      </c>
      <c r="C2425" s="60">
        <v>3959.8</v>
      </c>
    </row>
    <row r="2426" spans="2:3" x14ac:dyDescent="0.3">
      <c r="B2426" s="171">
        <v>43290</v>
      </c>
      <c r="C2426" s="60">
        <v>3899.25</v>
      </c>
    </row>
    <row r="2427" spans="2:3" x14ac:dyDescent="0.3">
      <c r="B2427" s="171">
        <v>43287</v>
      </c>
      <c r="C2427" s="60">
        <v>3954.35</v>
      </c>
    </row>
    <row r="2428" spans="2:3" x14ac:dyDescent="0.3">
      <c r="B2428" s="171">
        <v>43286</v>
      </c>
      <c r="C2428" s="60">
        <v>3936.25</v>
      </c>
    </row>
    <row r="2429" spans="2:3" x14ac:dyDescent="0.3">
      <c r="B2429" s="171">
        <v>43285</v>
      </c>
      <c r="C2429" s="60">
        <v>3790.65</v>
      </c>
    </row>
    <row r="2430" spans="2:3" x14ac:dyDescent="0.3">
      <c r="B2430" s="171">
        <v>43284</v>
      </c>
      <c r="C2430" s="60">
        <v>3749.85</v>
      </c>
    </row>
    <row r="2431" spans="2:3" x14ac:dyDescent="0.3">
      <c r="B2431" s="171">
        <v>43283</v>
      </c>
      <c r="C2431" s="60">
        <v>3777.3</v>
      </c>
    </row>
    <row r="2432" spans="2:3" x14ac:dyDescent="0.3">
      <c r="B2432" s="171">
        <v>43280</v>
      </c>
      <c r="C2432" s="60">
        <v>3818.6</v>
      </c>
    </row>
    <row r="2433" spans="2:3" x14ac:dyDescent="0.3">
      <c r="B2433" s="171">
        <v>43279</v>
      </c>
      <c r="C2433" s="60">
        <v>3721.4</v>
      </c>
    </row>
    <row r="2434" spans="2:3" x14ac:dyDescent="0.3">
      <c r="B2434" s="171">
        <v>43278</v>
      </c>
      <c r="C2434" s="60">
        <v>3773.15</v>
      </c>
    </row>
    <row r="2435" spans="2:3" x14ac:dyDescent="0.3">
      <c r="B2435" s="171">
        <v>43277</v>
      </c>
      <c r="C2435" s="60">
        <v>3840.1</v>
      </c>
    </row>
    <row r="2436" spans="2:3" x14ac:dyDescent="0.3">
      <c r="B2436" s="171">
        <v>43276</v>
      </c>
      <c r="C2436" s="60">
        <v>3752</v>
      </c>
    </row>
    <row r="2437" spans="2:3" x14ac:dyDescent="0.3">
      <c r="B2437" s="171">
        <v>43273</v>
      </c>
      <c r="C2437" s="60">
        <v>3641.05</v>
      </c>
    </row>
    <row r="2438" spans="2:3" x14ac:dyDescent="0.3">
      <c r="B2438" s="171">
        <v>43272</v>
      </c>
      <c r="C2438" s="60">
        <v>3616.9</v>
      </c>
    </row>
    <row r="2439" spans="2:3" x14ac:dyDescent="0.3">
      <c r="B2439" s="171">
        <v>43271</v>
      </c>
      <c r="C2439" s="60">
        <v>3651.35</v>
      </c>
    </row>
    <row r="2440" spans="2:3" x14ac:dyDescent="0.3">
      <c r="B2440" s="171">
        <v>43270</v>
      </c>
      <c r="C2440" s="60">
        <v>3648</v>
      </c>
    </row>
    <row r="2441" spans="2:3" x14ac:dyDescent="0.3">
      <c r="B2441" s="171">
        <v>43269</v>
      </c>
      <c r="C2441" s="60">
        <v>3669.5</v>
      </c>
    </row>
    <row r="2442" spans="2:3" x14ac:dyDescent="0.3">
      <c r="B2442" s="171">
        <v>43266</v>
      </c>
      <c r="C2442" s="60">
        <v>3691.65</v>
      </c>
    </row>
    <row r="2443" spans="2:3" x14ac:dyDescent="0.3">
      <c r="B2443" s="171">
        <v>43265</v>
      </c>
      <c r="C2443" s="60">
        <v>3767</v>
      </c>
    </row>
    <row r="2444" spans="2:3" x14ac:dyDescent="0.3">
      <c r="B2444" s="171">
        <v>43264</v>
      </c>
      <c r="C2444" s="60">
        <v>3800.6</v>
      </c>
    </row>
    <row r="2445" spans="2:3" x14ac:dyDescent="0.3">
      <c r="B2445" s="171">
        <v>43263</v>
      </c>
      <c r="C2445" s="60">
        <v>3766.2</v>
      </c>
    </row>
    <row r="2446" spans="2:3" x14ac:dyDescent="0.3">
      <c r="B2446" s="171">
        <v>43262</v>
      </c>
      <c r="C2446" s="60">
        <v>3790.1</v>
      </c>
    </row>
    <row r="2447" spans="2:3" x14ac:dyDescent="0.3">
      <c r="B2447" s="171">
        <v>43259</v>
      </c>
      <c r="C2447" s="60">
        <v>3715.15</v>
      </c>
    </row>
    <row r="2448" spans="2:3" x14ac:dyDescent="0.3">
      <c r="B2448" s="171">
        <v>43258</v>
      </c>
      <c r="C2448" s="60">
        <v>3723.15</v>
      </c>
    </row>
    <row r="2449" spans="2:3" x14ac:dyDescent="0.3">
      <c r="B2449" s="171">
        <v>43257</v>
      </c>
      <c r="C2449" s="60">
        <v>3696.35</v>
      </c>
    </row>
    <row r="2450" spans="2:3" x14ac:dyDescent="0.3">
      <c r="B2450" s="171">
        <v>43256</v>
      </c>
      <c r="C2450" s="60">
        <v>3676.85</v>
      </c>
    </row>
    <row r="2451" spans="2:3" x14ac:dyDescent="0.3">
      <c r="B2451" s="171">
        <v>43255</v>
      </c>
      <c r="C2451" s="60">
        <v>3711.15</v>
      </c>
    </row>
    <row r="2452" spans="2:3" x14ac:dyDescent="0.3">
      <c r="B2452" s="171">
        <v>43252</v>
      </c>
      <c r="C2452" s="60">
        <v>3688.15</v>
      </c>
    </row>
    <row r="2453" spans="2:3" x14ac:dyDescent="0.3">
      <c r="B2453" s="171">
        <v>43251</v>
      </c>
      <c r="C2453" s="60">
        <v>3744.9</v>
      </c>
    </row>
    <row r="2454" spans="2:3" x14ac:dyDescent="0.3">
      <c r="B2454" s="171">
        <v>43250</v>
      </c>
      <c r="C2454" s="60">
        <v>3706.65</v>
      </c>
    </row>
    <row r="2455" spans="2:3" x14ac:dyDescent="0.3">
      <c r="B2455" s="171">
        <v>43249</v>
      </c>
      <c r="C2455" s="60">
        <v>3716.05</v>
      </c>
    </row>
    <row r="2456" spans="2:3" x14ac:dyDescent="0.3">
      <c r="B2456" s="171">
        <v>43248</v>
      </c>
      <c r="C2456" s="60">
        <v>3730.3</v>
      </c>
    </row>
    <row r="2457" spans="2:3" x14ac:dyDescent="0.3">
      <c r="B2457" s="171">
        <v>43245</v>
      </c>
      <c r="C2457" s="60">
        <v>3682.15</v>
      </c>
    </row>
    <row r="2458" spans="2:3" x14ac:dyDescent="0.3">
      <c r="B2458" s="171">
        <v>43244</v>
      </c>
      <c r="C2458" s="60">
        <v>3658.4</v>
      </c>
    </row>
    <row r="2459" spans="2:3" x14ac:dyDescent="0.3">
      <c r="B2459" s="171">
        <v>43243</v>
      </c>
      <c r="C2459" s="60">
        <v>3700.8</v>
      </c>
    </row>
    <row r="2460" spans="2:3" x14ac:dyDescent="0.3">
      <c r="B2460" s="171">
        <v>43242</v>
      </c>
      <c r="C2460" s="60">
        <v>3755.55</v>
      </c>
    </row>
    <row r="2461" spans="2:3" x14ac:dyDescent="0.3">
      <c r="B2461" s="171">
        <v>43241</v>
      </c>
      <c r="C2461" s="60">
        <v>3852.25</v>
      </c>
    </row>
    <row r="2462" spans="2:3" x14ac:dyDescent="0.3">
      <c r="B2462" s="171">
        <v>43238</v>
      </c>
      <c r="C2462" s="60">
        <v>3858.85</v>
      </c>
    </row>
    <row r="2463" spans="2:3" x14ac:dyDescent="0.3">
      <c r="B2463" s="171">
        <v>43237</v>
      </c>
      <c r="C2463" s="60">
        <v>3957.8</v>
      </c>
    </row>
    <row r="2464" spans="2:3" x14ac:dyDescent="0.3">
      <c r="B2464" s="171">
        <v>43236</v>
      </c>
      <c r="C2464" s="60">
        <v>3990.75</v>
      </c>
    </row>
    <row r="2465" spans="2:3" x14ac:dyDescent="0.3">
      <c r="B2465" s="171">
        <v>43235</v>
      </c>
      <c r="C2465" s="60">
        <v>4109.3</v>
      </c>
    </row>
    <row r="2466" spans="2:3" x14ac:dyDescent="0.3">
      <c r="B2466" s="171">
        <v>43234</v>
      </c>
      <c r="C2466" s="60">
        <v>4107.05</v>
      </c>
    </row>
    <row r="2467" spans="2:3" x14ac:dyDescent="0.3">
      <c r="B2467" s="171">
        <v>43231</v>
      </c>
      <c r="C2467" s="60">
        <v>4071.6</v>
      </c>
    </row>
    <row r="2468" spans="2:3" x14ac:dyDescent="0.3">
      <c r="B2468" s="171">
        <v>43230</v>
      </c>
      <c r="C2468" s="60">
        <v>3998.55</v>
      </c>
    </row>
    <row r="2469" spans="2:3" x14ac:dyDescent="0.3">
      <c r="B2469" s="171">
        <v>43229</v>
      </c>
      <c r="C2469" s="60">
        <v>3966.25</v>
      </c>
    </row>
    <row r="2470" spans="2:3" x14ac:dyDescent="0.3">
      <c r="B2470" s="171">
        <v>43228</v>
      </c>
      <c r="C2470" s="60">
        <v>4064.1</v>
      </c>
    </row>
    <row r="2471" spans="2:3" x14ac:dyDescent="0.3">
      <c r="B2471" s="171">
        <v>43227</v>
      </c>
      <c r="C2471" s="60">
        <v>4033.4</v>
      </c>
    </row>
    <row r="2472" spans="2:3" x14ac:dyDescent="0.3">
      <c r="B2472" s="171">
        <v>43224</v>
      </c>
      <c r="C2472" s="60">
        <v>3985.85</v>
      </c>
    </row>
    <row r="2473" spans="2:3" x14ac:dyDescent="0.3">
      <c r="B2473" s="171">
        <v>43223</v>
      </c>
      <c r="C2473" s="60">
        <v>3995.35</v>
      </c>
    </row>
    <row r="2474" spans="2:3" x14ac:dyDescent="0.3">
      <c r="B2474" s="171">
        <v>43222</v>
      </c>
      <c r="C2474" s="60">
        <v>4016.5</v>
      </c>
    </row>
    <row r="2475" spans="2:3" x14ac:dyDescent="0.3">
      <c r="B2475" s="171">
        <v>43220</v>
      </c>
      <c r="C2475" s="60">
        <v>4108.8500000000004</v>
      </c>
    </row>
    <row r="2476" spans="2:3" x14ac:dyDescent="0.3">
      <c r="B2476" s="171">
        <v>43217</v>
      </c>
      <c r="C2476" s="60">
        <v>4062.35</v>
      </c>
    </row>
    <row r="2477" spans="2:3" x14ac:dyDescent="0.3">
      <c r="B2477" s="171">
        <v>43216</v>
      </c>
      <c r="C2477" s="60">
        <v>4079.45</v>
      </c>
    </row>
    <row r="2478" spans="2:3" x14ac:dyDescent="0.3">
      <c r="B2478" s="171">
        <v>43215</v>
      </c>
      <c r="C2478" s="60">
        <v>4134.8</v>
      </c>
    </row>
    <row r="2479" spans="2:3" x14ac:dyDescent="0.3">
      <c r="B2479" s="171">
        <v>43214</v>
      </c>
      <c r="C2479" s="60">
        <v>4119.25</v>
      </c>
    </row>
    <row r="2480" spans="2:3" x14ac:dyDescent="0.3">
      <c r="B2480" s="171">
        <v>43213</v>
      </c>
      <c r="C2480" s="60">
        <v>4143.7</v>
      </c>
    </row>
    <row r="2481" spans="2:3" x14ac:dyDescent="0.3">
      <c r="B2481" s="171">
        <v>43210</v>
      </c>
      <c r="C2481" s="60">
        <v>4080.9</v>
      </c>
    </row>
    <row r="2482" spans="2:3" x14ac:dyDescent="0.3">
      <c r="B2482" s="171">
        <v>43209</v>
      </c>
      <c r="C2482" s="60">
        <v>4103.45</v>
      </c>
    </row>
    <row r="2483" spans="2:3" x14ac:dyDescent="0.3">
      <c r="B2483" s="171">
        <v>43208</v>
      </c>
      <c r="C2483" s="60">
        <v>3992.35</v>
      </c>
    </row>
    <row r="2484" spans="2:3" x14ac:dyDescent="0.3">
      <c r="B2484" s="171">
        <v>43207</v>
      </c>
      <c r="C2484" s="60">
        <v>3917.25</v>
      </c>
    </row>
    <row r="2485" spans="2:3" x14ac:dyDescent="0.3">
      <c r="B2485" s="171">
        <v>43206</v>
      </c>
      <c r="C2485" s="60">
        <v>3917</v>
      </c>
    </row>
    <row r="2486" spans="2:3" x14ac:dyDescent="0.3">
      <c r="B2486" s="171">
        <v>43203</v>
      </c>
      <c r="C2486" s="60">
        <v>3878.95</v>
      </c>
    </row>
    <row r="2487" spans="2:3" x14ac:dyDescent="0.3">
      <c r="B2487" s="171">
        <v>43202</v>
      </c>
      <c r="C2487" s="60">
        <v>3872.3</v>
      </c>
    </row>
    <row r="2488" spans="2:3" x14ac:dyDescent="0.3">
      <c r="B2488" s="171">
        <v>43201</v>
      </c>
      <c r="C2488" s="60">
        <v>3924.65</v>
      </c>
    </row>
    <row r="2489" spans="2:3" x14ac:dyDescent="0.3">
      <c r="B2489" s="171">
        <v>43200</v>
      </c>
      <c r="C2489" s="60">
        <v>3931.2</v>
      </c>
    </row>
    <row r="2490" spans="2:3" x14ac:dyDescent="0.3">
      <c r="B2490" s="171">
        <v>43199</v>
      </c>
      <c r="C2490" s="60">
        <v>3918.2</v>
      </c>
    </row>
    <row r="2491" spans="2:3" x14ac:dyDescent="0.3">
      <c r="B2491" s="171">
        <v>43196</v>
      </c>
      <c r="C2491" s="60">
        <v>3949.5</v>
      </c>
    </row>
    <row r="2492" spans="2:3" x14ac:dyDescent="0.3">
      <c r="B2492" s="171">
        <v>43195</v>
      </c>
      <c r="C2492" s="60">
        <v>3966.6</v>
      </c>
    </row>
    <row r="2493" spans="2:3" x14ac:dyDescent="0.3">
      <c r="B2493" s="171">
        <v>43194</v>
      </c>
      <c r="C2493" s="60">
        <v>3881.3</v>
      </c>
    </row>
    <row r="2494" spans="2:3" x14ac:dyDescent="0.3">
      <c r="B2494" s="171">
        <v>43193</v>
      </c>
      <c r="C2494" s="60">
        <v>3951.2</v>
      </c>
    </row>
    <row r="2495" spans="2:3" x14ac:dyDescent="0.3">
      <c r="B2495" s="171">
        <v>43192</v>
      </c>
      <c r="C2495" s="60">
        <v>3978.5</v>
      </c>
    </row>
    <row r="2496" spans="2:3" x14ac:dyDescent="0.3">
      <c r="B2496" s="171">
        <v>43187</v>
      </c>
      <c r="C2496" s="60">
        <v>3950</v>
      </c>
    </row>
    <row r="2497" spans="2:3" x14ac:dyDescent="0.3">
      <c r="B2497" s="171">
        <v>43186</v>
      </c>
      <c r="C2497" s="60">
        <v>3978.6</v>
      </c>
    </row>
    <row r="2498" spans="2:3" x14ac:dyDescent="0.3">
      <c r="B2498" s="171">
        <v>43185</v>
      </c>
      <c r="C2498" s="60">
        <v>3950</v>
      </c>
    </row>
    <row r="2499" spans="2:3" x14ac:dyDescent="0.3">
      <c r="B2499" s="171">
        <v>43182</v>
      </c>
      <c r="C2499" s="60">
        <v>3873.75</v>
      </c>
    </row>
    <row r="2500" spans="2:3" x14ac:dyDescent="0.3">
      <c r="B2500" s="171">
        <v>43181</v>
      </c>
      <c r="C2500" s="60">
        <v>3925.15</v>
      </c>
    </row>
    <row r="2501" spans="2:3" x14ac:dyDescent="0.3">
      <c r="B2501" s="171">
        <v>43180</v>
      </c>
      <c r="C2501" s="60">
        <v>3999.2</v>
      </c>
    </row>
    <row r="2502" spans="2:3" x14ac:dyDescent="0.3">
      <c r="B2502" s="171">
        <v>43179</v>
      </c>
      <c r="C2502" s="60">
        <v>3936.8</v>
      </c>
    </row>
    <row r="2503" spans="2:3" x14ac:dyDescent="0.3">
      <c r="B2503" s="171">
        <v>43178</v>
      </c>
      <c r="C2503" s="60">
        <v>3972.4</v>
      </c>
    </row>
    <row r="2504" spans="2:3" x14ac:dyDescent="0.3">
      <c r="B2504" s="171">
        <v>43175</v>
      </c>
      <c r="C2504" s="60">
        <v>4026.3</v>
      </c>
    </row>
    <row r="2505" spans="2:3" x14ac:dyDescent="0.3">
      <c r="B2505" s="171">
        <v>43174</v>
      </c>
      <c r="C2505" s="60">
        <v>4189.3999999999996</v>
      </c>
    </row>
    <row r="2506" spans="2:3" x14ac:dyDescent="0.3">
      <c r="B2506" s="171">
        <v>43173</v>
      </c>
      <c r="C2506" s="60">
        <v>4230.25</v>
      </c>
    </row>
    <row r="2507" spans="2:3" x14ac:dyDescent="0.3">
      <c r="B2507" s="171">
        <v>43172</v>
      </c>
      <c r="C2507" s="60">
        <v>4170</v>
      </c>
    </row>
    <row r="2508" spans="2:3" x14ac:dyDescent="0.3">
      <c r="B2508" s="171">
        <v>43171</v>
      </c>
      <c r="C2508" s="60">
        <v>4176</v>
      </c>
    </row>
    <row r="2509" spans="2:3" x14ac:dyDescent="0.3">
      <c r="B2509" s="171">
        <v>43168</v>
      </c>
      <c r="C2509" s="60">
        <v>4079.85</v>
      </c>
    </row>
    <row r="2510" spans="2:3" x14ac:dyDescent="0.3">
      <c r="B2510" s="171">
        <v>43167</v>
      </c>
      <c r="C2510" s="60">
        <v>4119.8999999999996</v>
      </c>
    </row>
    <row r="2511" spans="2:3" x14ac:dyDescent="0.3">
      <c r="B2511" s="171">
        <v>43166</v>
      </c>
      <c r="C2511" s="60">
        <v>4113.45</v>
      </c>
    </row>
    <row r="2512" spans="2:3" x14ac:dyDescent="0.3">
      <c r="B2512" s="171">
        <v>43165</v>
      </c>
      <c r="C2512" s="60">
        <v>4150.3</v>
      </c>
    </row>
    <row r="2513" spans="2:3" x14ac:dyDescent="0.3">
      <c r="B2513" s="171">
        <v>43164</v>
      </c>
      <c r="C2513" s="60">
        <v>4095.4</v>
      </c>
    </row>
    <row r="2514" spans="2:3" x14ac:dyDescent="0.3">
      <c r="B2514" s="171">
        <v>43160</v>
      </c>
      <c r="C2514" s="60">
        <v>4153.3</v>
      </c>
    </row>
    <row r="2515" spans="2:3" x14ac:dyDescent="0.3">
      <c r="B2515" s="171">
        <v>43159</v>
      </c>
      <c r="C2515" s="60">
        <v>4155.6000000000004</v>
      </c>
    </row>
    <row r="2516" spans="2:3" x14ac:dyDescent="0.3">
      <c r="B2516" s="171">
        <v>43158</v>
      </c>
      <c r="C2516" s="60">
        <v>4176.1000000000004</v>
      </c>
    </row>
    <row r="2517" spans="2:3" x14ac:dyDescent="0.3">
      <c r="B2517" s="171">
        <v>43157</v>
      </c>
      <c r="C2517" s="60">
        <v>4140.8</v>
      </c>
    </row>
    <row r="2518" spans="2:3" x14ac:dyDescent="0.3">
      <c r="B2518" s="171">
        <v>43154</v>
      </c>
      <c r="C2518" s="60">
        <v>4116.3999999999996</v>
      </c>
    </row>
    <row r="2519" spans="2:3" x14ac:dyDescent="0.3">
      <c r="B2519" s="171">
        <v>43153</v>
      </c>
      <c r="C2519" s="60">
        <v>4099.8999999999996</v>
      </c>
    </row>
    <row r="2520" spans="2:3" x14ac:dyDescent="0.3">
      <c r="B2520" s="171">
        <v>43152</v>
      </c>
      <c r="C2520" s="60">
        <v>4131.55</v>
      </c>
    </row>
    <row r="2521" spans="2:3" x14ac:dyDescent="0.3">
      <c r="B2521" s="171">
        <v>43151</v>
      </c>
      <c r="C2521" s="60">
        <v>4140.6000000000004</v>
      </c>
    </row>
    <row r="2522" spans="2:3" x14ac:dyDescent="0.3">
      <c r="B2522" s="171">
        <v>43150</v>
      </c>
      <c r="C2522" s="60">
        <v>4116.6000000000004</v>
      </c>
    </row>
    <row r="2523" spans="2:3" x14ac:dyDescent="0.3">
      <c r="B2523" s="171">
        <v>43147</v>
      </c>
      <c r="C2523" s="60">
        <v>4166.3500000000004</v>
      </c>
    </row>
    <row r="2524" spans="2:3" x14ac:dyDescent="0.3">
      <c r="B2524" s="171">
        <v>43146</v>
      </c>
      <c r="C2524" s="60">
        <v>4187.8500000000004</v>
      </c>
    </row>
    <row r="2525" spans="2:3" x14ac:dyDescent="0.3">
      <c r="B2525" s="171">
        <v>43145</v>
      </c>
      <c r="C2525" s="60">
        <v>4175.5</v>
      </c>
    </row>
    <row r="2526" spans="2:3" x14ac:dyDescent="0.3">
      <c r="B2526" s="171">
        <v>43143</v>
      </c>
      <c r="C2526" s="60">
        <v>4200.3</v>
      </c>
    </row>
    <row r="2527" spans="2:3" x14ac:dyDescent="0.3">
      <c r="B2527" s="171">
        <v>43140</v>
      </c>
      <c r="C2527" s="60">
        <v>4153.3</v>
      </c>
    </row>
    <row r="2528" spans="2:3" x14ac:dyDescent="0.3">
      <c r="B2528" s="171">
        <v>43139</v>
      </c>
      <c r="C2528" s="60">
        <v>4167</v>
      </c>
    </row>
    <row r="2529" spans="2:3" x14ac:dyDescent="0.3">
      <c r="B2529" s="171">
        <v>43138</v>
      </c>
      <c r="C2529" s="60">
        <v>4081.55</v>
      </c>
    </row>
    <row r="2530" spans="2:3" x14ac:dyDescent="0.3">
      <c r="B2530" s="171">
        <v>43137</v>
      </c>
      <c r="C2530" s="60">
        <v>4092.65</v>
      </c>
    </row>
    <row r="2531" spans="2:3" x14ac:dyDescent="0.3">
      <c r="B2531" s="171">
        <v>43136</v>
      </c>
      <c r="C2531" s="60">
        <v>4146.3999999999996</v>
      </c>
    </row>
    <row r="2532" spans="2:3" x14ac:dyDescent="0.3">
      <c r="B2532" s="171">
        <v>43133</v>
      </c>
      <c r="C2532" s="60">
        <v>4179.45</v>
      </c>
    </row>
    <row r="2533" spans="2:3" x14ac:dyDescent="0.3">
      <c r="B2533" s="171">
        <v>43132</v>
      </c>
      <c r="C2533" s="60">
        <v>4391.45</v>
      </c>
    </row>
    <row r="2534" spans="2:3" x14ac:dyDescent="0.3">
      <c r="B2534" s="171">
        <v>43131</v>
      </c>
      <c r="C2534" s="60">
        <v>4382</v>
      </c>
    </row>
    <row r="2535" spans="2:3" x14ac:dyDescent="0.3">
      <c r="B2535" s="171">
        <v>43130</v>
      </c>
      <c r="C2535" s="60">
        <v>4363.2</v>
      </c>
    </row>
    <row r="2536" spans="2:3" x14ac:dyDescent="0.3">
      <c r="B2536" s="171">
        <v>43129</v>
      </c>
      <c r="C2536" s="60">
        <v>4390.7</v>
      </c>
    </row>
    <row r="2537" spans="2:3" x14ac:dyDescent="0.3">
      <c r="B2537" s="171">
        <v>43125</v>
      </c>
      <c r="C2537" s="60">
        <v>4359.95</v>
      </c>
    </row>
    <row r="2538" spans="2:3" x14ac:dyDescent="0.3">
      <c r="B2538" s="171">
        <v>43124</v>
      </c>
      <c r="C2538" s="60">
        <v>4283</v>
      </c>
    </row>
    <row r="2539" spans="2:3" x14ac:dyDescent="0.3">
      <c r="B2539" s="171">
        <v>43123</v>
      </c>
      <c r="C2539" s="60">
        <v>4374.7</v>
      </c>
    </row>
    <row r="2540" spans="2:3" x14ac:dyDescent="0.3">
      <c r="B2540" s="171">
        <v>43122</v>
      </c>
      <c r="C2540" s="60">
        <v>4330</v>
      </c>
    </row>
    <row r="2541" spans="2:3" x14ac:dyDescent="0.3">
      <c r="B2541" s="171">
        <v>43119</v>
      </c>
      <c r="C2541" s="60">
        <v>4300</v>
      </c>
    </row>
    <row r="2542" spans="2:3" x14ac:dyDescent="0.3">
      <c r="B2542" s="171">
        <v>43118</v>
      </c>
      <c r="C2542" s="60">
        <v>4408.6499999999996</v>
      </c>
    </row>
    <row r="2543" spans="2:3" x14ac:dyDescent="0.3">
      <c r="B2543" s="171">
        <v>43117</v>
      </c>
      <c r="C2543" s="60">
        <v>4544.25</v>
      </c>
    </row>
    <row r="2544" spans="2:3" x14ac:dyDescent="0.3">
      <c r="B2544" s="171">
        <v>43116</v>
      </c>
      <c r="C2544" s="60">
        <v>4545.1000000000004</v>
      </c>
    </row>
    <row r="2545" spans="2:3" x14ac:dyDescent="0.3">
      <c r="B2545" s="171">
        <v>43115</v>
      </c>
      <c r="C2545" s="60">
        <v>4520.1499999999996</v>
      </c>
    </row>
    <row r="2546" spans="2:3" x14ac:dyDescent="0.3">
      <c r="B2546" s="171">
        <v>43112</v>
      </c>
      <c r="C2546" s="60">
        <v>4405.5</v>
      </c>
    </row>
    <row r="2547" spans="2:3" x14ac:dyDescent="0.3">
      <c r="B2547" s="171">
        <v>43111</v>
      </c>
      <c r="C2547" s="60">
        <v>4406.1000000000004</v>
      </c>
    </row>
    <row r="2548" spans="2:3" x14ac:dyDescent="0.3">
      <c r="B2548" s="171">
        <v>43110</v>
      </c>
      <c r="C2548" s="60">
        <v>4403.2</v>
      </c>
    </row>
    <row r="2549" spans="2:3" x14ac:dyDescent="0.3">
      <c r="B2549" s="171">
        <v>43109</v>
      </c>
      <c r="C2549" s="60">
        <v>4426.8500000000004</v>
      </c>
    </row>
    <row r="2550" spans="2:3" x14ac:dyDescent="0.3">
      <c r="B2550" s="171">
        <v>43108</v>
      </c>
      <c r="C2550" s="60">
        <v>4425.3</v>
      </c>
    </row>
    <row r="2551" spans="2:3" x14ac:dyDescent="0.3">
      <c r="B2551" s="171">
        <v>43105</v>
      </c>
      <c r="C2551" s="60">
        <v>4395.8</v>
      </c>
    </row>
    <row r="2552" spans="2:3" x14ac:dyDescent="0.3">
      <c r="B2552" s="171">
        <v>43104</v>
      </c>
      <c r="C2552" s="60">
        <v>4345.5</v>
      </c>
    </row>
    <row r="2553" spans="2:3" x14ac:dyDescent="0.3">
      <c r="B2553" s="171">
        <v>43103</v>
      </c>
      <c r="C2553" s="60">
        <v>4301.95</v>
      </c>
    </row>
    <row r="2554" spans="2:3" x14ac:dyDescent="0.3">
      <c r="B2554" s="171">
        <v>43102</v>
      </c>
      <c r="C2554" s="60">
        <v>4252.3</v>
      </c>
    </row>
    <row r="2555" spans="2:3" x14ac:dyDescent="0.3">
      <c r="B2555" s="171">
        <v>43101</v>
      </c>
      <c r="C2555" s="60">
        <v>4256.05</v>
      </c>
    </row>
    <row r="2556" spans="2:3" x14ac:dyDescent="0.3">
      <c r="B2556" s="171">
        <v>43098</v>
      </c>
      <c r="C2556" s="60">
        <v>4320.6000000000004</v>
      </c>
    </row>
    <row r="2557" spans="2:3" x14ac:dyDescent="0.3">
      <c r="B2557" s="171">
        <v>43097</v>
      </c>
      <c r="C2557" s="60">
        <v>4276.45</v>
      </c>
    </row>
    <row r="2558" spans="2:3" x14ac:dyDescent="0.3">
      <c r="B2558" s="171">
        <v>43096</v>
      </c>
      <c r="C2558" s="60">
        <v>4277.7</v>
      </c>
    </row>
    <row r="2559" spans="2:3" x14ac:dyDescent="0.3">
      <c r="B2559" s="171">
        <v>43095</v>
      </c>
      <c r="C2559" s="60">
        <v>4340.3500000000004</v>
      </c>
    </row>
    <row r="2560" spans="2:3" x14ac:dyDescent="0.3">
      <c r="B2560" s="171">
        <v>43091</v>
      </c>
      <c r="C2560" s="60">
        <v>4288.8999999999996</v>
      </c>
    </row>
    <row r="2561" spans="2:3" x14ac:dyDescent="0.3">
      <c r="B2561" s="171">
        <v>43090</v>
      </c>
      <c r="C2561" s="60">
        <v>4332.75</v>
      </c>
    </row>
    <row r="2562" spans="2:3" x14ac:dyDescent="0.3">
      <c r="B2562" s="171">
        <v>43089</v>
      </c>
      <c r="C2562" s="60">
        <v>4333.1000000000004</v>
      </c>
    </row>
    <row r="2563" spans="2:3" x14ac:dyDescent="0.3">
      <c r="B2563" s="171">
        <v>43088</v>
      </c>
      <c r="C2563" s="60">
        <v>4360.5</v>
      </c>
    </row>
    <row r="2564" spans="2:3" x14ac:dyDescent="0.3">
      <c r="B2564" s="171">
        <v>43087</v>
      </c>
      <c r="C2564" s="60">
        <v>4309.8999999999996</v>
      </c>
    </row>
    <row r="2565" spans="2:3" x14ac:dyDescent="0.3">
      <c r="B2565" s="171">
        <v>43084</v>
      </c>
      <c r="C2565" s="60">
        <v>4311.8</v>
      </c>
    </row>
    <row r="2566" spans="2:3" x14ac:dyDescent="0.3">
      <c r="B2566" s="171">
        <v>43083</v>
      </c>
      <c r="C2566" s="60">
        <v>4268.2</v>
      </c>
    </row>
    <row r="2567" spans="2:3" x14ac:dyDescent="0.3">
      <c r="B2567" s="171">
        <v>43082</v>
      </c>
      <c r="C2567" s="60">
        <v>4274.3500000000004</v>
      </c>
    </row>
    <row r="2568" spans="2:3" x14ac:dyDescent="0.3">
      <c r="B2568" s="171">
        <v>43081</v>
      </c>
      <c r="C2568" s="60">
        <v>4222.5</v>
      </c>
    </row>
    <row r="2569" spans="2:3" x14ac:dyDescent="0.3">
      <c r="B2569" s="171">
        <v>43080</v>
      </c>
      <c r="C2569" s="60">
        <v>4240.55</v>
      </c>
    </row>
    <row r="2570" spans="2:3" x14ac:dyDescent="0.3">
      <c r="B2570" s="171">
        <v>43077</v>
      </c>
      <c r="C2570" s="60">
        <v>4165.55</v>
      </c>
    </row>
    <row r="2571" spans="2:3" x14ac:dyDescent="0.3">
      <c r="B2571" s="171">
        <v>43076</v>
      </c>
      <c r="C2571" s="60">
        <v>4081.85</v>
      </c>
    </row>
    <row r="2572" spans="2:3" x14ac:dyDescent="0.3">
      <c r="B2572" s="171">
        <v>43075</v>
      </c>
      <c r="C2572" s="60">
        <v>4037.4</v>
      </c>
    </row>
    <row r="2573" spans="2:3" x14ac:dyDescent="0.3">
      <c r="B2573" s="171">
        <v>43074</v>
      </c>
      <c r="C2573" s="60">
        <v>4108.3</v>
      </c>
    </row>
    <row r="2574" spans="2:3" x14ac:dyDescent="0.3">
      <c r="B2574" s="171">
        <v>43073</v>
      </c>
      <c r="C2574" s="60">
        <v>4110.05</v>
      </c>
    </row>
    <row r="2575" spans="2:3" x14ac:dyDescent="0.3">
      <c r="B2575" s="171">
        <v>43070</v>
      </c>
      <c r="C2575" s="60">
        <v>4184.95</v>
      </c>
    </row>
    <row r="2576" spans="2:3" x14ac:dyDescent="0.3">
      <c r="B2576" s="171">
        <v>43069</v>
      </c>
      <c r="C2576" s="60">
        <v>4203.8</v>
      </c>
    </row>
    <row r="2577" spans="2:3" x14ac:dyDescent="0.3">
      <c r="B2577" s="171">
        <v>43068</v>
      </c>
      <c r="C2577" s="60">
        <v>4287.75</v>
      </c>
    </row>
    <row r="2578" spans="2:3" x14ac:dyDescent="0.3">
      <c r="B2578" s="171">
        <v>43067</v>
      </c>
      <c r="C2578" s="60">
        <v>4275.8999999999996</v>
      </c>
    </row>
    <row r="2579" spans="2:3" x14ac:dyDescent="0.3">
      <c r="B2579" s="171">
        <v>43066</v>
      </c>
      <c r="C2579" s="60">
        <v>4272</v>
      </c>
    </row>
    <row r="2580" spans="2:3" x14ac:dyDescent="0.3">
      <c r="B2580" s="171">
        <v>43063</v>
      </c>
      <c r="C2580" s="60">
        <v>4241.3</v>
      </c>
    </row>
    <row r="2581" spans="2:3" x14ac:dyDescent="0.3">
      <c r="B2581" s="171">
        <v>43062</v>
      </c>
      <c r="C2581" s="60">
        <v>4185.1499999999996</v>
      </c>
    </row>
    <row r="2582" spans="2:3" x14ac:dyDescent="0.3">
      <c r="B2582" s="171">
        <v>43061</v>
      </c>
      <c r="C2582" s="60">
        <v>4230.3999999999996</v>
      </c>
    </row>
    <row r="2583" spans="2:3" x14ac:dyDescent="0.3">
      <c r="B2583" s="171">
        <v>43060</v>
      </c>
      <c r="C2583" s="60">
        <v>4163.3999999999996</v>
      </c>
    </row>
    <row r="2584" spans="2:3" x14ac:dyDescent="0.3">
      <c r="B2584" s="171">
        <v>43059</v>
      </c>
      <c r="C2584" s="60">
        <v>4181.3</v>
      </c>
    </row>
    <row r="2585" spans="2:3" x14ac:dyDescent="0.3">
      <c r="B2585" s="171">
        <v>43056</v>
      </c>
      <c r="C2585" s="60">
        <v>4267.05</v>
      </c>
    </row>
    <row r="2586" spans="2:3" x14ac:dyDescent="0.3">
      <c r="B2586" s="171">
        <v>43055</v>
      </c>
      <c r="C2586" s="60">
        <v>4273.1000000000004</v>
      </c>
    </row>
    <row r="2587" spans="2:3" x14ac:dyDescent="0.3">
      <c r="B2587" s="171">
        <v>43054</v>
      </c>
      <c r="C2587" s="60">
        <v>4306.7</v>
      </c>
    </row>
    <row r="2588" spans="2:3" x14ac:dyDescent="0.3">
      <c r="B2588" s="171">
        <v>43053</v>
      </c>
      <c r="C2588" s="60">
        <v>4361.3999999999996</v>
      </c>
    </row>
    <row r="2589" spans="2:3" x14ac:dyDescent="0.3">
      <c r="B2589" s="171">
        <v>43052</v>
      </c>
      <c r="C2589" s="60">
        <v>4348.6499999999996</v>
      </c>
    </row>
    <row r="2590" spans="2:3" x14ac:dyDescent="0.3">
      <c r="B2590" s="171">
        <v>43049</v>
      </c>
      <c r="C2590" s="60">
        <v>4450.8500000000004</v>
      </c>
    </row>
    <row r="2591" spans="2:3" x14ac:dyDescent="0.3">
      <c r="B2591" s="171">
        <v>43048</v>
      </c>
      <c r="C2591" s="60">
        <v>4363.3500000000004</v>
      </c>
    </row>
    <row r="2592" spans="2:3" x14ac:dyDescent="0.3">
      <c r="B2592" s="171">
        <v>43047</v>
      </c>
      <c r="C2592" s="60">
        <v>4370.6000000000004</v>
      </c>
    </row>
    <row r="2593" spans="2:3" x14ac:dyDescent="0.3">
      <c r="B2593" s="171">
        <v>43046</v>
      </c>
      <c r="C2593" s="60">
        <v>4373.45</v>
      </c>
    </row>
    <row r="2594" spans="2:3" x14ac:dyDescent="0.3">
      <c r="B2594" s="171">
        <v>43045</v>
      </c>
      <c r="C2594" s="60">
        <v>4427.75</v>
      </c>
    </row>
    <row r="2595" spans="2:3" x14ac:dyDescent="0.3">
      <c r="B2595" s="171">
        <v>43042</v>
      </c>
      <c r="C2595" s="60">
        <v>4375.1000000000004</v>
      </c>
    </row>
    <row r="2596" spans="2:3" x14ac:dyDescent="0.3">
      <c r="B2596" s="171">
        <v>43041</v>
      </c>
      <c r="C2596" s="60">
        <v>4399.1499999999996</v>
      </c>
    </row>
    <row r="2597" spans="2:3" x14ac:dyDescent="0.3">
      <c r="B2597" s="171">
        <v>43040</v>
      </c>
      <c r="C2597" s="60">
        <v>4426.3</v>
      </c>
    </row>
    <row r="2598" spans="2:3" x14ac:dyDescent="0.3">
      <c r="B2598" s="171">
        <v>43039</v>
      </c>
      <c r="C2598" s="60">
        <v>4401.05</v>
      </c>
    </row>
    <row r="2599" spans="2:3" x14ac:dyDescent="0.3">
      <c r="B2599" s="171">
        <v>43038</v>
      </c>
      <c r="C2599" s="60">
        <v>4472.25</v>
      </c>
    </row>
    <row r="2600" spans="2:3" x14ac:dyDescent="0.3">
      <c r="B2600" s="171">
        <v>43035</v>
      </c>
      <c r="C2600" s="60">
        <v>4439.8500000000004</v>
      </c>
    </row>
    <row r="2601" spans="2:3" x14ac:dyDescent="0.3">
      <c r="B2601" s="171">
        <v>43034</v>
      </c>
      <c r="C2601" s="60">
        <v>4483.8999999999996</v>
      </c>
    </row>
    <row r="2602" spans="2:3" x14ac:dyDescent="0.3">
      <c r="B2602" s="171">
        <v>43033</v>
      </c>
      <c r="C2602" s="60">
        <v>4460.25</v>
      </c>
    </row>
    <row r="2603" spans="2:3" x14ac:dyDescent="0.3">
      <c r="B2603" s="171">
        <v>43032</v>
      </c>
      <c r="C2603" s="60">
        <v>4227.1000000000004</v>
      </c>
    </row>
    <row r="2604" spans="2:3" x14ac:dyDescent="0.3">
      <c r="B2604" s="171">
        <v>43031</v>
      </c>
      <c r="C2604" s="60">
        <v>4205.05</v>
      </c>
    </row>
    <row r="2605" spans="2:3" x14ac:dyDescent="0.3">
      <c r="B2605" s="171">
        <v>43027</v>
      </c>
      <c r="C2605" s="60">
        <v>4034.35</v>
      </c>
    </row>
    <row r="2606" spans="2:3" x14ac:dyDescent="0.3">
      <c r="B2606" s="171">
        <v>43026</v>
      </c>
      <c r="C2606" s="60">
        <v>4092.2</v>
      </c>
    </row>
    <row r="2607" spans="2:3" x14ac:dyDescent="0.3">
      <c r="B2607" s="171">
        <v>43025</v>
      </c>
      <c r="C2607" s="60">
        <v>4089.4</v>
      </c>
    </row>
    <row r="2608" spans="2:3" x14ac:dyDescent="0.3">
      <c r="B2608" s="171">
        <v>43024</v>
      </c>
      <c r="C2608" s="60">
        <v>4004.25</v>
      </c>
    </row>
    <row r="2609" spans="2:3" x14ac:dyDescent="0.3">
      <c r="B2609" s="171">
        <v>43021</v>
      </c>
      <c r="C2609" s="60">
        <v>4005</v>
      </c>
    </row>
    <row r="2610" spans="2:3" x14ac:dyDescent="0.3">
      <c r="B2610" s="171">
        <v>43020</v>
      </c>
      <c r="C2610" s="60">
        <v>3919.8</v>
      </c>
    </row>
    <row r="2611" spans="2:3" x14ac:dyDescent="0.3">
      <c r="B2611" s="171">
        <v>43019</v>
      </c>
      <c r="C2611" s="60">
        <v>3951.2</v>
      </c>
    </row>
    <row r="2612" spans="2:3" x14ac:dyDescent="0.3">
      <c r="B2612" s="171">
        <v>43018</v>
      </c>
      <c r="C2612" s="60">
        <v>3970.8</v>
      </c>
    </row>
    <row r="2613" spans="2:3" x14ac:dyDescent="0.3">
      <c r="B2613" s="171">
        <v>43017</v>
      </c>
      <c r="C2613" s="60">
        <v>3957.35</v>
      </c>
    </row>
    <row r="2614" spans="2:3" x14ac:dyDescent="0.3">
      <c r="B2614" s="171">
        <v>43014</v>
      </c>
      <c r="C2614" s="60">
        <v>3930.9</v>
      </c>
    </row>
    <row r="2615" spans="2:3" x14ac:dyDescent="0.3">
      <c r="B2615" s="171">
        <v>43013</v>
      </c>
      <c r="C2615" s="60">
        <v>3894.4</v>
      </c>
    </row>
    <row r="2616" spans="2:3" x14ac:dyDescent="0.3">
      <c r="B2616" s="171">
        <v>43012</v>
      </c>
      <c r="C2616" s="60">
        <v>3872.5</v>
      </c>
    </row>
    <row r="2617" spans="2:3" x14ac:dyDescent="0.3">
      <c r="B2617" s="171">
        <v>43011</v>
      </c>
      <c r="C2617" s="60">
        <v>3895</v>
      </c>
    </row>
    <row r="2618" spans="2:3" x14ac:dyDescent="0.3">
      <c r="B2618" s="171">
        <v>43007</v>
      </c>
      <c r="C2618" s="60">
        <v>3854.2</v>
      </c>
    </row>
    <row r="2619" spans="2:3" x14ac:dyDescent="0.3">
      <c r="B2619" s="171">
        <v>43006</v>
      </c>
      <c r="C2619" s="60">
        <v>3868.7</v>
      </c>
    </row>
    <row r="2620" spans="2:3" x14ac:dyDescent="0.3">
      <c r="B2620" s="171">
        <v>43005</v>
      </c>
      <c r="C2620" s="60">
        <v>3798.5</v>
      </c>
    </row>
    <row r="2621" spans="2:3" x14ac:dyDescent="0.3">
      <c r="B2621" s="171">
        <v>43004</v>
      </c>
      <c r="C2621" s="60">
        <v>3914.65</v>
      </c>
    </row>
    <row r="2622" spans="2:3" x14ac:dyDescent="0.3">
      <c r="B2622" s="171">
        <v>43003</v>
      </c>
      <c r="C2622" s="60">
        <v>3901.8</v>
      </c>
    </row>
    <row r="2623" spans="2:3" x14ac:dyDescent="0.3">
      <c r="B2623" s="171">
        <v>43000</v>
      </c>
      <c r="C2623" s="60">
        <v>3999.6</v>
      </c>
    </row>
    <row r="2624" spans="2:3" x14ac:dyDescent="0.3">
      <c r="B2624" s="171">
        <v>42999</v>
      </c>
      <c r="C2624" s="60">
        <v>4166.05</v>
      </c>
    </row>
    <row r="2625" spans="2:3" x14ac:dyDescent="0.3">
      <c r="B2625" s="171">
        <v>42998</v>
      </c>
      <c r="C2625" s="60">
        <v>4209.6499999999996</v>
      </c>
    </row>
    <row r="2626" spans="2:3" x14ac:dyDescent="0.3">
      <c r="B2626" s="171">
        <v>42997</v>
      </c>
      <c r="C2626" s="60">
        <v>4184.2</v>
      </c>
    </row>
    <row r="2627" spans="2:3" x14ac:dyDescent="0.3">
      <c r="B2627" s="171">
        <v>42996</v>
      </c>
      <c r="C2627" s="60">
        <v>4209.2</v>
      </c>
    </row>
    <row r="2628" spans="2:3" x14ac:dyDescent="0.3">
      <c r="B2628" s="171">
        <v>42993</v>
      </c>
      <c r="C2628" s="60">
        <v>4210.95</v>
      </c>
    </row>
    <row r="2629" spans="2:3" x14ac:dyDescent="0.3">
      <c r="B2629" s="171">
        <v>42992</v>
      </c>
      <c r="C2629" s="60">
        <v>4214.3999999999996</v>
      </c>
    </row>
    <row r="2630" spans="2:3" x14ac:dyDescent="0.3">
      <c r="B2630" s="171">
        <v>42991</v>
      </c>
      <c r="C2630" s="60">
        <v>4184.8500000000004</v>
      </c>
    </row>
    <row r="2631" spans="2:3" x14ac:dyDescent="0.3">
      <c r="B2631" s="171">
        <v>42990</v>
      </c>
      <c r="C2631" s="60">
        <v>4220.25</v>
      </c>
    </row>
    <row r="2632" spans="2:3" x14ac:dyDescent="0.3">
      <c r="B2632" s="171">
        <v>42989</v>
      </c>
      <c r="C2632" s="60">
        <v>4174.6000000000004</v>
      </c>
    </row>
    <row r="2633" spans="2:3" x14ac:dyDescent="0.3">
      <c r="B2633" s="171">
        <v>42986</v>
      </c>
      <c r="C2633" s="60">
        <v>4144.45</v>
      </c>
    </row>
    <row r="2634" spans="2:3" x14ac:dyDescent="0.3">
      <c r="B2634" s="171">
        <v>42985</v>
      </c>
      <c r="C2634" s="60">
        <v>4116.3</v>
      </c>
    </row>
    <row r="2635" spans="2:3" x14ac:dyDescent="0.3">
      <c r="B2635" s="171">
        <v>42984</v>
      </c>
      <c r="C2635" s="60">
        <v>4150.25</v>
      </c>
    </row>
    <row r="2636" spans="2:3" x14ac:dyDescent="0.3">
      <c r="B2636" s="171">
        <v>42983</v>
      </c>
      <c r="C2636" s="60">
        <v>4097.8500000000004</v>
      </c>
    </row>
    <row r="2637" spans="2:3" x14ac:dyDescent="0.3">
      <c r="B2637" s="171">
        <v>42982</v>
      </c>
      <c r="C2637" s="60">
        <v>4000.4</v>
      </c>
    </row>
    <row r="2638" spans="2:3" x14ac:dyDescent="0.3">
      <c r="B2638" s="171">
        <v>42979</v>
      </c>
      <c r="C2638" s="60">
        <v>3999.6</v>
      </c>
    </row>
    <row r="2639" spans="2:3" x14ac:dyDescent="0.3">
      <c r="B2639" s="171">
        <v>42978</v>
      </c>
      <c r="C2639" s="60">
        <v>4000.4</v>
      </c>
    </row>
    <row r="2640" spans="2:3" x14ac:dyDescent="0.3">
      <c r="B2640" s="171">
        <v>42977</v>
      </c>
      <c r="C2640" s="60">
        <v>4013.05</v>
      </c>
    </row>
    <row r="2641" spans="2:3" x14ac:dyDescent="0.3">
      <c r="B2641" s="171">
        <v>42976</v>
      </c>
      <c r="C2641" s="60">
        <v>3931.6</v>
      </c>
    </row>
    <row r="2642" spans="2:3" x14ac:dyDescent="0.3">
      <c r="B2642" s="171">
        <v>42975</v>
      </c>
      <c r="C2642" s="60">
        <v>3984.15</v>
      </c>
    </row>
    <row r="2643" spans="2:3" x14ac:dyDescent="0.3">
      <c r="B2643" s="171">
        <v>42971</v>
      </c>
      <c r="C2643" s="60">
        <v>3939.65</v>
      </c>
    </row>
    <row r="2644" spans="2:3" x14ac:dyDescent="0.3">
      <c r="B2644" s="171">
        <v>42970</v>
      </c>
      <c r="C2644" s="60">
        <v>3951.55</v>
      </c>
    </row>
    <row r="2645" spans="2:3" x14ac:dyDescent="0.3">
      <c r="B2645" s="171">
        <v>42969</v>
      </c>
      <c r="C2645" s="60">
        <v>3975.25</v>
      </c>
    </row>
    <row r="2646" spans="2:3" x14ac:dyDescent="0.3">
      <c r="B2646" s="171">
        <v>42968</v>
      </c>
      <c r="C2646" s="60">
        <v>4007.9</v>
      </c>
    </row>
    <row r="2647" spans="2:3" x14ac:dyDescent="0.3">
      <c r="B2647" s="171">
        <v>42965</v>
      </c>
      <c r="C2647" s="60">
        <v>4014.35</v>
      </c>
    </row>
    <row r="2648" spans="2:3" x14ac:dyDescent="0.3">
      <c r="B2648" s="171">
        <v>42964</v>
      </c>
      <c r="C2648" s="60">
        <v>3932.9</v>
      </c>
    </row>
    <row r="2649" spans="2:3" x14ac:dyDescent="0.3">
      <c r="B2649" s="171">
        <v>42963</v>
      </c>
      <c r="C2649" s="60">
        <v>3941.3</v>
      </c>
    </row>
    <row r="2650" spans="2:3" x14ac:dyDescent="0.3">
      <c r="B2650" s="171">
        <v>42961</v>
      </c>
      <c r="C2650" s="60">
        <v>3960.5</v>
      </c>
    </row>
    <row r="2651" spans="2:3" x14ac:dyDescent="0.3">
      <c r="B2651" s="171">
        <v>42958</v>
      </c>
      <c r="C2651" s="60">
        <v>3922.55</v>
      </c>
    </row>
    <row r="2652" spans="2:3" x14ac:dyDescent="0.3">
      <c r="B2652" s="171">
        <v>42957</v>
      </c>
      <c r="C2652" s="60">
        <v>3907.6</v>
      </c>
    </row>
    <row r="2653" spans="2:3" x14ac:dyDescent="0.3">
      <c r="B2653" s="171">
        <v>42956</v>
      </c>
      <c r="C2653" s="60">
        <v>3997.85</v>
      </c>
    </row>
    <row r="2654" spans="2:3" x14ac:dyDescent="0.3">
      <c r="B2654" s="171">
        <v>42955</v>
      </c>
      <c r="C2654" s="60">
        <v>4056.7</v>
      </c>
    </row>
    <row r="2655" spans="2:3" x14ac:dyDescent="0.3">
      <c r="B2655" s="171">
        <v>42954</v>
      </c>
      <c r="C2655" s="60">
        <v>4049.95</v>
      </c>
    </row>
    <row r="2656" spans="2:3" x14ac:dyDescent="0.3">
      <c r="B2656" s="171">
        <v>42951</v>
      </c>
      <c r="C2656" s="60">
        <v>4081.35</v>
      </c>
    </row>
    <row r="2657" spans="2:3" x14ac:dyDescent="0.3">
      <c r="B2657" s="171">
        <v>42950</v>
      </c>
      <c r="C2657" s="60">
        <v>4084.4</v>
      </c>
    </row>
    <row r="2658" spans="2:3" x14ac:dyDescent="0.3">
      <c r="B2658" s="171">
        <v>42949</v>
      </c>
      <c r="C2658" s="60">
        <v>4087.45</v>
      </c>
    </row>
    <row r="2659" spans="2:3" x14ac:dyDescent="0.3">
      <c r="B2659" s="171">
        <v>42948</v>
      </c>
      <c r="C2659" s="60">
        <v>4067.85</v>
      </c>
    </row>
    <row r="2660" spans="2:3" x14ac:dyDescent="0.3">
      <c r="B2660" s="171">
        <v>42947</v>
      </c>
      <c r="C2660" s="60">
        <v>4056.9</v>
      </c>
    </row>
    <row r="2661" spans="2:3" x14ac:dyDescent="0.3">
      <c r="B2661" s="171">
        <v>42944</v>
      </c>
      <c r="C2661" s="60">
        <v>4024.2</v>
      </c>
    </row>
    <row r="2662" spans="2:3" x14ac:dyDescent="0.3">
      <c r="B2662" s="171">
        <v>42943</v>
      </c>
      <c r="C2662" s="60">
        <v>4042.95</v>
      </c>
    </row>
    <row r="2663" spans="2:3" x14ac:dyDescent="0.3">
      <c r="B2663" s="171">
        <v>42942</v>
      </c>
      <c r="C2663" s="60">
        <v>4074.4</v>
      </c>
    </row>
    <row r="2664" spans="2:3" x14ac:dyDescent="0.3">
      <c r="B2664" s="171">
        <v>42941</v>
      </c>
      <c r="C2664" s="60">
        <v>4105.7</v>
      </c>
    </row>
    <row r="2665" spans="2:3" x14ac:dyDescent="0.3">
      <c r="B2665" s="171">
        <v>42940</v>
      </c>
      <c r="C2665" s="60">
        <v>4197.5</v>
      </c>
    </row>
    <row r="2666" spans="2:3" x14ac:dyDescent="0.3">
      <c r="B2666" s="171">
        <v>42937</v>
      </c>
      <c r="C2666" s="60">
        <v>4176.6499999999996</v>
      </c>
    </row>
    <row r="2667" spans="2:3" x14ac:dyDescent="0.3">
      <c r="B2667" s="171">
        <v>42936</v>
      </c>
      <c r="C2667" s="60">
        <v>4141.7</v>
      </c>
    </row>
    <row r="2668" spans="2:3" x14ac:dyDescent="0.3">
      <c r="B2668" s="171">
        <v>42935</v>
      </c>
      <c r="C2668" s="60">
        <v>4205.8500000000004</v>
      </c>
    </row>
    <row r="2669" spans="2:3" x14ac:dyDescent="0.3">
      <c r="B2669" s="171">
        <v>42934</v>
      </c>
      <c r="C2669" s="60">
        <v>4330.8500000000004</v>
      </c>
    </row>
    <row r="2670" spans="2:3" x14ac:dyDescent="0.3">
      <c r="B2670" s="171">
        <v>42933</v>
      </c>
      <c r="C2670" s="60">
        <v>4347.75</v>
      </c>
    </row>
    <row r="2671" spans="2:3" x14ac:dyDescent="0.3">
      <c r="B2671" s="171">
        <v>42930</v>
      </c>
      <c r="C2671" s="60">
        <v>4222.8999999999996</v>
      </c>
    </row>
    <row r="2672" spans="2:3" x14ac:dyDescent="0.3">
      <c r="B2672" s="171">
        <v>42929</v>
      </c>
      <c r="C2672" s="60">
        <v>4198.7</v>
      </c>
    </row>
    <row r="2673" spans="2:3" x14ac:dyDescent="0.3">
      <c r="B2673" s="171">
        <v>42928</v>
      </c>
      <c r="C2673" s="60">
        <v>4191.25</v>
      </c>
    </row>
    <row r="2674" spans="2:3" x14ac:dyDescent="0.3">
      <c r="B2674" s="171">
        <v>42927</v>
      </c>
      <c r="C2674" s="60">
        <v>4151.25</v>
      </c>
    </row>
    <row r="2675" spans="2:3" x14ac:dyDescent="0.3">
      <c r="B2675" s="171">
        <v>42926</v>
      </c>
      <c r="C2675" s="60">
        <v>4135.1499999999996</v>
      </c>
    </row>
    <row r="2676" spans="2:3" x14ac:dyDescent="0.3">
      <c r="B2676" s="171">
        <v>42923</v>
      </c>
      <c r="C2676" s="60">
        <v>4096.8999999999996</v>
      </c>
    </row>
    <row r="2677" spans="2:3" x14ac:dyDescent="0.3">
      <c r="B2677" s="171">
        <v>42922</v>
      </c>
      <c r="C2677" s="60">
        <v>4107.3500000000004</v>
      </c>
    </row>
    <row r="2678" spans="2:3" x14ac:dyDescent="0.3">
      <c r="B2678" s="171">
        <v>42921</v>
      </c>
      <c r="C2678" s="60">
        <v>4087.95</v>
      </c>
    </row>
    <row r="2679" spans="2:3" x14ac:dyDescent="0.3">
      <c r="B2679" s="171">
        <v>42920</v>
      </c>
      <c r="C2679" s="60">
        <v>4019.05</v>
      </c>
    </row>
    <row r="2680" spans="2:3" x14ac:dyDescent="0.3">
      <c r="B2680" s="171">
        <v>42919</v>
      </c>
      <c r="C2680" s="60">
        <v>3998.85</v>
      </c>
    </row>
    <row r="2681" spans="2:3" x14ac:dyDescent="0.3">
      <c r="B2681" s="171">
        <v>42916</v>
      </c>
      <c r="C2681" s="60">
        <v>3959.1</v>
      </c>
    </row>
    <row r="2682" spans="2:3" x14ac:dyDescent="0.3">
      <c r="B2682" s="171">
        <v>42915</v>
      </c>
      <c r="C2682" s="60">
        <v>3953.75</v>
      </c>
    </row>
    <row r="2683" spans="2:3" x14ac:dyDescent="0.3">
      <c r="B2683" s="171">
        <v>42914</v>
      </c>
      <c r="C2683" s="60">
        <v>3958.25</v>
      </c>
    </row>
    <row r="2684" spans="2:3" x14ac:dyDescent="0.3">
      <c r="B2684" s="171">
        <v>42913</v>
      </c>
      <c r="C2684" s="60">
        <v>3877.9</v>
      </c>
    </row>
    <row r="2685" spans="2:3" x14ac:dyDescent="0.3">
      <c r="B2685" s="171">
        <v>42909</v>
      </c>
      <c r="C2685" s="60">
        <v>3999</v>
      </c>
    </row>
    <row r="2686" spans="2:3" x14ac:dyDescent="0.3">
      <c r="B2686" s="171">
        <v>42908</v>
      </c>
      <c r="C2686" s="60">
        <v>4057.85</v>
      </c>
    </row>
    <row r="2687" spans="2:3" x14ac:dyDescent="0.3">
      <c r="B2687" s="171">
        <v>42907</v>
      </c>
      <c r="C2687" s="60">
        <v>4016.05</v>
      </c>
    </row>
    <row r="2688" spans="2:3" x14ac:dyDescent="0.3">
      <c r="B2688" s="171">
        <v>42906</v>
      </c>
      <c r="C2688" s="60">
        <v>4063.8</v>
      </c>
    </row>
    <row r="2689" spans="2:3" x14ac:dyDescent="0.3">
      <c r="B2689" s="171">
        <v>42905</v>
      </c>
      <c r="C2689" s="60">
        <v>4097.55</v>
      </c>
    </row>
    <row r="2690" spans="2:3" x14ac:dyDescent="0.3">
      <c r="B2690" s="171">
        <v>42902</v>
      </c>
      <c r="C2690" s="60">
        <v>4125.3</v>
      </c>
    </row>
    <row r="2691" spans="2:3" x14ac:dyDescent="0.3">
      <c r="B2691" s="171">
        <v>42901</v>
      </c>
      <c r="C2691" s="60">
        <v>4043.8</v>
      </c>
    </row>
    <row r="2692" spans="2:3" x14ac:dyDescent="0.3">
      <c r="B2692" s="171">
        <v>42900</v>
      </c>
      <c r="C2692" s="60">
        <v>4052.85</v>
      </c>
    </row>
    <row r="2693" spans="2:3" x14ac:dyDescent="0.3">
      <c r="B2693" s="171">
        <v>42899</v>
      </c>
      <c r="C2693" s="60">
        <v>4061.8</v>
      </c>
    </row>
    <row r="2694" spans="2:3" x14ac:dyDescent="0.3">
      <c r="B2694" s="171">
        <v>42898</v>
      </c>
      <c r="C2694" s="60">
        <v>4045.45</v>
      </c>
    </row>
    <row r="2695" spans="2:3" x14ac:dyDescent="0.3">
      <c r="B2695" s="171">
        <v>42895</v>
      </c>
      <c r="C2695" s="60">
        <v>4111.95</v>
      </c>
    </row>
    <row r="2696" spans="2:3" x14ac:dyDescent="0.3">
      <c r="B2696" s="171">
        <v>42894</v>
      </c>
      <c r="C2696" s="60">
        <v>4120.25</v>
      </c>
    </row>
    <row r="2697" spans="2:3" x14ac:dyDescent="0.3">
      <c r="B2697" s="171">
        <v>42893</v>
      </c>
      <c r="C2697" s="60">
        <v>4140.75</v>
      </c>
    </row>
    <row r="2698" spans="2:3" x14ac:dyDescent="0.3">
      <c r="B2698" s="171">
        <v>42892</v>
      </c>
      <c r="C2698" s="60">
        <v>4122.5</v>
      </c>
    </row>
    <row r="2699" spans="2:3" x14ac:dyDescent="0.3">
      <c r="B2699" s="171">
        <v>42891</v>
      </c>
      <c r="C2699" s="60">
        <v>4178.1499999999996</v>
      </c>
    </row>
    <row r="2700" spans="2:3" x14ac:dyDescent="0.3">
      <c r="B2700" s="171">
        <v>42888</v>
      </c>
      <c r="C2700" s="60">
        <v>4240.6000000000004</v>
      </c>
    </row>
    <row r="2701" spans="2:3" x14ac:dyDescent="0.3">
      <c r="B2701" s="171">
        <v>42887</v>
      </c>
      <c r="C2701" s="60">
        <v>4198.3500000000004</v>
      </c>
    </row>
    <row r="2702" spans="2:3" x14ac:dyDescent="0.3">
      <c r="B2702" s="171">
        <v>42886</v>
      </c>
      <c r="C2702" s="60">
        <v>4195.2</v>
      </c>
    </row>
    <row r="2703" spans="2:3" x14ac:dyDescent="0.3">
      <c r="B2703" s="171">
        <v>42885</v>
      </c>
      <c r="C2703" s="60">
        <v>4082.1</v>
      </c>
    </row>
    <row r="2704" spans="2:3" x14ac:dyDescent="0.3">
      <c r="B2704" s="171">
        <v>42884</v>
      </c>
      <c r="C2704" s="60">
        <v>4061.3</v>
      </c>
    </row>
    <row r="2705" spans="2:3" x14ac:dyDescent="0.3">
      <c r="B2705" s="171">
        <v>42881</v>
      </c>
      <c r="C2705" s="60">
        <v>4154.3999999999996</v>
      </c>
    </row>
    <row r="2706" spans="2:3" x14ac:dyDescent="0.3">
      <c r="B2706" s="171">
        <v>42880</v>
      </c>
      <c r="C2706" s="60">
        <v>4162.3999999999996</v>
      </c>
    </row>
    <row r="2707" spans="2:3" x14ac:dyDescent="0.3">
      <c r="B2707" s="171">
        <v>42879</v>
      </c>
      <c r="C2707" s="60">
        <v>4172.2</v>
      </c>
    </row>
    <row r="2708" spans="2:3" x14ac:dyDescent="0.3">
      <c r="B2708" s="171">
        <v>42878</v>
      </c>
      <c r="C2708" s="60">
        <v>4267.3500000000004</v>
      </c>
    </row>
    <row r="2709" spans="2:3" x14ac:dyDescent="0.3">
      <c r="B2709" s="171">
        <v>42877</v>
      </c>
      <c r="C2709" s="60">
        <v>4269.6000000000004</v>
      </c>
    </row>
    <row r="2710" spans="2:3" x14ac:dyDescent="0.3">
      <c r="B2710" s="171">
        <v>42874</v>
      </c>
      <c r="C2710" s="60">
        <v>4360.6000000000004</v>
      </c>
    </row>
    <row r="2711" spans="2:3" x14ac:dyDescent="0.3">
      <c r="B2711" s="171">
        <v>42873</v>
      </c>
      <c r="C2711" s="60">
        <v>4341.05</v>
      </c>
    </row>
    <row r="2712" spans="2:3" x14ac:dyDescent="0.3">
      <c r="B2712" s="171">
        <v>42872</v>
      </c>
      <c r="C2712" s="60">
        <v>4471</v>
      </c>
    </row>
    <row r="2713" spans="2:3" x14ac:dyDescent="0.3">
      <c r="B2713" s="171">
        <v>42871</v>
      </c>
      <c r="C2713" s="60">
        <v>4485.1499999999996</v>
      </c>
    </row>
    <row r="2714" spans="2:3" x14ac:dyDescent="0.3">
      <c r="B2714" s="171">
        <v>42870</v>
      </c>
      <c r="C2714" s="60">
        <v>4437.7</v>
      </c>
    </row>
    <row r="2715" spans="2:3" x14ac:dyDescent="0.3">
      <c r="B2715" s="171">
        <v>42867</v>
      </c>
      <c r="C2715" s="60">
        <v>4404.3500000000004</v>
      </c>
    </row>
    <row r="2716" spans="2:3" x14ac:dyDescent="0.3">
      <c r="B2716" s="171">
        <v>42866</v>
      </c>
      <c r="C2716" s="60">
        <v>4412.5</v>
      </c>
    </row>
    <row r="2717" spans="2:3" x14ac:dyDescent="0.3">
      <c r="B2717" s="171">
        <v>42865</v>
      </c>
      <c r="C2717" s="60">
        <v>4367.55</v>
      </c>
    </row>
    <row r="2718" spans="2:3" x14ac:dyDescent="0.3">
      <c r="B2718" s="171">
        <v>42864</v>
      </c>
      <c r="C2718" s="60">
        <v>4432.8999999999996</v>
      </c>
    </row>
    <row r="2719" spans="2:3" x14ac:dyDescent="0.3">
      <c r="B2719" s="171">
        <v>42863</v>
      </c>
      <c r="C2719" s="60">
        <v>4426.25</v>
      </c>
    </row>
    <row r="2720" spans="2:3" x14ac:dyDescent="0.3">
      <c r="B2720" s="171">
        <v>42860</v>
      </c>
      <c r="C2720" s="60">
        <v>4329.95</v>
      </c>
    </row>
    <row r="2721" spans="2:3" x14ac:dyDescent="0.3">
      <c r="B2721" s="171">
        <v>42859</v>
      </c>
      <c r="C2721" s="60">
        <v>4324.2</v>
      </c>
    </row>
    <row r="2722" spans="2:3" x14ac:dyDescent="0.3">
      <c r="B2722" s="171">
        <v>42858</v>
      </c>
      <c r="C2722" s="60">
        <v>4301.3999999999996</v>
      </c>
    </row>
    <row r="2723" spans="2:3" x14ac:dyDescent="0.3">
      <c r="B2723" s="171">
        <v>42857</v>
      </c>
      <c r="C2723" s="60">
        <v>4206</v>
      </c>
    </row>
    <row r="2724" spans="2:3" x14ac:dyDescent="0.3">
      <c r="B2724" s="171">
        <v>42853</v>
      </c>
      <c r="C2724" s="60">
        <v>4248.95</v>
      </c>
    </row>
    <row r="2725" spans="2:3" x14ac:dyDescent="0.3">
      <c r="B2725" s="171">
        <v>42852</v>
      </c>
      <c r="C2725" s="60">
        <v>4237.1000000000004</v>
      </c>
    </row>
    <row r="2726" spans="2:3" x14ac:dyDescent="0.3">
      <c r="B2726" s="171">
        <v>42851</v>
      </c>
      <c r="C2726" s="60">
        <v>4230.8999999999996</v>
      </c>
    </row>
    <row r="2727" spans="2:3" x14ac:dyDescent="0.3">
      <c r="B2727" s="171">
        <v>42850</v>
      </c>
      <c r="C2727" s="60">
        <v>4242.3999999999996</v>
      </c>
    </row>
    <row r="2728" spans="2:3" x14ac:dyDescent="0.3">
      <c r="B2728" s="171">
        <v>42849</v>
      </c>
      <c r="C2728" s="60">
        <v>4141.55</v>
      </c>
    </row>
    <row r="2729" spans="2:3" x14ac:dyDescent="0.3">
      <c r="B2729" s="171">
        <v>42846</v>
      </c>
      <c r="C2729" s="60">
        <v>3978.35</v>
      </c>
    </row>
    <row r="2730" spans="2:3" x14ac:dyDescent="0.3">
      <c r="B2730" s="171">
        <v>42845</v>
      </c>
      <c r="C2730" s="60">
        <v>4006.75</v>
      </c>
    </row>
    <row r="2731" spans="2:3" x14ac:dyDescent="0.3">
      <c r="B2731" s="171">
        <v>42844</v>
      </c>
      <c r="C2731" s="60">
        <v>3939.8</v>
      </c>
    </row>
    <row r="2732" spans="2:3" x14ac:dyDescent="0.3">
      <c r="B2732" s="171">
        <v>42843</v>
      </c>
      <c r="C2732" s="60">
        <v>3972.2</v>
      </c>
    </row>
    <row r="2733" spans="2:3" x14ac:dyDescent="0.3">
      <c r="B2733" s="171">
        <v>42842</v>
      </c>
      <c r="C2733" s="60">
        <v>3999.85</v>
      </c>
    </row>
    <row r="2734" spans="2:3" x14ac:dyDescent="0.3">
      <c r="B2734" s="171">
        <v>42838</v>
      </c>
      <c r="C2734" s="60">
        <v>4019.35</v>
      </c>
    </row>
    <row r="2735" spans="2:3" x14ac:dyDescent="0.3">
      <c r="B2735" s="171">
        <v>42837</v>
      </c>
      <c r="C2735" s="60">
        <v>4033.1</v>
      </c>
    </row>
    <row r="2736" spans="2:3" x14ac:dyDescent="0.3">
      <c r="B2736" s="171">
        <v>42836</v>
      </c>
      <c r="C2736" s="60">
        <v>4033.3</v>
      </c>
    </row>
    <row r="2737" spans="2:3" x14ac:dyDescent="0.3">
      <c r="B2737" s="171">
        <v>42835</v>
      </c>
      <c r="C2737" s="60">
        <v>4058.9</v>
      </c>
    </row>
    <row r="2738" spans="2:3" x14ac:dyDescent="0.3">
      <c r="B2738" s="171">
        <v>42832</v>
      </c>
      <c r="C2738" s="60">
        <v>4081</v>
      </c>
    </row>
    <row r="2739" spans="2:3" x14ac:dyDescent="0.3">
      <c r="B2739" s="171">
        <v>42831</v>
      </c>
      <c r="C2739" s="60">
        <v>4111.1499999999996</v>
      </c>
    </row>
    <row r="2740" spans="2:3" x14ac:dyDescent="0.3">
      <c r="B2740" s="171">
        <v>42830</v>
      </c>
      <c r="C2740" s="60">
        <v>4081.25</v>
      </c>
    </row>
    <row r="2741" spans="2:3" x14ac:dyDescent="0.3">
      <c r="B2741" s="171">
        <v>42828</v>
      </c>
      <c r="C2741" s="60">
        <v>4026.75</v>
      </c>
    </row>
    <row r="2742" spans="2:3" x14ac:dyDescent="0.3">
      <c r="B2742" s="171">
        <v>42825</v>
      </c>
      <c r="C2742" s="60">
        <v>3984.75</v>
      </c>
    </row>
    <row r="2743" spans="2:3" x14ac:dyDescent="0.3">
      <c r="B2743" s="171">
        <v>42824</v>
      </c>
      <c r="C2743" s="60">
        <v>3988.45</v>
      </c>
    </row>
    <row r="2744" spans="2:3" x14ac:dyDescent="0.3">
      <c r="B2744" s="171">
        <v>42823</v>
      </c>
      <c r="C2744" s="60">
        <v>3999.35</v>
      </c>
    </row>
    <row r="2745" spans="2:3" x14ac:dyDescent="0.3">
      <c r="B2745" s="171">
        <v>42822</v>
      </c>
      <c r="C2745" s="60">
        <v>3987.3</v>
      </c>
    </row>
    <row r="2746" spans="2:3" x14ac:dyDescent="0.3">
      <c r="B2746" s="171">
        <v>42821</v>
      </c>
      <c r="C2746" s="60">
        <v>3951.25</v>
      </c>
    </row>
    <row r="2747" spans="2:3" x14ac:dyDescent="0.3">
      <c r="B2747" s="171">
        <v>42818</v>
      </c>
      <c r="C2747" s="60">
        <v>3973.95</v>
      </c>
    </row>
    <row r="2748" spans="2:3" x14ac:dyDescent="0.3">
      <c r="B2748" s="171">
        <v>42817</v>
      </c>
      <c r="C2748" s="60">
        <v>3974.25</v>
      </c>
    </row>
    <row r="2749" spans="2:3" x14ac:dyDescent="0.3">
      <c r="B2749" s="171">
        <v>42816</v>
      </c>
      <c r="C2749" s="60">
        <v>3970.25</v>
      </c>
    </row>
    <row r="2750" spans="2:3" x14ac:dyDescent="0.3">
      <c r="B2750" s="171">
        <v>42815</v>
      </c>
      <c r="C2750" s="60">
        <v>4007.8</v>
      </c>
    </row>
    <row r="2751" spans="2:3" x14ac:dyDescent="0.3">
      <c r="B2751" s="171">
        <v>42814</v>
      </c>
      <c r="C2751" s="60">
        <v>3999.8</v>
      </c>
    </row>
    <row r="2752" spans="2:3" x14ac:dyDescent="0.3">
      <c r="B2752" s="171">
        <v>42811</v>
      </c>
      <c r="C2752" s="60">
        <v>4039.8</v>
      </c>
    </row>
    <row r="2753" spans="2:3" x14ac:dyDescent="0.3">
      <c r="B2753" s="171">
        <v>42810</v>
      </c>
      <c r="C2753" s="60">
        <v>4056.55</v>
      </c>
    </row>
    <row r="2754" spans="2:3" x14ac:dyDescent="0.3">
      <c r="B2754" s="171">
        <v>42809</v>
      </c>
      <c r="C2754" s="60">
        <v>4017.45</v>
      </c>
    </row>
    <row r="2755" spans="2:3" x14ac:dyDescent="0.3">
      <c r="B2755" s="171">
        <v>42808</v>
      </c>
      <c r="C2755" s="60">
        <v>3998.95</v>
      </c>
    </row>
    <row r="2756" spans="2:3" x14ac:dyDescent="0.3">
      <c r="B2756" s="171">
        <v>42804</v>
      </c>
      <c r="C2756" s="60">
        <v>3852.45</v>
      </c>
    </row>
    <row r="2757" spans="2:3" x14ac:dyDescent="0.3">
      <c r="B2757" s="171">
        <v>42803</v>
      </c>
      <c r="C2757" s="60">
        <v>3822.85</v>
      </c>
    </row>
    <row r="2758" spans="2:3" x14ac:dyDescent="0.3">
      <c r="B2758" s="171">
        <v>42802</v>
      </c>
      <c r="C2758" s="60">
        <v>3803.6</v>
      </c>
    </row>
    <row r="2759" spans="2:3" x14ac:dyDescent="0.3">
      <c r="B2759" s="171">
        <v>42801</v>
      </c>
      <c r="C2759" s="60">
        <v>3786.9</v>
      </c>
    </row>
    <row r="2760" spans="2:3" x14ac:dyDescent="0.3">
      <c r="B2760" s="171">
        <v>42800</v>
      </c>
      <c r="C2760" s="60">
        <v>3824.1</v>
      </c>
    </row>
    <row r="2761" spans="2:3" x14ac:dyDescent="0.3">
      <c r="B2761" s="171">
        <v>42797</v>
      </c>
      <c r="C2761" s="60">
        <v>3801.75</v>
      </c>
    </row>
    <row r="2762" spans="2:3" x14ac:dyDescent="0.3">
      <c r="B2762" s="171">
        <v>42796</v>
      </c>
      <c r="C2762" s="60">
        <v>3817.8</v>
      </c>
    </row>
    <row r="2763" spans="2:3" x14ac:dyDescent="0.3">
      <c r="B2763" s="171">
        <v>42795</v>
      </c>
      <c r="C2763" s="60">
        <v>3731.1</v>
      </c>
    </row>
    <row r="2764" spans="2:3" x14ac:dyDescent="0.3">
      <c r="B2764" s="171">
        <v>42794</v>
      </c>
      <c r="C2764" s="60">
        <v>3774.55</v>
      </c>
    </row>
    <row r="2765" spans="2:3" x14ac:dyDescent="0.3">
      <c r="B2765" s="171">
        <v>42793</v>
      </c>
      <c r="C2765" s="60">
        <v>3737.2</v>
      </c>
    </row>
    <row r="2766" spans="2:3" x14ac:dyDescent="0.3">
      <c r="B2766" s="171">
        <v>42789</v>
      </c>
      <c r="C2766" s="60">
        <v>3786.1</v>
      </c>
    </row>
    <row r="2767" spans="2:3" x14ac:dyDescent="0.3">
      <c r="B2767" s="171">
        <v>42788</v>
      </c>
      <c r="C2767" s="60">
        <v>3777.8</v>
      </c>
    </row>
    <row r="2768" spans="2:3" x14ac:dyDescent="0.3">
      <c r="B2768" s="171">
        <v>42787</v>
      </c>
      <c r="C2768" s="60">
        <v>3769.35</v>
      </c>
    </row>
    <row r="2769" spans="2:3" x14ac:dyDescent="0.3">
      <c r="B2769" s="171">
        <v>42786</v>
      </c>
      <c r="C2769" s="60">
        <v>3756.65</v>
      </c>
    </row>
    <row r="2770" spans="2:3" x14ac:dyDescent="0.3">
      <c r="B2770" s="171">
        <v>42783</v>
      </c>
      <c r="C2770" s="60">
        <v>3718.5</v>
      </c>
    </row>
    <row r="2771" spans="2:3" x14ac:dyDescent="0.3">
      <c r="B2771" s="171">
        <v>42782</v>
      </c>
      <c r="C2771" s="60">
        <v>3714.25</v>
      </c>
    </row>
    <row r="2772" spans="2:3" x14ac:dyDescent="0.3">
      <c r="B2772" s="171">
        <v>42781</v>
      </c>
      <c r="C2772" s="60">
        <v>3678.15</v>
      </c>
    </row>
    <row r="2773" spans="2:3" x14ac:dyDescent="0.3">
      <c r="B2773" s="171">
        <v>42780</v>
      </c>
      <c r="C2773" s="60">
        <v>3705.65</v>
      </c>
    </row>
    <row r="2774" spans="2:3" x14ac:dyDescent="0.3">
      <c r="B2774" s="171">
        <v>42779</v>
      </c>
      <c r="C2774" s="60">
        <v>3767.7</v>
      </c>
    </row>
    <row r="2775" spans="2:3" x14ac:dyDescent="0.3">
      <c r="B2775" s="171">
        <v>42776</v>
      </c>
      <c r="C2775" s="60">
        <v>3761.9</v>
      </c>
    </row>
    <row r="2776" spans="2:3" x14ac:dyDescent="0.3">
      <c r="B2776" s="171">
        <v>42775</v>
      </c>
      <c r="C2776" s="60">
        <v>3752.45</v>
      </c>
    </row>
    <row r="2777" spans="2:3" x14ac:dyDescent="0.3">
      <c r="B2777" s="171">
        <v>42774</v>
      </c>
      <c r="C2777" s="60">
        <v>3717.9</v>
      </c>
    </row>
    <row r="2778" spans="2:3" x14ac:dyDescent="0.3">
      <c r="B2778" s="171">
        <v>42773</v>
      </c>
      <c r="C2778" s="60">
        <v>3696</v>
      </c>
    </row>
    <row r="2779" spans="2:3" x14ac:dyDescent="0.3">
      <c r="B2779" s="171">
        <v>42772</v>
      </c>
      <c r="C2779" s="60">
        <v>3754.85</v>
      </c>
    </row>
    <row r="2780" spans="2:3" x14ac:dyDescent="0.3">
      <c r="B2780" s="171">
        <v>42769</v>
      </c>
      <c r="C2780" s="60">
        <v>3737.5</v>
      </c>
    </row>
    <row r="2781" spans="2:3" x14ac:dyDescent="0.3">
      <c r="B2781" s="171">
        <v>42768</v>
      </c>
      <c r="C2781" s="60">
        <v>3721.55</v>
      </c>
    </row>
    <row r="2782" spans="2:3" x14ac:dyDescent="0.3">
      <c r="B2782" s="171">
        <v>42767</v>
      </c>
      <c r="C2782" s="60">
        <v>3779.75</v>
      </c>
    </row>
    <row r="2783" spans="2:3" x14ac:dyDescent="0.3">
      <c r="B2783" s="171">
        <v>42766</v>
      </c>
      <c r="C2783" s="60">
        <v>3694.45</v>
      </c>
    </row>
    <row r="2784" spans="2:3" x14ac:dyDescent="0.3">
      <c r="B2784" s="171">
        <v>42765</v>
      </c>
      <c r="C2784" s="60">
        <v>3693.9</v>
      </c>
    </row>
    <row r="2785" spans="2:3" x14ac:dyDescent="0.3">
      <c r="B2785" s="171">
        <v>42762</v>
      </c>
      <c r="C2785" s="60">
        <v>3686.3</v>
      </c>
    </row>
    <row r="2786" spans="2:3" x14ac:dyDescent="0.3">
      <c r="B2786" s="171">
        <v>42760</v>
      </c>
      <c r="C2786" s="60">
        <v>3680.4</v>
      </c>
    </row>
    <row r="2787" spans="2:3" x14ac:dyDescent="0.3">
      <c r="B2787" s="171">
        <v>42759</v>
      </c>
      <c r="C2787" s="60">
        <v>3656.85</v>
      </c>
    </row>
    <row r="2788" spans="2:3" x14ac:dyDescent="0.3">
      <c r="B2788" s="171">
        <v>42758</v>
      </c>
      <c r="C2788" s="60">
        <v>3527.8</v>
      </c>
    </row>
    <row r="2789" spans="2:3" x14ac:dyDescent="0.3">
      <c r="B2789" s="171">
        <v>42755</v>
      </c>
      <c r="C2789" s="60">
        <v>3471.65</v>
      </c>
    </row>
    <row r="2790" spans="2:3" x14ac:dyDescent="0.3">
      <c r="B2790" s="171">
        <v>42754</v>
      </c>
      <c r="C2790" s="60">
        <v>3461.45</v>
      </c>
    </row>
    <row r="2791" spans="2:3" x14ac:dyDescent="0.3">
      <c r="B2791" s="171">
        <v>42753</v>
      </c>
      <c r="C2791" s="60">
        <v>3501.65</v>
      </c>
    </row>
    <row r="2792" spans="2:3" x14ac:dyDescent="0.3">
      <c r="B2792" s="171">
        <v>42752</v>
      </c>
      <c r="C2792" s="60">
        <v>3380.25</v>
      </c>
    </row>
    <row r="2793" spans="2:3" x14ac:dyDescent="0.3">
      <c r="B2793" s="171">
        <v>42751</v>
      </c>
      <c r="C2793" s="60">
        <v>3340.2</v>
      </c>
    </row>
    <row r="2794" spans="2:3" x14ac:dyDescent="0.3">
      <c r="B2794" s="171">
        <v>42748</v>
      </c>
      <c r="C2794" s="60">
        <v>3319.7</v>
      </c>
    </row>
    <row r="2795" spans="2:3" x14ac:dyDescent="0.3">
      <c r="B2795" s="171">
        <v>42747</v>
      </c>
      <c r="C2795" s="60">
        <v>3352.5</v>
      </c>
    </row>
    <row r="2796" spans="2:3" x14ac:dyDescent="0.3">
      <c r="B2796" s="171">
        <v>42746</v>
      </c>
      <c r="C2796" s="60">
        <v>3353.1</v>
      </c>
    </row>
    <row r="2797" spans="2:3" x14ac:dyDescent="0.3">
      <c r="B2797" s="171">
        <v>42745</v>
      </c>
      <c r="C2797" s="60">
        <v>3279.45</v>
      </c>
    </row>
    <row r="2798" spans="2:3" x14ac:dyDescent="0.3">
      <c r="B2798" s="171">
        <v>42744</v>
      </c>
      <c r="C2798" s="60">
        <v>3291.85</v>
      </c>
    </row>
    <row r="2799" spans="2:3" x14ac:dyDescent="0.3">
      <c r="B2799" s="171">
        <v>42741</v>
      </c>
      <c r="C2799" s="60">
        <v>3322.75</v>
      </c>
    </row>
    <row r="2800" spans="2:3" x14ac:dyDescent="0.3">
      <c r="B2800" s="171">
        <v>42740</v>
      </c>
      <c r="C2800" s="60">
        <v>3382.85</v>
      </c>
    </row>
    <row r="2801" spans="2:3" x14ac:dyDescent="0.3">
      <c r="B2801" s="171">
        <v>42739</v>
      </c>
      <c r="C2801" s="60">
        <v>3301.4</v>
      </c>
    </row>
    <row r="2802" spans="2:3" x14ac:dyDescent="0.3">
      <c r="B2802" s="171">
        <v>42738</v>
      </c>
      <c r="C2802" s="60">
        <v>3326.7</v>
      </c>
    </row>
    <row r="2803" spans="2:3" x14ac:dyDescent="0.3">
      <c r="B2803" s="171">
        <v>42737</v>
      </c>
      <c r="C2803" s="60">
        <v>3371.35</v>
      </c>
    </row>
    <row r="2804" spans="2:3" x14ac:dyDescent="0.3">
      <c r="B2804" s="171">
        <v>42734</v>
      </c>
      <c r="C2804" s="60">
        <v>3250.2</v>
      </c>
    </row>
    <row r="2805" spans="2:3" x14ac:dyDescent="0.3">
      <c r="B2805" s="171">
        <v>42733</v>
      </c>
      <c r="C2805" s="60">
        <v>3216.2</v>
      </c>
    </row>
    <row r="2806" spans="2:3" x14ac:dyDescent="0.3">
      <c r="B2806" s="171">
        <v>42732</v>
      </c>
      <c r="C2806" s="60">
        <v>3159.5</v>
      </c>
    </row>
    <row r="2807" spans="2:3" x14ac:dyDescent="0.3">
      <c r="B2807" s="171">
        <v>42731</v>
      </c>
      <c r="C2807" s="60">
        <v>3156.55</v>
      </c>
    </row>
    <row r="2808" spans="2:3" x14ac:dyDescent="0.3">
      <c r="B2808" s="171">
        <v>42730</v>
      </c>
      <c r="C2808" s="60">
        <v>3088.75</v>
      </c>
    </row>
    <row r="2809" spans="2:3" x14ac:dyDescent="0.3">
      <c r="B2809" s="171">
        <v>42727</v>
      </c>
      <c r="C2809" s="60">
        <v>3107.1</v>
      </c>
    </row>
    <row r="2810" spans="2:3" x14ac:dyDescent="0.3">
      <c r="B2810" s="171">
        <v>42726</v>
      </c>
      <c r="C2810" s="60">
        <v>3143.7</v>
      </c>
    </row>
    <row r="2811" spans="2:3" x14ac:dyDescent="0.3">
      <c r="B2811" s="171">
        <v>42725</v>
      </c>
      <c r="C2811" s="60">
        <v>3192.35</v>
      </c>
    </row>
    <row r="2812" spans="2:3" x14ac:dyDescent="0.3">
      <c r="B2812" s="171">
        <v>42724</v>
      </c>
      <c r="C2812" s="60">
        <v>3145.6</v>
      </c>
    </row>
    <row r="2813" spans="2:3" x14ac:dyDescent="0.3">
      <c r="B2813" s="171">
        <v>42723</v>
      </c>
      <c r="C2813" s="60">
        <v>3107.7</v>
      </c>
    </row>
    <row r="2814" spans="2:3" x14ac:dyDescent="0.3">
      <c r="B2814" s="171">
        <v>42720</v>
      </c>
      <c r="C2814" s="60">
        <v>3177.65</v>
      </c>
    </row>
    <row r="2815" spans="2:3" x14ac:dyDescent="0.3">
      <c r="B2815" s="171">
        <v>42719</v>
      </c>
      <c r="C2815" s="60">
        <v>3264.5</v>
      </c>
    </row>
    <row r="2816" spans="2:3" x14ac:dyDescent="0.3">
      <c r="B2816" s="171">
        <v>42718</v>
      </c>
      <c r="C2816" s="60">
        <v>3315.05</v>
      </c>
    </row>
    <row r="2817" spans="2:3" x14ac:dyDescent="0.3">
      <c r="B2817" s="171">
        <v>42717</v>
      </c>
      <c r="C2817" s="60">
        <v>3366.75</v>
      </c>
    </row>
    <row r="2818" spans="2:3" x14ac:dyDescent="0.3">
      <c r="B2818" s="171">
        <v>42716</v>
      </c>
      <c r="C2818" s="60">
        <v>3462.35</v>
      </c>
    </row>
    <row r="2819" spans="2:3" x14ac:dyDescent="0.3">
      <c r="B2819" s="171">
        <v>42713</v>
      </c>
      <c r="C2819" s="60">
        <v>3568.95</v>
      </c>
    </row>
    <row r="2820" spans="2:3" x14ac:dyDescent="0.3">
      <c r="B2820" s="171">
        <v>42712</v>
      </c>
      <c r="C2820" s="60">
        <v>3593</v>
      </c>
    </row>
    <row r="2821" spans="2:3" x14ac:dyDescent="0.3">
      <c r="B2821" s="171">
        <v>42711</v>
      </c>
      <c r="C2821" s="60">
        <v>3568.05</v>
      </c>
    </row>
    <row r="2822" spans="2:3" x14ac:dyDescent="0.3">
      <c r="B2822" s="171">
        <v>42710</v>
      </c>
      <c r="C2822" s="60">
        <v>3601.9</v>
      </c>
    </row>
    <row r="2823" spans="2:3" x14ac:dyDescent="0.3">
      <c r="B2823" s="171">
        <v>42709</v>
      </c>
      <c r="C2823" s="60">
        <v>3582.75</v>
      </c>
    </row>
    <row r="2824" spans="2:3" x14ac:dyDescent="0.3">
      <c r="B2824" s="171">
        <v>42706</v>
      </c>
      <c r="C2824" s="60">
        <v>3585.65</v>
      </c>
    </row>
    <row r="2825" spans="2:3" x14ac:dyDescent="0.3">
      <c r="B2825" s="171">
        <v>42705</v>
      </c>
      <c r="C2825" s="60">
        <v>3570.7</v>
      </c>
    </row>
    <row r="2826" spans="2:3" x14ac:dyDescent="0.3">
      <c r="B2826" s="171">
        <v>42704</v>
      </c>
      <c r="C2826" s="60">
        <v>3603.45</v>
      </c>
    </row>
    <row r="2827" spans="2:3" x14ac:dyDescent="0.3">
      <c r="B2827" s="171">
        <v>42703</v>
      </c>
      <c r="C2827" s="60">
        <v>3536.25</v>
      </c>
    </row>
    <row r="2828" spans="2:3" x14ac:dyDescent="0.3">
      <c r="B2828" s="171">
        <v>42702</v>
      </c>
      <c r="C2828" s="60">
        <v>3504.85</v>
      </c>
    </row>
    <row r="2829" spans="2:3" x14ac:dyDescent="0.3">
      <c r="B2829" s="171">
        <v>42699</v>
      </c>
      <c r="C2829" s="60">
        <v>3497.45</v>
      </c>
    </row>
    <row r="2830" spans="2:3" x14ac:dyDescent="0.3">
      <c r="B2830" s="171">
        <v>42698</v>
      </c>
      <c r="C2830" s="60">
        <v>3483.75</v>
      </c>
    </row>
    <row r="2831" spans="2:3" x14ac:dyDescent="0.3">
      <c r="B2831" s="171">
        <v>42697</v>
      </c>
      <c r="C2831" s="60">
        <v>3452.2</v>
      </c>
    </row>
    <row r="2832" spans="2:3" x14ac:dyDescent="0.3">
      <c r="B2832" s="171">
        <v>42696</v>
      </c>
      <c r="C2832" s="60">
        <v>3422.75</v>
      </c>
    </row>
    <row r="2833" spans="2:3" x14ac:dyDescent="0.3">
      <c r="B2833" s="171">
        <v>42695</v>
      </c>
      <c r="C2833" s="60">
        <v>3322.3</v>
      </c>
    </row>
    <row r="2834" spans="2:3" x14ac:dyDescent="0.3">
      <c r="B2834" s="171">
        <v>42692</v>
      </c>
      <c r="C2834" s="60">
        <v>3392.8</v>
      </c>
    </row>
    <row r="2835" spans="2:3" x14ac:dyDescent="0.3">
      <c r="B2835" s="171">
        <v>42691</v>
      </c>
      <c r="C2835" s="60">
        <v>3335.85</v>
      </c>
    </row>
    <row r="2836" spans="2:3" x14ac:dyDescent="0.3">
      <c r="B2836" s="171">
        <v>42690</v>
      </c>
      <c r="C2836" s="60">
        <v>3370.25</v>
      </c>
    </row>
    <row r="2837" spans="2:3" x14ac:dyDescent="0.3">
      <c r="B2837" s="171">
        <v>42689</v>
      </c>
      <c r="C2837" s="60">
        <v>3364.15</v>
      </c>
    </row>
    <row r="2838" spans="2:3" x14ac:dyDescent="0.3">
      <c r="B2838" s="171">
        <v>42685</v>
      </c>
      <c r="C2838" s="60">
        <v>3634.1</v>
      </c>
    </row>
    <row r="2839" spans="2:3" x14ac:dyDescent="0.3">
      <c r="B2839" s="171">
        <v>42684</v>
      </c>
      <c r="C2839" s="60">
        <v>3841.25</v>
      </c>
    </row>
    <row r="2840" spans="2:3" x14ac:dyDescent="0.3">
      <c r="B2840" s="171">
        <v>42683</v>
      </c>
      <c r="C2840" s="60">
        <v>3765.75</v>
      </c>
    </row>
    <row r="2841" spans="2:3" x14ac:dyDescent="0.3">
      <c r="B2841" s="171">
        <v>42682</v>
      </c>
      <c r="C2841" s="60">
        <v>3958.95</v>
      </c>
    </row>
    <row r="2842" spans="2:3" x14ac:dyDescent="0.3">
      <c r="B2842" s="171">
        <v>42681</v>
      </c>
      <c r="C2842" s="60">
        <v>3908.5</v>
      </c>
    </row>
    <row r="2843" spans="2:3" x14ac:dyDescent="0.3">
      <c r="B2843" s="171">
        <v>42678</v>
      </c>
      <c r="C2843" s="60">
        <v>3854.55</v>
      </c>
    </row>
    <row r="2844" spans="2:3" x14ac:dyDescent="0.3">
      <c r="B2844" s="171">
        <v>42677</v>
      </c>
      <c r="C2844" s="60">
        <v>3906.65</v>
      </c>
    </row>
    <row r="2845" spans="2:3" x14ac:dyDescent="0.3">
      <c r="B2845" s="171">
        <v>42676</v>
      </c>
      <c r="C2845" s="60">
        <v>3896.1</v>
      </c>
    </row>
    <row r="2846" spans="2:3" x14ac:dyDescent="0.3">
      <c r="B2846" s="171">
        <v>42675</v>
      </c>
      <c r="C2846" s="60">
        <v>3976.75</v>
      </c>
    </row>
    <row r="2847" spans="2:3" x14ac:dyDescent="0.3">
      <c r="B2847" s="171">
        <v>42673</v>
      </c>
      <c r="C2847" s="60">
        <v>3968</v>
      </c>
    </row>
    <row r="2848" spans="2:3" x14ac:dyDescent="0.3">
      <c r="B2848" s="171">
        <v>42671</v>
      </c>
      <c r="C2848" s="60">
        <v>3982.7</v>
      </c>
    </row>
    <row r="2849" spans="2:3" x14ac:dyDescent="0.3">
      <c r="B2849" s="171">
        <v>42670</v>
      </c>
      <c r="C2849" s="60">
        <v>3941.55</v>
      </c>
    </row>
    <row r="2850" spans="2:3" x14ac:dyDescent="0.3">
      <c r="B2850" s="171">
        <v>42669</v>
      </c>
      <c r="C2850" s="60">
        <v>3937.55</v>
      </c>
    </row>
    <row r="2851" spans="2:3" x14ac:dyDescent="0.3">
      <c r="B2851" s="171">
        <v>42668</v>
      </c>
      <c r="C2851" s="60">
        <v>4017.05</v>
      </c>
    </row>
    <row r="2852" spans="2:3" x14ac:dyDescent="0.3">
      <c r="B2852" s="171">
        <v>42667</v>
      </c>
      <c r="C2852" s="60">
        <v>3971.5</v>
      </c>
    </row>
    <row r="2853" spans="2:3" x14ac:dyDescent="0.3">
      <c r="B2853" s="171">
        <v>42664</v>
      </c>
      <c r="C2853" s="60">
        <v>3980.9</v>
      </c>
    </row>
    <row r="2854" spans="2:3" x14ac:dyDescent="0.3">
      <c r="B2854" s="171">
        <v>42663</v>
      </c>
      <c r="C2854" s="60">
        <v>4007.1</v>
      </c>
    </row>
    <row r="2855" spans="2:3" x14ac:dyDescent="0.3">
      <c r="B2855" s="171">
        <v>42662</v>
      </c>
      <c r="C2855" s="60">
        <v>4032.55</v>
      </c>
    </row>
    <row r="2856" spans="2:3" x14ac:dyDescent="0.3">
      <c r="B2856" s="171">
        <v>42661</v>
      </c>
      <c r="C2856" s="60">
        <v>4022.75</v>
      </c>
    </row>
    <row r="2857" spans="2:3" x14ac:dyDescent="0.3">
      <c r="B2857" s="171">
        <v>42660</v>
      </c>
      <c r="C2857" s="60">
        <v>4012.85</v>
      </c>
    </row>
    <row r="2858" spans="2:3" x14ac:dyDescent="0.3">
      <c r="B2858" s="171">
        <v>42657</v>
      </c>
      <c r="C2858" s="60">
        <v>4036.5</v>
      </c>
    </row>
    <row r="2859" spans="2:3" x14ac:dyDescent="0.3">
      <c r="B2859" s="171">
        <v>42656</v>
      </c>
      <c r="C2859" s="60">
        <v>3985.75</v>
      </c>
    </row>
    <row r="2860" spans="2:3" x14ac:dyDescent="0.3">
      <c r="B2860" s="171">
        <v>42653</v>
      </c>
      <c r="C2860" s="60">
        <v>3976.75</v>
      </c>
    </row>
    <row r="2861" spans="2:3" x14ac:dyDescent="0.3">
      <c r="B2861" s="171">
        <v>42650</v>
      </c>
      <c r="C2861" s="60">
        <v>3933.9</v>
      </c>
    </row>
    <row r="2862" spans="2:3" x14ac:dyDescent="0.3">
      <c r="B2862" s="171">
        <v>42649</v>
      </c>
      <c r="C2862" s="60">
        <v>3960.2</v>
      </c>
    </row>
    <row r="2863" spans="2:3" x14ac:dyDescent="0.3">
      <c r="B2863" s="171">
        <v>42648</v>
      </c>
      <c r="C2863" s="60">
        <v>4033.15</v>
      </c>
    </row>
    <row r="2864" spans="2:3" x14ac:dyDescent="0.3">
      <c r="B2864" s="171">
        <v>42647</v>
      </c>
      <c r="C2864" s="60">
        <v>3953.2</v>
      </c>
    </row>
    <row r="2865" spans="2:3" x14ac:dyDescent="0.3">
      <c r="B2865" s="171">
        <v>42646</v>
      </c>
      <c r="C2865" s="60">
        <v>3928.45</v>
      </c>
    </row>
    <row r="2866" spans="2:3" x14ac:dyDescent="0.3">
      <c r="B2866" s="171">
        <v>42643</v>
      </c>
      <c r="C2866" s="60">
        <v>3851.55</v>
      </c>
    </row>
    <row r="2867" spans="2:3" x14ac:dyDescent="0.3">
      <c r="B2867" s="171">
        <v>42642</v>
      </c>
      <c r="C2867" s="60">
        <v>3861.3</v>
      </c>
    </row>
    <row r="2868" spans="2:3" x14ac:dyDescent="0.3">
      <c r="B2868" s="171">
        <v>42641</v>
      </c>
      <c r="C2868" s="60">
        <v>3972.65</v>
      </c>
    </row>
    <row r="2869" spans="2:3" x14ac:dyDescent="0.3">
      <c r="B2869" s="171">
        <v>42640</v>
      </c>
      <c r="C2869" s="60">
        <v>3914.8</v>
      </c>
    </row>
    <row r="2870" spans="2:3" x14ac:dyDescent="0.3">
      <c r="B2870" s="171">
        <v>42639</v>
      </c>
      <c r="C2870" s="60">
        <v>3923.15</v>
      </c>
    </row>
    <row r="2871" spans="2:3" x14ac:dyDescent="0.3">
      <c r="B2871" s="171">
        <v>42636</v>
      </c>
      <c r="C2871" s="60">
        <v>3964.2</v>
      </c>
    </row>
    <row r="2872" spans="2:3" x14ac:dyDescent="0.3">
      <c r="B2872" s="171">
        <v>42635</v>
      </c>
      <c r="C2872" s="60">
        <v>3980</v>
      </c>
    </row>
    <row r="2873" spans="2:3" x14ac:dyDescent="0.3">
      <c r="B2873" s="171">
        <v>42634</v>
      </c>
      <c r="C2873" s="60">
        <v>3960.75</v>
      </c>
    </row>
    <row r="2874" spans="2:3" x14ac:dyDescent="0.3">
      <c r="B2874" s="171">
        <v>42633</v>
      </c>
      <c r="C2874" s="60">
        <v>3988.7</v>
      </c>
    </row>
    <row r="2875" spans="2:3" x14ac:dyDescent="0.3">
      <c r="B2875" s="171">
        <v>42632</v>
      </c>
      <c r="C2875" s="60">
        <v>3990.45</v>
      </c>
    </row>
    <row r="2876" spans="2:3" x14ac:dyDescent="0.3">
      <c r="B2876" s="171">
        <v>42629</v>
      </c>
      <c r="C2876" s="60">
        <v>3924</v>
      </c>
    </row>
    <row r="2877" spans="2:3" x14ac:dyDescent="0.3">
      <c r="B2877" s="171">
        <v>42628</v>
      </c>
      <c r="C2877" s="60">
        <v>3928.65</v>
      </c>
    </row>
    <row r="2878" spans="2:3" x14ac:dyDescent="0.3">
      <c r="B2878" s="171">
        <v>42627</v>
      </c>
      <c r="C2878" s="60">
        <v>3944.25</v>
      </c>
    </row>
    <row r="2879" spans="2:3" x14ac:dyDescent="0.3">
      <c r="B2879" s="171">
        <v>42625</v>
      </c>
      <c r="C2879" s="60">
        <v>3866.15</v>
      </c>
    </row>
    <row r="2880" spans="2:3" x14ac:dyDescent="0.3">
      <c r="B2880" s="171">
        <v>42622</v>
      </c>
      <c r="C2880" s="60">
        <v>3953.7</v>
      </c>
    </row>
    <row r="2881" spans="2:3" x14ac:dyDescent="0.3">
      <c r="B2881" s="171">
        <v>42621</v>
      </c>
      <c r="C2881" s="60">
        <v>4115.3500000000004</v>
      </c>
    </row>
    <row r="2882" spans="2:3" x14ac:dyDescent="0.3">
      <c r="B2882" s="171">
        <v>42620</v>
      </c>
      <c r="C2882" s="60">
        <v>4085.6</v>
      </c>
    </row>
    <row r="2883" spans="2:3" x14ac:dyDescent="0.3">
      <c r="B2883" s="171">
        <v>42619</v>
      </c>
      <c r="C2883" s="60">
        <v>4074.8</v>
      </c>
    </row>
    <row r="2884" spans="2:3" x14ac:dyDescent="0.3">
      <c r="B2884" s="171">
        <v>42615</v>
      </c>
      <c r="C2884" s="60">
        <v>4085.35</v>
      </c>
    </row>
    <row r="2885" spans="2:3" x14ac:dyDescent="0.3">
      <c r="B2885" s="171">
        <v>42614</v>
      </c>
      <c r="C2885" s="60">
        <v>4062.9</v>
      </c>
    </row>
    <row r="2886" spans="2:3" x14ac:dyDescent="0.3">
      <c r="B2886" s="171">
        <v>42613</v>
      </c>
      <c r="C2886" s="60">
        <v>4028.7</v>
      </c>
    </row>
    <row r="2887" spans="2:3" x14ac:dyDescent="0.3">
      <c r="B2887" s="171">
        <v>42612</v>
      </c>
      <c r="C2887" s="60">
        <v>3891.85</v>
      </c>
    </row>
    <row r="2888" spans="2:3" x14ac:dyDescent="0.3">
      <c r="B2888" s="171">
        <v>42611</v>
      </c>
      <c r="C2888" s="60">
        <v>3782.5</v>
      </c>
    </row>
    <row r="2889" spans="2:3" x14ac:dyDescent="0.3">
      <c r="B2889" s="171">
        <v>42608</v>
      </c>
      <c r="C2889" s="60">
        <v>3803.45</v>
      </c>
    </row>
    <row r="2890" spans="2:3" x14ac:dyDescent="0.3">
      <c r="B2890" s="171">
        <v>42607</v>
      </c>
      <c r="C2890" s="60">
        <v>3789.5</v>
      </c>
    </row>
    <row r="2891" spans="2:3" x14ac:dyDescent="0.3">
      <c r="B2891" s="171">
        <v>42606</v>
      </c>
      <c r="C2891" s="60">
        <v>3812.3</v>
      </c>
    </row>
    <row r="2892" spans="2:3" x14ac:dyDescent="0.3">
      <c r="B2892" s="171">
        <v>42605</v>
      </c>
      <c r="C2892" s="60">
        <v>3826.3</v>
      </c>
    </row>
    <row r="2893" spans="2:3" x14ac:dyDescent="0.3">
      <c r="B2893" s="171">
        <v>42604</v>
      </c>
      <c r="C2893" s="60">
        <v>3865.4</v>
      </c>
    </row>
    <row r="2894" spans="2:3" x14ac:dyDescent="0.3">
      <c r="B2894" s="171">
        <v>42601</v>
      </c>
      <c r="C2894" s="60">
        <v>3926.8</v>
      </c>
    </row>
    <row r="2895" spans="2:3" x14ac:dyDescent="0.3">
      <c r="B2895" s="171">
        <v>42600</v>
      </c>
      <c r="C2895" s="60">
        <v>3874.35</v>
      </c>
    </row>
    <row r="2896" spans="2:3" x14ac:dyDescent="0.3">
      <c r="B2896" s="171">
        <v>42599</v>
      </c>
      <c r="C2896" s="60">
        <v>3699.3</v>
      </c>
    </row>
    <row r="2897" spans="2:3" x14ac:dyDescent="0.3">
      <c r="B2897" s="171">
        <v>42598</v>
      </c>
      <c r="C2897" s="60">
        <v>3739.45</v>
      </c>
    </row>
    <row r="2898" spans="2:3" x14ac:dyDescent="0.3">
      <c r="B2898" s="171">
        <v>42594</v>
      </c>
      <c r="C2898" s="60">
        <v>3722.1</v>
      </c>
    </row>
    <row r="2899" spans="2:3" x14ac:dyDescent="0.3">
      <c r="B2899" s="171">
        <v>42593</v>
      </c>
      <c r="C2899" s="60">
        <v>3706.65</v>
      </c>
    </row>
    <row r="2900" spans="2:3" x14ac:dyDescent="0.3">
      <c r="B2900" s="171">
        <v>42592</v>
      </c>
      <c r="C2900" s="60">
        <v>3728.95</v>
      </c>
    </row>
    <row r="2901" spans="2:3" x14ac:dyDescent="0.3">
      <c r="B2901" s="171">
        <v>42591</v>
      </c>
      <c r="C2901" s="60">
        <v>3801.95</v>
      </c>
    </row>
    <row r="2902" spans="2:3" x14ac:dyDescent="0.3">
      <c r="B2902" s="171">
        <v>42590</v>
      </c>
      <c r="C2902" s="60">
        <v>3780.25</v>
      </c>
    </row>
    <row r="2903" spans="2:3" x14ac:dyDescent="0.3">
      <c r="B2903" s="171">
        <v>42587</v>
      </c>
      <c r="C2903" s="60">
        <v>3806.9</v>
      </c>
    </row>
    <row r="2904" spans="2:3" x14ac:dyDescent="0.3">
      <c r="B2904" s="171">
        <v>42586</v>
      </c>
      <c r="C2904" s="60">
        <v>3656.55</v>
      </c>
    </row>
    <row r="2905" spans="2:3" x14ac:dyDescent="0.3">
      <c r="B2905" s="171">
        <v>42585</v>
      </c>
      <c r="C2905" s="60">
        <v>3667.7</v>
      </c>
    </row>
    <row r="2906" spans="2:3" x14ac:dyDescent="0.3">
      <c r="B2906" s="171">
        <v>42584</v>
      </c>
      <c r="C2906" s="60">
        <v>3676.7</v>
      </c>
    </row>
    <row r="2907" spans="2:3" x14ac:dyDescent="0.3">
      <c r="B2907" s="171">
        <v>42583</v>
      </c>
      <c r="C2907" s="60">
        <v>3755.7</v>
      </c>
    </row>
    <row r="2908" spans="2:3" x14ac:dyDescent="0.3">
      <c r="B2908" s="171">
        <v>42580</v>
      </c>
      <c r="C2908" s="60">
        <v>3718.2</v>
      </c>
    </row>
    <row r="2909" spans="2:3" x14ac:dyDescent="0.3">
      <c r="B2909" s="171">
        <v>42579</v>
      </c>
      <c r="C2909" s="60">
        <v>3678.75</v>
      </c>
    </row>
    <row r="2910" spans="2:3" x14ac:dyDescent="0.3">
      <c r="B2910" s="171">
        <v>42578</v>
      </c>
      <c r="C2910" s="60">
        <v>3650.75</v>
      </c>
    </row>
    <row r="2911" spans="2:3" x14ac:dyDescent="0.3">
      <c r="B2911" s="171">
        <v>42577</v>
      </c>
      <c r="C2911" s="60">
        <v>3628.3</v>
      </c>
    </row>
    <row r="2912" spans="2:3" x14ac:dyDescent="0.3">
      <c r="B2912" s="171">
        <v>42576</v>
      </c>
      <c r="C2912" s="60">
        <v>3670</v>
      </c>
    </row>
    <row r="2913" spans="2:3" x14ac:dyDescent="0.3">
      <c r="B2913" s="171">
        <v>42573</v>
      </c>
      <c r="C2913" s="60">
        <v>3639.7</v>
      </c>
    </row>
    <row r="2914" spans="2:3" x14ac:dyDescent="0.3">
      <c r="B2914" s="171">
        <v>42572</v>
      </c>
      <c r="C2914" s="60">
        <v>3638.5</v>
      </c>
    </row>
    <row r="2915" spans="2:3" x14ac:dyDescent="0.3">
      <c r="B2915" s="171">
        <v>42571</v>
      </c>
      <c r="C2915" s="60">
        <v>3559.85</v>
      </c>
    </row>
    <row r="2916" spans="2:3" x14ac:dyDescent="0.3">
      <c r="B2916" s="171">
        <v>42570</v>
      </c>
      <c r="C2916" s="60">
        <v>3507.75</v>
      </c>
    </row>
    <row r="2917" spans="2:3" x14ac:dyDescent="0.3">
      <c r="B2917" s="171">
        <v>42569</v>
      </c>
      <c r="C2917" s="60">
        <v>3498.45</v>
      </c>
    </row>
    <row r="2918" spans="2:3" x14ac:dyDescent="0.3">
      <c r="B2918" s="171">
        <v>42566</v>
      </c>
      <c r="C2918" s="60">
        <v>3531.35</v>
      </c>
    </row>
    <row r="2919" spans="2:3" x14ac:dyDescent="0.3">
      <c r="B2919" s="171">
        <v>42565</v>
      </c>
      <c r="C2919" s="60">
        <v>3500.6</v>
      </c>
    </row>
    <row r="2920" spans="2:3" x14ac:dyDescent="0.3">
      <c r="B2920" s="171">
        <v>42564</v>
      </c>
      <c r="C2920" s="60">
        <v>3434.65</v>
      </c>
    </row>
    <row r="2921" spans="2:3" x14ac:dyDescent="0.3">
      <c r="B2921" s="171">
        <v>42563</v>
      </c>
      <c r="C2921" s="60">
        <v>3487.3</v>
      </c>
    </row>
    <row r="2922" spans="2:3" x14ac:dyDescent="0.3">
      <c r="B2922" s="171">
        <v>42562</v>
      </c>
      <c r="C2922" s="60">
        <v>3454.55</v>
      </c>
    </row>
    <row r="2923" spans="2:3" x14ac:dyDescent="0.3">
      <c r="B2923" s="171">
        <v>42559</v>
      </c>
      <c r="C2923" s="60">
        <v>3400.05</v>
      </c>
    </row>
    <row r="2924" spans="2:3" x14ac:dyDescent="0.3">
      <c r="B2924" s="171">
        <v>42558</v>
      </c>
      <c r="C2924" s="60">
        <v>3382.4</v>
      </c>
    </row>
    <row r="2925" spans="2:3" x14ac:dyDescent="0.3">
      <c r="B2925" s="171">
        <v>42556</v>
      </c>
      <c r="C2925" s="60">
        <v>3375.15</v>
      </c>
    </row>
    <row r="2926" spans="2:3" x14ac:dyDescent="0.3">
      <c r="B2926" s="171">
        <v>42555</v>
      </c>
      <c r="C2926" s="60">
        <v>3409.15</v>
      </c>
    </row>
    <row r="2927" spans="2:3" x14ac:dyDescent="0.3">
      <c r="B2927" s="171">
        <v>42552</v>
      </c>
      <c r="C2927" s="60">
        <v>3424.1</v>
      </c>
    </row>
    <row r="2928" spans="2:3" x14ac:dyDescent="0.3">
      <c r="B2928" s="171">
        <v>42551</v>
      </c>
      <c r="C2928" s="60">
        <v>3411</v>
      </c>
    </row>
    <row r="2929" spans="2:3" x14ac:dyDescent="0.3">
      <c r="B2929" s="171">
        <v>42550</v>
      </c>
      <c r="C2929" s="60">
        <v>3395.25</v>
      </c>
    </row>
    <row r="2930" spans="2:3" x14ac:dyDescent="0.3">
      <c r="B2930" s="171">
        <v>42549</v>
      </c>
      <c r="C2930" s="60">
        <v>3400.8</v>
      </c>
    </row>
    <row r="2931" spans="2:3" x14ac:dyDescent="0.3">
      <c r="B2931" s="171">
        <v>42548</v>
      </c>
      <c r="C2931" s="60">
        <v>3396</v>
      </c>
    </row>
    <row r="2932" spans="2:3" x14ac:dyDescent="0.3">
      <c r="B2932" s="171">
        <v>42545</v>
      </c>
      <c r="C2932" s="60">
        <v>3289.95</v>
      </c>
    </row>
    <row r="2933" spans="2:3" x14ac:dyDescent="0.3">
      <c r="B2933" s="171">
        <v>42544</v>
      </c>
      <c r="C2933" s="60">
        <v>3337.95</v>
      </c>
    </row>
    <row r="2934" spans="2:3" x14ac:dyDescent="0.3">
      <c r="B2934" s="171">
        <v>42543</v>
      </c>
      <c r="C2934" s="60">
        <v>3311.2</v>
      </c>
    </row>
    <row r="2935" spans="2:3" x14ac:dyDescent="0.3">
      <c r="B2935" s="171">
        <v>42542</v>
      </c>
      <c r="C2935" s="60">
        <v>3357.6</v>
      </c>
    </row>
    <row r="2936" spans="2:3" x14ac:dyDescent="0.3">
      <c r="B2936" s="171">
        <v>42541</v>
      </c>
      <c r="C2936" s="60">
        <v>3369.55</v>
      </c>
    </row>
    <row r="2937" spans="2:3" x14ac:dyDescent="0.3">
      <c r="B2937" s="171">
        <v>42538</v>
      </c>
      <c r="C2937" s="60">
        <v>3303.05</v>
      </c>
    </row>
    <row r="2938" spans="2:3" x14ac:dyDescent="0.3">
      <c r="B2938" s="171">
        <v>42537</v>
      </c>
      <c r="C2938" s="60">
        <v>3281.85</v>
      </c>
    </row>
    <row r="2939" spans="2:3" x14ac:dyDescent="0.3">
      <c r="B2939" s="171">
        <v>42536</v>
      </c>
      <c r="C2939" s="60">
        <v>3363.75</v>
      </c>
    </row>
    <row r="2940" spans="2:3" x14ac:dyDescent="0.3">
      <c r="B2940" s="171">
        <v>42535</v>
      </c>
      <c r="C2940" s="60">
        <v>3321.9</v>
      </c>
    </row>
    <row r="2941" spans="2:3" x14ac:dyDescent="0.3">
      <c r="B2941" s="171">
        <v>42534</v>
      </c>
      <c r="C2941" s="60">
        <v>3397.9</v>
      </c>
    </row>
    <row r="2942" spans="2:3" x14ac:dyDescent="0.3">
      <c r="B2942" s="171">
        <v>42531</v>
      </c>
      <c r="C2942" s="60">
        <v>3384.65</v>
      </c>
    </row>
    <row r="2943" spans="2:3" x14ac:dyDescent="0.3">
      <c r="B2943" s="171">
        <v>42530</v>
      </c>
      <c r="C2943" s="60">
        <v>3379.7</v>
      </c>
    </row>
    <row r="2944" spans="2:3" x14ac:dyDescent="0.3">
      <c r="B2944" s="171">
        <v>42529</v>
      </c>
      <c r="C2944" s="60">
        <v>3371.35</v>
      </c>
    </row>
    <row r="2945" spans="2:3" x14ac:dyDescent="0.3">
      <c r="B2945" s="171">
        <v>42528</v>
      </c>
      <c r="C2945" s="60">
        <v>3334.95</v>
      </c>
    </row>
    <row r="2946" spans="2:3" x14ac:dyDescent="0.3">
      <c r="B2946" s="171">
        <v>42527</v>
      </c>
      <c r="C2946" s="60">
        <v>3227.3</v>
      </c>
    </row>
    <row r="2947" spans="2:3" x14ac:dyDescent="0.3">
      <c r="B2947" s="171">
        <v>42524</v>
      </c>
      <c r="C2947" s="60">
        <v>3189.25</v>
      </c>
    </row>
    <row r="2948" spans="2:3" x14ac:dyDescent="0.3">
      <c r="B2948" s="171">
        <v>42523</v>
      </c>
      <c r="C2948" s="60">
        <v>3232.95</v>
      </c>
    </row>
    <row r="2949" spans="2:3" x14ac:dyDescent="0.3">
      <c r="B2949" s="171">
        <v>42522</v>
      </c>
      <c r="C2949" s="60">
        <v>3228.25</v>
      </c>
    </row>
    <row r="2950" spans="2:3" x14ac:dyDescent="0.3">
      <c r="B2950" s="171">
        <v>42521</v>
      </c>
      <c r="C2950" s="60">
        <v>3226.7</v>
      </c>
    </row>
    <row r="2951" spans="2:3" x14ac:dyDescent="0.3">
      <c r="B2951" s="171">
        <v>42520</v>
      </c>
      <c r="C2951" s="60">
        <v>3212.2</v>
      </c>
    </row>
    <row r="2952" spans="2:3" x14ac:dyDescent="0.3">
      <c r="B2952" s="171">
        <v>42517</v>
      </c>
      <c r="C2952" s="60">
        <v>3248.3</v>
      </c>
    </row>
    <row r="2953" spans="2:3" x14ac:dyDescent="0.3">
      <c r="B2953" s="171">
        <v>42516</v>
      </c>
      <c r="C2953" s="60">
        <v>3213.65</v>
      </c>
    </row>
    <row r="2954" spans="2:3" x14ac:dyDescent="0.3">
      <c r="B2954" s="171">
        <v>42515</v>
      </c>
      <c r="C2954" s="60">
        <v>3209.45</v>
      </c>
    </row>
    <row r="2955" spans="2:3" x14ac:dyDescent="0.3">
      <c r="B2955" s="171">
        <v>42514</v>
      </c>
      <c r="C2955" s="60">
        <v>3174.45</v>
      </c>
    </row>
    <row r="2956" spans="2:3" x14ac:dyDescent="0.3">
      <c r="B2956" s="171">
        <v>42513</v>
      </c>
      <c r="C2956" s="60">
        <v>3122.4</v>
      </c>
    </row>
    <row r="2957" spans="2:3" x14ac:dyDescent="0.3">
      <c r="B2957" s="171">
        <v>42510</v>
      </c>
      <c r="C2957" s="60">
        <v>3134</v>
      </c>
    </row>
    <row r="2958" spans="2:3" x14ac:dyDescent="0.3">
      <c r="B2958" s="171">
        <v>42509</v>
      </c>
      <c r="C2958" s="60">
        <v>3189.5</v>
      </c>
    </row>
    <row r="2959" spans="2:3" x14ac:dyDescent="0.3">
      <c r="B2959" s="171">
        <v>42508</v>
      </c>
      <c r="C2959" s="60">
        <v>3223.6</v>
      </c>
    </row>
    <row r="2960" spans="2:3" x14ac:dyDescent="0.3">
      <c r="B2960" s="171">
        <v>42507</v>
      </c>
      <c r="C2960" s="60">
        <v>3252.75</v>
      </c>
    </row>
    <row r="2961" spans="2:3" x14ac:dyDescent="0.3">
      <c r="B2961" s="171">
        <v>42506</v>
      </c>
      <c r="C2961" s="60">
        <v>3171.7</v>
      </c>
    </row>
    <row r="2962" spans="2:3" x14ac:dyDescent="0.3">
      <c r="B2962" s="171">
        <v>42503</v>
      </c>
      <c r="C2962" s="60">
        <v>3151.65</v>
      </c>
    </row>
    <row r="2963" spans="2:3" x14ac:dyDescent="0.3">
      <c r="B2963" s="171">
        <v>42502</v>
      </c>
      <c r="C2963" s="60">
        <v>3227.6</v>
      </c>
    </row>
    <row r="2964" spans="2:3" x14ac:dyDescent="0.3">
      <c r="B2964" s="171">
        <v>42501</v>
      </c>
      <c r="C2964" s="60">
        <v>3199.1</v>
      </c>
    </row>
    <row r="2965" spans="2:3" x14ac:dyDescent="0.3">
      <c r="B2965" s="171">
        <v>42500</v>
      </c>
      <c r="C2965" s="60">
        <v>3165.75</v>
      </c>
    </row>
    <row r="2966" spans="2:3" x14ac:dyDescent="0.3">
      <c r="B2966" s="171">
        <v>42499</v>
      </c>
      <c r="C2966" s="60">
        <v>3165.75</v>
      </c>
    </row>
    <row r="2967" spans="2:3" x14ac:dyDescent="0.3">
      <c r="B2967" s="171">
        <v>42496</v>
      </c>
      <c r="C2967" s="60">
        <v>3099.9</v>
      </c>
    </row>
    <row r="2968" spans="2:3" x14ac:dyDescent="0.3">
      <c r="B2968" s="171">
        <v>42495</v>
      </c>
      <c r="C2968" s="60">
        <v>3119</v>
      </c>
    </row>
    <row r="2969" spans="2:3" x14ac:dyDescent="0.3">
      <c r="B2969" s="171">
        <v>42494</v>
      </c>
      <c r="C2969" s="60">
        <v>3183.65</v>
      </c>
    </row>
    <row r="2970" spans="2:3" x14ac:dyDescent="0.3">
      <c r="B2970" s="171">
        <v>42493</v>
      </c>
      <c r="C2970" s="60">
        <v>3215</v>
      </c>
    </row>
    <row r="2971" spans="2:3" x14ac:dyDescent="0.3">
      <c r="B2971" s="171">
        <v>42492</v>
      </c>
      <c r="C2971" s="60">
        <v>3176.1</v>
      </c>
    </row>
    <row r="2972" spans="2:3" x14ac:dyDescent="0.3">
      <c r="B2972" s="171">
        <v>42489</v>
      </c>
      <c r="C2972" s="60">
        <v>3161.45</v>
      </c>
    </row>
    <row r="2973" spans="2:3" x14ac:dyDescent="0.3">
      <c r="B2973" s="171">
        <v>42488</v>
      </c>
      <c r="C2973" s="60">
        <v>3169.25</v>
      </c>
    </row>
    <row r="2974" spans="2:3" x14ac:dyDescent="0.3">
      <c r="B2974" s="171">
        <v>42487</v>
      </c>
      <c r="C2974" s="60">
        <v>3191.8</v>
      </c>
    </row>
    <row r="2975" spans="2:3" x14ac:dyDescent="0.3">
      <c r="B2975" s="171">
        <v>42486</v>
      </c>
      <c r="C2975" s="60">
        <v>3266.05</v>
      </c>
    </row>
    <row r="2976" spans="2:3" x14ac:dyDescent="0.3">
      <c r="B2976" s="171">
        <v>42485</v>
      </c>
      <c r="C2976" s="60">
        <v>3276.2</v>
      </c>
    </row>
    <row r="2977" spans="2:3" x14ac:dyDescent="0.3">
      <c r="B2977" s="171">
        <v>42482</v>
      </c>
      <c r="C2977" s="60">
        <v>3271.1</v>
      </c>
    </row>
    <row r="2978" spans="2:3" x14ac:dyDescent="0.3">
      <c r="B2978" s="171">
        <v>42481</v>
      </c>
      <c r="C2978" s="60">
        <v>3264</v>
      </c>
    </row>
    <row r="2979" spans="2:3" x14ac:dyDescent="0.3">
      <c r="B2979" s="171">
        <v>42480</v>
      </c>
      <c r="C2979" s="60">
        <v>3366.55</v>
      </c>
    </row>
    <row r="2980" spans="2:3" x14ac:dyDescent="0.3">
      <c r="B2980" s="171">
        <v>42478</v>
      </c>
      <c r="C2980" s="60">
        <v>3405.65</v>
      </c>
    </row>
    <row r="2981" spans="2:3" x14ac:dyDescent="0.3">
      <c r="B2981" s="171">
        <v>42473</v>
      </c>
      <c r="C2981" s="60">
        <v>3273.7</v>
      </c>
    </row>
    <row r="2982" spans="2:3" x14ac:dyDescent="0.3">
      <c r="B2982" s="171">
        <v>42472</v>
      </c>
      <c r="C2982" s="60">
        <v>3166.4</v>
      </c>
    </row>
    <row r="2983" spans="2:3" x14ac:dyDescent="0.3">
      <c r="B2983" s="171">
        <v>42471</v>
      </c>
      <c r="C2983" s="60">
        <v>3152.2</v>
      </c>
    </row>
    <row r="2984" spans="2:3" x14ac:dyDescent="0.3">
      <c r="B2984" s="171">
        <v>42468</v>
      </c>
      <c r="C2984" s="60">
        <v>3158.85</v>
      </c>
    </row>
    <row r="2985" spans="2:3" x14ac:dyDescent="0.3">
      <c r="B2985" s="171">
        <v>42467</v>
      </c>
      <c r="C2985" s="60">
        <v>3137.45</v>
      </c>
    </row>
    <row r="2986" spans="2:3" x14ac:dyDescent="0.3">
      <c r="B2986" s="171">
        <v>42466</v>
      </c>
      <c r="C2986" s="60">
        <v>3188.6</v>
      </c>
    </row>
    <row r="2987" spans="2:3" x14ac:dyDescent="0.3">
      <c r="B2987" s="171">
        <v>42465</v>
      </c>
      <c r="C2987" s="60">
        <v>3100.4</v>
      </c>
    </row>
    <row r="2988" spans="2:3" x14ac:dyDescent="0.3">
      <c r="B2988" s="171">
        <v>42464</v>
      </c>
      <c r="C2988" s="60">
        <v>3170.85</v>
      </c>
    </row>
    <row r="2989" spans="2:3" x14ac:dyDescent="0.3">
      <c r="B2989" s="171">
        <v>42461</v>
      </c>
      <c r="C2989" s="60">
        <v>3203.7</v>
      </c>
    </row>
    <row r="2990" spans="2:3" x14ac:dyDescent="0.3">
      <c r="B2990" s="171">
        <v>42460</v>
      </c>
      <c r="C2990" s="60">
        <v>3228.75</v>
      </c>
    </row>
    <row r="2991" spans="2:3" x14ac:dyDescent="0.3">
      <c r="B2991" s="171">
        <v>42459</v>
      </c>
      <c r="C2991" s="60">
        <v>3184.1</v>
      </c>
    </row>
    <row r="2992" spans="2:3" x14ac:dyDescent="0.3">
      <c r="B2992" s="171">
        <v>42458</v>
      </c>
      <c r="C2992" s="60">
        <v>3136.25</v>
      </c>
    </row>
    <row r="2993" spans="2:3" x14ac:dyDescent="0.3">
      <c r="B2993" s="171">
        <v>42457</v>
      </c>
      <c r="C2993" s="60">
        <v>3176.95</v>
      </c>
    </row>
    <row r="2994" spans="2:3" x14ac:dyDescent="0.3">
      <c r="B2994" s="171">
        <v>42452</v>
      </c>
      <c r="C2994" s="60">
        <v>3198.45</v>
      </c>
    </row>
    <row r="2995" spans="2:3" x14ac:dyDescent="0.3">
      <c r="B2995" s="171">
        <v>42451</v>
      </c>
      <c r="C2995" s="60">
        <v>3210.4</v>
      </c>
    </row>
    <row r="2996" spans="2:3" x14ac:dyDescent="0.3">
      <c r="B2996" s="171">
        <v>42450</v>
      </c>
      <c r="C2996" s="60">
        <v>3229.5</v>
      </c>
    </row>
    <row r="2997" spans="2:3" x14ac:dyDescent="0.3">
      <c r="B2997" s="171">
        <v>42447</v>
      </c>
      <c r="C2997" s="60">
        <v>3110.65</v>
      </c>
    </row>
    <row r="2998" spans="2:3" x14ac:dyDescent="0.3">
      <c r="B2998" s="171">
        <v>42446</v>
      </c>
      <c r="C2998" s="60">
        <v>3029</v>
      </c>
    </row>
    <row r="2999" spans="2:3" x14ac:dyDescent="0.3">
      <c r="B2999" s="171">
        <v>42445</v>
      </c>
      <c r="C2999" s="60">
        <v>2968.25</v>
      </c>
    </row>
    <row r="3000" spans="2:3" x14ac:dyDescent="0.3">
      <c r="B3000" s="171">
        <v>42444</v>
      </c>
      <c r="C3000" s="60">
        <v>2989.6</v>
      </c>
    </row>
    <row r="3001" spans="2:3" x14ac:dyDescent="0.3">
      <c r="B3001" s="171">
        <v>42443</v>
      </c>
      <c r="C3001" s="60">
        <v>3008.3</v>
      </c>
    </row>
    <row r="3002" spans="2:3" x14ac:dyDescent="0.3">
      <c r="B3002" s="171">
        <v>42440</v>
      </c>
      <c r="C3002" s="60">
        <v>2994.45</v>
      </c>
    </row>
    <row r="3003" spans="2:3" x14ac:dyDescent="0.3">
      <c r="B3003" s="171">
        <v>42439</v>
      </c>
      <c r="C3003" s="60">
        <v>2997.75</v>
      </c>
    </row>
    <row r="3004" spans="2:3" x14ac:dyDescent="0.3">
      <c r="B3004" s="171">
        <v>42438</v>
      </c>
      <c r="C3004" s="60">
        <v>2991.6</v>
      </c>
    </row>
    <row r="3005" spans="2:3" x14ac:dyDescent="0.3">
      <c r="B3005" s="171">
        <v>42437</v>
      </c>
      <c r="C3005" s="60">
        <v>2950</v>
      </c>
    </row>
    <row r="3006" spans="2:3" x14ac:dyDescent="0.3">
      <c r="B3006" s="171">
        <v>42433</v>
      </c>
      <c r="C3006" s="60">
        <v>2906.9</v>
      </c>
    </row>
    <row r="3007" spans="2:3" x14ac:dyDescent="0.3">
      <c r="B3007" s="171">
        <v>42432</v>
      </c>
      <c r="C3007" s="60">
        <v>2944.25</v>
      </c>
    </row>
    <row r="3008" spans="2:3" x14ac:dyDescent="0.3">
      <c r="B3008" s="171">
        <v>42431</v>
      </c>
      <c r="C3008" s="60">
        <v>2973</v>
      </c>
    </row>
    <row r="3009" spans="2:3" x14ac:dyDescent="0.3">
      <c r="B3009" s="171">
        <v>42430</v>
      </c>
      <c r="C3009" s="60">
        <v>2885.3</v>
      </c>
    </row>
    <row r="3010" spans="2:3" x14ac:dyDescent="0.3">
      <c r="B3010" s="171">
        <v>42429</v>
      </c>
      <c r="C3010" s="60">
        <v>2768.6</v>
      </c>
    </row>
    <row r="3011" spans="2:3" x14ac:dyDescent="0.3">
      <c r="B3011" s="171">
        <v>42426</v>
      </c>
      <c r="C3011" s="60">
        <v>2770.95</v>
      </c>
    </row>
    <row r="3012" spans="2:3" x14ac:dyDescent="0.3">
      <c r="B3012" s="171">
        <v>42425</v>
      </c>
      <c r="C3012" s="60">
        <v>2779.1</v>
      </c>
    </row>
    <row r="3013" spans="2:3" x14ac:dyDescent="0.3">
      <c r="B3013" s="171">
        <v>42424</v>
      </c>
      <c r="C3013" s="60">
        <v>2797.35</v>
      </c>
    </row>
    <row r="3014" spans="2:3" x14ac:dyDescent="0.3">
      <c r="B3014" s="171">
        <v>42423</v>
      </c>
      <c r="C3014" s="60">
        <v>2816.35</v>
      </c>
    </row>
    <row r="3015" spans="2:3" x14ac:dyDescent="0.3">
      <c r="B3015" s="171">
        <v>42422</v>
      </c>
      <c r="C3015" s="60">
        <v>2923.1</v>
      </c>
    </row>
    <row r="3016" spans="2:3" x14ac:dyDescent="0.3">
      <c r="B3016" s="171">
        <v>42419</v>
      </c>
      <c r="C3016" s="60">
        <v>2844.7</v>
      </c>
    </row>
    <row r="3017" spans="2:3" x14ac:dyDescent="0.3">
      <c r="B3017" s="171">
        <v>42418</v>
      </c>
      <c r="C3017" s="60">
        <v>2795.1</v>
      </c>
    </row>
    <row r="3018" spans="2:3" x14ac:dyDescent="0.3">
      <c r="B3018" s="171">
        <v>42417</v>
      </c>
      <c r="C3018" s="60">
        <v>2776.55</v>
      </c>
    </row>
    <row r="3019" spans="2:3" x14ac:dyDescent="0.3">
      <c r="B3019" s="171">
        <v>42416</v>
      </c>
      <c r="C3019" s="60">
        <v>2787.6</v>
      </c>
    </row>
    <row r="3020" spans="2:3" x14ac:dyDescent="0.3">
      <c r="B3020" s="171">
        <v>42415</v>
      </c>
      <c r="C3020" s="60">
        <v>2802.35</v>
      </c>
    </row>
    <row r="3021" spans="2:3" x14ac:dyDescent="0.3">
      <c r="B3021" s="171">
        <v>42412</v>
      </c>
      <c r="C3021" s="60">
        <v>2767.75</v>
      </c>
    </row>
    <row r="3022" spans="2:3" x14ac:dyDescent="0.3">
      <c r="B3022" s="171">
        <v>42411</v>
      </c>
      <c r="C3022" s="60">
        <v>2717.9</v>
      </c>
    </row>
    <row r="3023" spans="2:3" x14ac:dyDescent="0.3">
      <c r="B3023" s="171">
        <v>42410</v>
      </c>
      <c r="C3023" s="60">
        <v>2797.9</v>
      </c>
    </row>
    <row r="3024" spans="2:3" x14ac:dyDescent="0.3">
      <c r="B3024" s="171">
        <v>42409</v>
      </c>
      <c r="C3024" s="60">
        <v>2766.25</v>
      </c>
    </row>
    <row r="3025" spans="2:3" x14ac:dyDescent="0.3">
      <c r="B3025" s="171">
        <v>42408</v>
      </c>
      <c r="C3025" s="60">
        <v>2821.55</v>
      </c>
    </row>
    <row r="3026" spans="2:3" x14ac:dyDescent="0.3">
      <c r="B3026" s="171">
        <v>42405</v>
      </c>
      <c r="C3026" s="60">
        <v>2842.75</v>
      </c>
    </row>
    <row r="3027" spans="2:3" x14ac:dyDescent="0.3">
      <c r="B3027" s="171">
        <v>42404</v>
      </c>
      <c r="C3027" s="60">
        <v>2769.55</v>
      </c>
    </row>
    <row r="3028" spans="2:3" x14ac:dyDescent="0.3">
      <c r="B3028" s="171">
        <v>42403</v>
      </c>
      <c r="C3028" s="60">
        <v>2769.05</v>
      </c>
    </row>
    <row r="3029" spans="2:3" x14ac:dyDescent="0.3">
      <c r="B3029" s="171">
        <v>42402</v>
      </c>
      <c r="C3029" s="60">
        <v>2802.7</v>
      </c>
    </row>
    <row r="3030" spans="2:3" x14ac:dyDescent="0.3">
      <c r="B3030" s="171">
        <v>42401</v>
      </c>
      <c r="C3030" s="60">
        <v>2819.3</v>
      </c>
    </row>
    <row r="3031" spans="2:3" x14ac:dyDescent="0.3">
      <c r="B3031" s="171">
        <v>42398</v>
      </c>
      <c r="C3031" s="60">
        <v>2840.1</v>
      </c>
    </row>
    <row r="3032" spans="2:3" x14ac:dyDescent="0.3">
      <c r="B3032" s="171">
        <v>42397</v>
      </c>
      <c r="C3032" s="60">
        <v>2744.7</v>
      </c>
    </row>
    <row r="3033" spans="2:3" x14ac:dyDescent="0.3">
      <c r="B3033" s="171">
        <v>42396</v>
      </c>
      <c r="C3033" s="60">
        <v>2751.55</v>
      </c>
    </row>
    <row r="3034" spans="2:3" x14ac:dyDescent="0.3">
      <c r="B3034" s="171">
        <v>42394</v>
      </c>
      <c r="C3034" s="60">
        <v>2750.45</v>
      </c>
    </row>
    <row r="3035" spans="2:3" x14ac:dyDescent="0.3">
      <c r="B3035" s="171">
        <v>42391</v>
      </c>
      <c r="C3035" s="60">
        <v>2713.4</v>
      </c>
    </row>
    <row r="3036" spans="2:3" x14ac:dyDescent="0.3">
      <c r="B3036" s="171">
        <v>42390</v>
      </c>
      <c r="C3036" s="60">
        <v>2695.05</v>
      </c>
    </row>
    <row r="3037" spans="2:3" x14ac:dyDescent="0.3">
      <c r="B3037" s="171">
        <v>42389</v>
      </c>
      <c r="C3037" s="60">
        <v>2617.65</v>
      </c>
    </row>
    <row r="3038" spans="2:3" x14ac:dyDescent="0.3">
      <c r="B3038" s="171">
        <v>42388</v>
      </c>
      <c r="C3038" s="60">
        <v>2638.7</v>
      </c>
    </row>
    <row r="3039" spans="2:3" x14ac:dyDescent="0.3">
      <c r="B3039" s="171">
        <v>42387</v>
      </c>
      <c r="C3039" s="60">
        <v>2641.1</v>
      </c>
    </row>
    <row r="3040" spans="2:3" x14ac:dyDescent="0.3">
      <c r="B3040" s="171">
        <v>42384</v>
      </c>
      <c r="C3040" s="60">
        <v>2618.1999999999998</v>
      </c>
    </row>
    <row r="3041" spans="2:3" x14ac:dyDescent="0.3">
      <c r="B3041" s="171">
        <v>42383</v>
      </c>
      <c r="C3041" s="60">
        <v>2626.8</v>
      </c>
    </row>
    <row r="3042" spans="2:3" x14ac:dyDescent="0.3">
      <c r="B3042" s="171">
        <v>42382</v>
      </c>
      <c r="C3042" s="60">
        <v>2684.35</v>
      </c>
    </row>
    <row r="3043" spans="2:3" x14ac:dyDescent="0.3">
      <c r="B3043" s="171">
        <v>42381</v>
      </c>
      <c r="C3043" s="60">
        <v>2670.05</v>
      </c>
    </row>
    <row r="3044" spans="2:3" x14ac:dyDescent="0.3">
      <c r="B3044" s="171">
        <v>42380</v>
      </c>
      <c r="C3044" s="60">
        <v>2726.8</v>
      </c>
    </row>
    <row r="3045" spans="2:3" x14ac:dyDescent="0.3">
      <c r="B3045" s="171">
        <v>42377</v>
      </c>
      <c r="C3045" s="60">
        <v>2705.2</v>
      </c>
    </row>
    <row r="3046" spans="2:3" x14ac:dyDescent="0.3">
      <c r="B3046" s="171">
        <v>42376</v>
      </c>
      <c r="C3046" s="60">
        <v>2667.7</v>
      </c>
    </row>
    <row r="3047" spans="2:3" x14ac:dyDescent="0.3">
      <c r="B3047" s="171">
        <v>42375</v>
      </c>
      <c r="C3047" s="60">
        <v>2735.3</v>
      </c>
    </row>
    <row r="3048" spans="2:3" x14ac:dyDescent="0.3">
      <c r="B3048" s="171">
        <v>42374</v>
      </c>
      <c r="C3048" s="60">
        <v>2733.05</v>
      </c>
    </row>
    <row r="3049" spans="2:3" x14ac:dyDescent="0.3">
      <c r="B3049" s="171">
        <v>42373</v>
      </c>
      <c r="C3049" s="60">
        <v>2749.15</v>
      </c>
    </row>
    <row r="3050" spans="2:3" x14ac:dyDescent="0.3">
      <c r="B3050" s="171">
        <v>42370</v>
      </c>
      <c r="C3050" s="60">
        <v>2824</v>
      </c>
    </row>
    <row r="3051" spans="2:3" x14ac:dyDescent="0.3">
      <c r="B3051" s="171">
        <v>42369</v>
      </c>
      <c r="C3051" s="60">
        <v>2780.55</v>
      </c>
    </row>
    <row r="3052" spans="2:3" x14ac:dyDescent="0.3">
      <c r="B3052" s="171">
        <v>42368</v>
      </c>
      <c r="C3052" s="60">
        <v>2784.5</v>
      </c>
    </row>
    <row r="3053" spans="2:3" x14ac:dyDescent="0.3">
      <c r="B3053" s="171">
        <v>42367</v>
      </c>
      <c r="C3053" s="60">
        <v>2818.4</v>
      </c>
    </row>
    <row r="3054" spans="2:3" x14ac:dyDescent="0.3">
      <c r="B3054" s="171">
        <v>42366</v>
      </c>
      <c r="C3054" s="60">
        <v>2811.7</v>
      </c>
    </row>
    <row r="3055" spans="2:3" x14ac:dyDescent="0.3">
      <c r="B3055" s="171">
        <v>42362</v>
      </c>
      <c r="C3055" s="60">
        <v>2813.25</v>
      </c>
    </row>
    <row r="3056" spans="2:3" x14ac:dyDescent="0.3">
      <c r="B3056" s="171">
        <v>42361</v>
      </c>
      <c r="C3056" s="60">
        <v>2818.85</v>
      </c>
    </row>
    <row r="3057" spans="2:3" x14ac:dyDescent="0.3">
      <c r="B3057" s="171">
        <v>42360</v>
      </c>
      <c r="C3057" s="60">
        <v>2798.8</v>
      </c>
    </row>
    <row r="3058" spans="2:3" x14ac:dyDescent="0.3">
      <c r="B3058" s="171">
        <v>42359</v>
      </c>
      <c r="C3058" s="60">
        <v>2805.15</v>
      </c>
    </row>
    <row r="3059" spans="2:3" x14ac:dyDescent="0.3">
      <c r="B3059" s="171">
        <v>42356</v>
      </c>
      <c r="C3059" s="60">
        <v>2815.1</v>
      </c>
    </row>
    <row r="3060" spans="2:3" x14ac:dyDescent="0.3">
      <c r="B3060" s="171">
        <v>42355</v>
      </c>
      <c r="C3060" s="60">
        <v>2897.85</v>
      </c>
    </row>
    <row r="3061" spans="2:3" x14ac:dyDescent="0.3">
      <c r="B3061" s="171">
        <v>42354</v>
      </c>
      <c r="C3061" s="60">
        <v>2847.8</v>
      </c>
    </row>
    <row r="3062" spans="2:3" x14ac:dyDescent="0.3">
      <c r="B3062" s="171">
        <v>42353</v>
      </c>
      <c r="C3062" s="60">
        <v>2863.3</v>
      </c>
    </row>
    <row r="3063" spans="2:3" x14ac:dyDescent="0.3">
      <c r="B3063" s="171">
        <v>42352</v>
      </c>
      <c r="C3063" s="60">
        <v>2830.6</v>
      </c>
    </row>
    <row r="3064" spans="2:3" x14ac:dyDescent="0.3">
      <c r="B3064" s="171">
        <v>42349</v>
      </c>
      <c r="C3064" s="60">
        <v>2783.4</v>
      </c>
    </row>
    <row r="3065" spans="2:3" x14ac:dyDescent="0.3">
      <c r="B3065" s="171">
        <v>42348</v>
      </c>
      <c r="C3065" s="60">
        <v>2813.15</v>
      </c>
    </row>
    <row r="3066" spans="2:3" x14ac:dyDescent="0.3">
      <c r="B3066" s="171">
        <v>42347</v>
      </c>
      <c r="C3066" s="60">
        <v>2783.9</v>
      </c>
    </row>
    <row r="3067" spans="2:3" x14ac:dyDescent="0.3">
      <c r="B3067" s="171">
        <v>42346</v>
      </c>
      <c r="C3067" s="60">
        <v>2861.1</v>
      </c>
    </row>
    <row r="3068" spans="2:3" x14ac:dyDescent="0.3">
      <c r="B3068" s="171">
        <v>42345</v>
      </c>
      <c r="C3068" s="60">
        <v>2864.65</v>
      </c>
    </row>
    <row r="3069" spans="2:3" x14ac:dyDescent="0.3">
      <c r="B3069" s="171">
        <v>42342</v>
      </c>
      <c r="C3069" s="60">
        <v>2867.1</v>
      </c>
    </row>
    <row r="3070" spans="2:3" x14ac:dyDescent="0.3">
      <c r="B3070" s="171">
        <v>42341</v>
      </c>
      <c r="C3070" s="60">
        <v>2859.35</v>
      </c>
    </row>
    <row r="3071" spans="2:3" x14ac:dyDescent="0.3">
      <c r="B3071" s="171">
        <v>42340</v>
      </c>
      <c r="C3071" s="60">
        <v>2848.6</v>
      </c>
    </row>
    <row r="3072" spans="2:3" x14ac:dyDescent="0.3">
      <c r="B3072" s="171">
        <v>42339</v>
      </c>
      <c r="C3072" s="60">
        <v>2864.15</v>
      </c>
    </row>
    <row r="3073" spans="2:3" x14ac:dyDescent="0.3">
      <c r="B3073" s="171">
        <v>42338</v>
      </c>
      <c r="C3073" s="60">
        <v>2801.05</v>
      </c>
    </row>
    <row r="3074" spans="2:3" x14ac:dyDescent="0.3">
      <c r="B3074" s="171">
        <v>42335</v>
      </c>
      <c r="C3074" s="60">
        <v>2830.95</v>
      </c>
    </row>
    <row r="3075" spans="2:3" x14ac:dyDescent="0.3">
      <c r="B3075" s="171">
        <v>42334</v>
      </c>
      <c r="C3075" s="60">
        <v>2803</v>
      </c>
    </row>
    <row r="3076" spans="2:3" x14ac:dyDescent="0.3">
      <c r="B3076" s="171">
        <v>42332</v>
      </c>
      <c r="C3076" s="60">
        <v>2778.45</v>
      </c>
    </row>
    <row r="3077" spans="2:3" x14ac:dyDescent="0.3">
      <c r="B3077" s="171">
        <v>42331</v>
      </c>
      <c r="C3077" s="60">
        <v>2800.1</v>
      </c>
    </row>
    <row r="3078" spans="2:3" x14ac:dyDescent="0.3">
      <c r="B3078" s="171">
        <v>42328</v>
      </c>
      <c r="C3078" s="60">
        <v>2776.45</v>
      </c>
    </row>
    <row r="3079" spans="2:3" x14ac:dyDescent="0.3">
      <c r="B3079" s="171">
        <v>42327</v>
      </c>
      <c r="C3079" s="60">
        <v>2754.2</v>
      </c>
    </row>
    <row r="3080" spans="2:3" x14ac:dyDescent="0.3">
      <c r="B3080" s="171">
        <v>42326</v>
      </c>
      <c r="C3080" s="60">
        <v>2734.95</v>
      </c>
    </row>
    <row r="3081" spans="2:3" x14ac:dyDescent="0.3">
      <c r="B3081" s="171">
        <v>42325</v>
      </c>
      <c r="C3081" s="60">
        <v>2739.3</v>
      </c>
    </row>
    <row r="3082" spans="2:3" x14ac:dyDescent="0.3">
      <c r="B3082" s="171">
        <v>42324</v>
      </c>
      <c r="C3082" s="60">
        <v>2735.45</v>
      </c>
    </row>
    <row r="3083" spans="2:3" x14ac:dyDescent="0.3">
      <c r="B3083" s="171">
        <v>42321</v>
      </c>
      <c r="C3083" s="60">
        <v>2680.7</v>
      </c>
    </row>
    <row r="3084" spans="2:3" x14ac:dyDescent="0.3">
      <c r="B3084" s="171">
        <v>42319</v>
      </c>
      <c r="C3084" s="60">
        <v>2714.7</v>
      </c>
    </row>
    <row r="3085" spans="2:3" x14ac:dyDescent="0.3">
      <c r="B3085" s="171">
        <v>42318</v>
      </c>
      <c r="C3085" s="60">
        <v>2702.8</v>
      </c>
    </row>
    <row r="3086" spans="2:3" x14ac:dyDescent="0.3">
      <c r="B3086" s="171">
        <v>42317</v>
      </c>
      <c r="C3086" s="60">
        <v>2755.4</v>
      </c>
    </row>
    <row r="3087" spans="2:3" x14ac:dyDescent="0.3">
      <c r="B3087" s="171">
        <v>42314</v>
      </c>
      <c r="C3087" s="60">
        <v>2793.35</v>
      </c>
    </row>
    <row r="3088" spans="2:3" x14ac:dyDescent="0.3">
      <c r="B3088" s="171">
        <v>42313</v>
      </c>
      <c r="C3088" s="60">
        <v>2834.9</v>
      </c>
    </row>
    <row r="3089" spans="2:3" x14ac:dyDescent="0.3">
      <c r="B3089" s="171">
        <v>42312</v>
      </c>
      <c r="C3089" s="60">
        <v>2891.8</v>
      </c>
    </row>
    <row r="3090" spans="2:3" x14ac:dyDescent="0.3">
      <c r="B3090" s="171">
        <v>42311</v>
      </c>
      <c r="C3090" s="60">
        <v>2925.5</v>
      </c>
    </row>
    <row r="3091" spans="2:3" x14ac:dyDescent="0.3">
      <c r="B3091" s="171">
        <v>42310</v>
      </c>
      <c r="C3091" s="60">
        <v>2927.7</v>
      </c>
    </row>
    <row r="3092" spans="2:3" x14ac:dyDescent="0.3">
      <c r="B3092" s="171">
        <v>42307</v>
      </c>
      <c r="C3092" s="60">
        <v>2886.1</v>
      </c>
    </row>
    <row r="3093" spans="2:3" x14ac:dyDescent="0.3">
      <c r="B3093" s="171">
        <v>42306</v>
      </c>
      <c r="C3093" s="60">
        <v>2914.8</v>
      </c>
    </row>
    <row r="3094" spans="2:3" x14ac:dyDescent="0.3">
      <c r="B3094" s="171">
        <v>42305</v>
      </c>
      <c r="C3094" s="60">
        <v>2891.85</v>
      </c>
    </row>
    <row r="3095" spans="2:3" x14ac:dyDescent="0.3">
      <c r="B3095" s="171">
        <v>42304</v>
      </c>
      <c r="C3095" s="60">
        <v>2909.65</v>
      </c>
    </row>
    <row r="3096" spans="2:3" x14ac:dyDescent="0.3">
      <c r="B3096" s="171">
        <v>42303</v>
      </c>
      <c r="C3096" s="60">
        <v>2845.1</v>
      </c>
    </row>
    <row r="3097" spans="2:3" x14ac:dyDescent="0.3">
      <c r="B3097" s="171">
        <v>42300</v>
      </c>
      <c r="C3097" s="60">
        <v>2901</v>
      </c>
    </row>
    <row r="3098" spans="2:3" x14ac:dyDescent="0.3">
      <c r="B3098" s="171">
        <v>42298</v>
      </c>
      <c r="C3098" s="60">
        <v>2896.75</v>
      </c>
    </row>
    <row r="3099" spans="2:3" x14ac:dyDescent="0.3">
      <c r="B3099" s="171">
        <v>42297</v>
      </c>
      <c r="C3099" s="60">
        <v>2919.1</v>
      </c>
    </row>
    <row r="3100" spans="2:3" x14ac:dyDescent="0.3">
      <c r="B3100" s="171">
        <v>42296</v>
      </c>
      <c r="C3100" s="60">
        <v>2898.9</v>
      </c>
    </row>
    <row r="3101" spans="2:3" x14ac:dyDescent="0.3">
      <c r="B3101" s="171">
        <v>42293</v>
      </c>
      <c r="C3101" s="60">
        <v>2954.65</v>
      </c>
    </row>
    <row r="3102" spans="2:3" x14ac:dyDescent="0.3">
      <c r="B3102" s="171">
        <v>42292</v>
      </c>
      <c r="C3102" s="60">
        <v>2946.7</v>
      </c>
    </row>
    <row r="3103" spans="2:3" x14ac:dyDescent="0.3">
      <c r="B3103" s="171">
        <v>42291</v>
      </c>
      <c r="C3103" s="60">
        <v>2906.6</v>
      </c>
    </row>
    <row r="3104" spans="2:3" x14ac:dyDescent="0.3">
      <c r="B3104" s="171">
        <v>42290</v>
      </c>
      <c r="C3104" s="60">
        <v>2907</v>
      </c>
    </row>
    <row r="3105" spans="2:3" x14ac:dyDescent="0.3">
      <c r="B3105" s="171">
        <v>42289</v>
      </c>
      <c r="C3105" s="60">
        <v>2844.75</v>
      </c>
    </row>
    <row r="3106" spans="2:3" x14ac:dyDescent="0.3">
      <c r="B3106" s="171">
        <v>42286</v>
      </c>
      <c r="C3106" s="60">
        <v>2818.75</v>
      </c>
    </row>
    <row r="3107" spans="2:3" x14ac:dyDescent="0.3">
      <c r="B3107" s="171">
        <v>42285</v>
      </c>
      <c r="C3107" s="60">
        <v>2817.65</v>
      </c>
    </row>
    <row r="3108" spans="2:3" x14ac:dyDescent="0.3">
      <c r="B3108" s="171">
        <v>42284</v>
      </c>
      <c r="C3108" s="60">
        <v>2753.5</v>
      </c>
    </row>
    <row r="3109" spans="2:3" x14ac:dyDescent="0.3">
      <c r="B3109" s="171">
        <v>42283</v>
      </c>
      <c r="C3109" s="60">
        <v>2767.8</v>
      </c>
    </row>
    <row r="3110" spans="2:3" x14ac:dyDescent="0.3">
      <c r="B3110" s="171">
        <v>42282</v>
      </c>
      <c r="C3110" s="60">
        <v>2816.45</v>
      </c>
    </row>
    <row r="3111" spans="2:3" x14ac:dyDescent="0.3">
      <c r="B3111" s="171">
        <v>42278</v>
      </c>
      <c r="C3111" s="60">
        <v>2773.45</v>
      </c>
    </row>
    <row r="3112" spans="2:3" x14ac:dyDescent="0.3">
      <c r="B3112" s="171">
        <v>42277</v>
      </c>
      <c r="C3112" s="60">
        <v>2673.4</v>
      </c>
    </row>
    <row r="3113" spans="2:3" x14ac:dyDescent="0.3">
      <c r="B3113" s="171">
        <v>42276</v>
      </c>
      <c r="C3113" s="60">
        <v>2710.45</v>
      </c>
    </row>
    <row r="3114" spans="2:3" x14ac:dyDescent="0.3">
      <c r="B3114" s="171">
        <v>42275</v>
      </c>
      <c r="C3114" s="60">
        <v>2717.8</v>
      </c>
    </row>
    <row r="3115" spans="2:3" x14ac:dyDescent="0.3">
      <c r="B3115" s="171">
        <v>42271</v>
      </c>
      <c r="C3115" s="60">
        <v>2811.1</v>
      </c>
    </row>
    <row r="3116" spans="2:3" x14ac:dyDescent="0.3">
      <c r="B3116" s="171">
        <v>42270</v>
      </c>
      <c r="C3116" s="60">
        <v>2783</v>
      </c>
    </row>
    <row r="3117" spans="2:3" x14ac:dyDescent="0.3">
      <c r="B3117" s="171">
        <v>42269</v>
      </c>
      <c r="C3117" s="60">
        <v>2808.5</v>
      </c>
    </row>
    <row r="3118" spans="2:3" x14ac:dyDescent="0.3">
      <c r="B3118" s="171">
        <v>42268</v>
      </c>
      <c r="C3118" s="60">
        <v>2906.2</v>
      </c>
    </row>
    <row r="3119" spans="2:3" x14ac:dyDescent="0.3">
      <c r="B3119" s="171">
        <v>42265</v>
      </c>
      <c r="C3119" s="60">
        <v>2937.95</v>
      </c>
    </row>
    <row r="3120" spans="2:3" x14ac:dyDescent="0.3">
      <c r="B3120" s="171">
        <v>42263</v>
      </c>
      <c r="C3120" s="60">
        <v>2933.9</v>
      </c>
    </row>
    <row r="3121" spans="2:3" x14ac:dyDescent="0.3">
      <c r="B3121" s="171">
        <v>42262</v>
      </c>
      <c r="C3121" s="60">
        <v>2923.5</v>
      </c>
    </row>
    <row r="3122" spans="2:3" x14ac:dyDescent="0.3">
      <c r="B3122" s="171">
        <v>42261</v>
      </c>
      <c r="C3122" s="60">
        <v>2949</v>
      </c>
    </row>
    <row r="3123" spans="2:3" x14ac:dyDescent="0.3">
      <c r="B3123" s="171">
        <v>42258</v>
      </c>
      <c r="C3123" s="60">
        <v>2942.2</v>
      </c>
    </row>
    <row r="3124" spans="2:3" x14ac:dyDescent="0.3">
      <c r="B3124" s="171">
        <v>42257</v>
      </c>
      <c r="C3124" s="60">
        <v>2964.4</v>
      </c>
    </row>
    <row r="3125" spans="2:3" x14ac:dyDescent="0.3">
      <c r="B3125" s="171">
        <v>42256</v>
      </c>
      <c r="C3125" s="60">
        <v>2985</v>
      </c>
    </row>
    <row r="3126" spans="2:3" x14ac:dyDescent="0.3">
      <c r="B3126" s="171">
        <v>42255</v>
      </c>
      <c r="C3126" s="60">
        <v>2883.9</v>
      </c>
    </row>
    <row r="3127" spans="2:3" x14ac:dyDescent="0.3">
      <c r="B3127" s="171">
        <v>42254</v>
      </c>
      <c r="C3127" s="60">
        <v>2854.35</v>
      </c>
    </row>
    <row r="3128" spans="2:3" x14ac:dyDescent="0.3">
      <c r="B3128" s="171">
        <v>42251</v>
      </c>
      <c r="C3128" s="60">
        <v>2915.1</v>
      </c>
    </row>
    <row r="3129" spans="2:3" x14ac:dyDescent="0.3">
      <c r="B3129" s="171">
        <v>42250</v>
      </c>
      <c r="C3129" s="60">
        <v>3003.9</v>
      </c>
    </row>
    <row r="3130" spans="2:3" x14ac:dyDescent="0.3">
      <c r="B3130" s="171">
        <v>42249</v>
      </c>
      <c r="C3130" s="60">
        <v>2886.1</v>
      </c>
    </row>
    <row r="3131" spans="2:3" x14ac:dyDescent="0.3">
      <c r="B3131" s="171">
        <v>42248</v>
      </c>
      <c r="C3131" s="60">
        <v>2834.1</v>
      </c>
    </row>
    <row r="3132" spans="2:3" x14ac:dyDescent="0.3">
      <c r="B3132" s="171">
        <v>42247</v>
      </c>
      <c r="C3132" s="60">
        <v>2889.8</v>
      </c>
    </row>
    <row r="3133" spans="2:3" x14ac:dyDescent="0.3">
      <c r="B3133" s="171">
        <v>42244</v>
      </c>
      <c r="C3133" s="60">
        <v>2946.75</v>
      </c>
    </row>
    <row r="3134" spans="2:3" x14ac:dyDescent="0.3">
      <c r="B3134" s="171">
        <v>42243</v>
      </c>
      <c r="C3134" s="60">
        <v>2901.05</v>
      </c>
    </row>
    <row r="3135" spans="2:3" x14ac:dyDescent="0.3">
      <c r="B3135" s="171">
        <v>42242</v>
      </c>
      <c r="C3135" s="60">
        <v>2905.1</v>
      </c>
    </row>
    <row r="3136" spans="2:3" x14ac:dyDescent="0.3">
      <c r="B3136" s="171">
        <v>42241</v>
      </c>
      <c r="C3136" s="60">
        <v>2892.2</v>
      </c>
    </row>
    <row r="3137" spans="2:3" x14ac:dyDescent="0.3">
      <c r="B3137" s="171">
        <v>42240</v>
      </c>
      <c r="C3137" s="60">
        <v>2842.15</v>
      </c>
    </row>
    <row r="3138" spans="2:3" x14ac:dyDescent="0.3">
      <c r="B3138" s="171">
        <v>42237</v>
      </c>
      <c r="C3138" s="60">
        <v>2972.9</v>
      </c>
    </row>
    <row r="3139" spans="2:3" x14ac:dyDescent="0.3">
      <c r="B3139" s="171">
        <v>42236</v>
      </c>
      <c r="C3139" s="60">
        <v>3045.05</v>
      </c>
    </row>
    <row r="3140" spans="2:3" x14ac:dyDescent="0.3">
      <c r="B3140" s="171">
        <v>42235</v>
      </c>
      <c r="C3140" s="60">
        <v>3161.3</v>
      </c>
    </row>
    <row r="3141" spans="2:3" x14ac:dyDescent="0.3">
      <c r="B3141" s="171">
        <v>42234</v>
      </c>
      <c r="C3141" s="60">
        <v>3128.45</v>
      </c>
    </row>
    <row r="3142" spans="2:3" x14ac:dyDescent="0.3">
      <c r="B3142" s="171">
        <v>42233</v>
      </c>
      <c r="C3142" s="60">
        <v>3081.8</v>
      </c>
    </row>
    <row r="3143" spans="2:3" x14ac:dyDescent="0.3">
      <c r="B3143" s="171">
        <v>42230</v>
      </c>
      <c r="C3143" s="60">
        <v>3103.9</v>
      </c>
    </row>
    <row r="3144" spans="2:3" x14ac:dyDescent="0.3">
      <c r="B3144" s="171">
        <v>42229</v>
      </c>
      <c r="C3144" s="60">
        <v>3069.85</v>
      </c>
    </row>
    <row r="3145" spans="2:3" x14ac:dyDescent="0.3">
      <c r="B3145" s="171">
        <v>42228</v>
      </c>
      <c r="C3145" s="60">
        <v>3063.8</v>
      </c>
    </row>
    <row r="3146" spans="2:3" x14ac:dyDescent="0.3">
      <c r="B3146" s="171">
        <v>42227</v>
      </c>
      <c r="C3146" s="60">
        <v>3155.4</v>
      </c>
    </row>
    <row r="3147" spans="2:3" x14ac:dyDescent="0.3">
      <c r="B3147" s="171">
        <v>42226</v>
      </c>
      <c r="C3147" s="60">
        <v>3174.55</v>
      </c>
    </row>
    <row r="3148" spans="2:3" x14ac:dyDescent="0.3">
      <c r="B3148" s="171">
        <v>42223</v>
      </c>
      <c r="C3148" s="60">
        <v>3202.45</v>
      </c>
    </row>
    <row r="3149" spans="2:3" x14ac:dyDescent="0.3">
      <c r="B3149" s="171">
        <v>42222</v>
      </c>
      <c r="C3149" s="60">
        <v>3225.65</v>
      </c>
    </row>
    <row r="3150" spans="2:3" x14ac:dyDescent="0.3">
      <c r="B3150" s="171">
        <v>42221</v>
      </c>
      <c r="C3150" s="60">
        <v>3216.4</v>
      </c>
    </row>
    <row r="3151" spans="2:3" x14ac:dyDescent="0.3">
      <c r="B3151" s="171">
        <v>42220</v>
      </c>
      <c r="C3151" s="60">
        <v>3145.05</v>
      </c>
    </row>
    <row r="3152" spans="2:3" x14ac:dyDescent="0.3">
      <c r="B3152" s="171">
        <v>42219</v>
      </c>
      <c r="C3152" s="60">
        <v>3163.5</v>
      </c>
    </row>
    <row r="3153" spans="2:3" x14ac:dyDescent="0.3">
      <c r="B3153" s="171">
        <v>42216</v>
      </c>
      <c r="C3153" s="60">
        <v>3149.15</v>
      </c>
    </row>
    <row r="3154" spans="2:3" x14ac:dyDescent="0.3">
      <c r="B3154" s="171">
        <v>42215</v>
      </c>
      <c r="C3154" s="60">
        <v>3160.35</v>
      </c>
    </row>
    <row r="3155" spans="2:3" x14ac:dyDescent="0.3">
      <c r="B3155" s="171">
        <v>42214</v>
      </c>
      <c r="C3155" s="60">
        <v>3136.5</v>
      </c>
    </row>
    <row r="3156" spans="2:3" x14ac:dyDescent="0.3">
      <c r="B3156" s="171">
        <v>42213</v>
      </c>
      <c r="C3156" s="60">
        <v>3127.7</v>
      </c>
    </row>
    <row r="3157" spans="2:3" x14ac:dyDescent="0.3">
      <c r="B3157" s="171">
        <v>42212</v>
      </c>
      <c r="C3157" s="60">
        <v>3134.1</v>
      </c>
    </row>
    <row r="3158" spans="2:3" x14ac:dyDescent="0.3">
      <c r="B3158" s="171">
        <v>42209</v>
      </c>
      <c r="C3158" s="60">
        <v>3204.4</v>
      </c>
    </row>
    <row r="3159" spans="2:3" x14ac:dyDescent="0.3">
      <c r="B3159" s="171">
        <v>42208</v>
      </c>
      <c r="C3159" s="60">
        <v>3239.15</v>
      </c>
    </row>
    <row r="3160" spans="2:3" x14ac:dyDescent="0.3">
      <c r="B3160" s="171">
        <v>42207</v>
      </c>
      <c r="C3160" s="60">
        <v>3258.15</v>
      </c>
    </row>
    <row r="3161" spans="2:3" x14ac:dyDescent="0.3">
      <c r="B3161" s="171">
        <v>42206</v>
      </c>
      <c r="C3161" s="60">
        <v>3223.9</v>
      </c>
    </row>
    <row r="3162" spans="2:3" x14ac:dyDescent="0.3">
      <c r="B3162" s="171">
        <v>42205</v>
      </c>
      <c r="C3162" s="60">
        <v>3353.85</v>
      </c>
    </row>
    <row r="3163" spans="2:3" x14ac:dyDescent="0.3">
      <c r="B3163" s="171">
        <v>42202</v>
      </c>
      <c r="C3163" s="60">
        <v>3223.6</v>
      </c>
    </row>
    <row r="3164" spans="2:3" x14ac:dyDescent="0.3">
      <c r="B3164" s="171">
        <v>42201</v>
      </c>
      <c r="C3164" s="60">
        <v>3175.05</v>
      </c>
    </row>
    <row r="3165" spans="2:3" x14ac:dyDescent="0.3">
      <c r="B3165" s="171">
        <v>42200</v>
      </c>
      <c r="C3165" s="60">
        <v>3200.05</v>
      </c>
    </row>
    <row r="3166" spans="2:3" x14ac:dyDescent="0.3">
      <c r="B3166" s="171">
        <v>42199</v>
      </c>
      <c r="C3166" s="60">
        <v>3138</v>
      </c>
    </row>
    <row r="3167" spans="2:3" x14ac:dyDescent="0.3">
      <c r="B3167" s="171">
        <v>42198</v>
      </c>
      <c r="C3167" s="60">
        <v>3163.8</v>
      </c>
    </row>
    <row r="3168" spans="2:3" x14ac:dyDescent="0.3">
      <c r="B3168" s="171">
        <v>42195</v>
      </c>
      <c r="C3168" s="60">
        <v>3129.8</v>
      </c>
    </row>
    <row r="3169" spans="2:3" x14ac:dyDescent="0.3">
      <c r="B3169" s="171">
        <v>42194</v>
      </c>
      <c r="C3169" s="60">
        <v>3103.05</v>
      </c>
    </row>
    <row r="3170" spans="2:3" x14ac:dyDescent="0.3">
      <c r="B3170" s="171">
        <v>42193</v>
      </c>
      <c r="C3170" s="60">
        <v>3115.25</v>
      </c>
    </row>
    <row r="3171" spans="2:3" x14ac:dyDescent="0.3">
      <c r="B3171" s="171">
        <v>42192</v>
      </c>
      <c r="C3171" s="60">
        <v>3161.5</v>
      </c>
    </row>
    <row r="3172" spans="2:3" x14ac:dyDescent="0.3">
      <c r="B3172" s="171">
        <v>42191</v>
      </c>
      <c r="C3172" s="60">
        <v>3102.25</v>
      </c>
    </row>
    <row r="3173" spans="2:3" x14ac:dyDescent="0.3">
      <c r="B3173" s="171">
        <v>42188</v>
      </c>
      <c r="C3173" s="60">
        <v>3064.65</v>
      </c>
    </row>
    <row r="3174" spans="2:3" x14ac:dyDescent="0.3">
      <c r="B3174" s="171">
        <v>42187</v>
      </c>
      <c r="C3174" s="60">
        <v>3057.7</v>
      </c>
    </row>
    <row r="3175" spans="2:3" x14ac:dyDescent="0.3">
      <c r="B3175" s="171">
        <v>42186</v>
      </c>
      <c r="C3175" s="60">
        <v>3057.95</v>
      </c>
    </row>
    <row r="3176" spans="2:3" x14ac:dyDescent="0.3">
      <c r="B3176" s="171">
        <v>42185</v>
      </c>
      <c r="C3176" s="60">
        <v>2993.45</v>
      </c>
    </row>
    <row r="3177" spans="2:3" x14ac:dyDescent="0.3">
      <c r="B3177" s="171">
        <v>42184</v>
      </c>
      <c r="C3177" s="60">
        <v>2904.9</v>
      </c>
    </row>
    <row r="3178" spans="2:3" x14ac:dyDescent="0.3">
      <c r="B3178" s="171">
        <v>42181</v>
      </c>
      <c r="C3178" s="60">
        <v>2914.7</v>
      </c>
    </row>
    <row r="3179" spans="2:3" x14ac:dyDescent="0.3">
      <c r="B3179" s="171">
        <v>42180</v>
      </c>
      <c r="C3179" s="60">
        <v>2862</v>
      </c>
    </row>
    <row r="3180" spans="2:3" x14ac:dyDescent="0.3">
      <c r="B3180" s="171">
        <v>42179</v>
      </c>
      <c r="C3180" s="60">
        <v>2852.35</v>
      </c>
    </row>
    <row r="3181" spans="2:3" x14ac:dyDescent="0.3">
      <c r="B3181" s="171">
        <v>42178</v>
      </c>
      <c r="C3181" s="60">
        <v>2895.9</v>
      </c>
    </row>
    <row r="3182" spans="2:3" x14ac:dyDescent="0.3">
      <c r="B3182" s="171">
        <v>42177</v>
      </c>
      <c r="C3182" s="60">
        <v>2804</v>
      </c>
    </row>
    <row r="3183" spans="2:3" x14ac:dyDescent="0.3">
      <c r="B3183" s="171">
        <v>42174</v>
      </c>
      <c r="C3183" s="60">
        <v>2802.75</v>
      </c>
    </row>
    <row r="3184" spans="2:3" x14ac:dyDescent="0.3">
      <c r="B3184" s="171">
        <v>42173</v>
      </c>
      <c r="C3184" s="60">
        <v>2798.7</v>
      </c>
    </row>
    <row r="3185" spans="2:3" x14ac:dyDescent="0.3">
      <c r="B3185" s="171">
        <v>42172</v>
      </c>
      <c r="C3185" s="60">
        <v>2796.55</v>
      </c>
    </row>
    <row r="3186" spans="2:3" x14ac:dyDescent="0.3">
      <c r="B3186" s="171">
        <v>42171</v>
      </c>
      <c r="C3186" s="60">
        <v>2744.75</v>
      </c>
    </row>
    <row r="3187" spans="2:3" x14ac:dyDescent="0.3">
      <c r="B3187" s="171">
        <v>42170</v>
      </c>
      <c r="C3187" s="60">
        <v>2710.8</v>
      </c>
    </row>
    <row r="3188" spans="2:3" x14ac:dyDescent="0.3">
      <c r="B3188" s="171">
        <v>42167</v>
      </c>
      <c r="C3188" s="60">
        <v>2748.5</v>
      </c>
    </row>
    <row r="3189" spans="2:3" x14ac:dyDescent="0.3">
      <c r="B3189" s="171">
        <v>42166</v>
      </c>
      <c r="C3189" s="60">
        <v>2701.65</v>
      </c>
    </row>
    <row r="3190" spans="2:3" x14ac:dyDescent="0.3">
      <c r="B3190" s="171">
        <v>42165</v>
      </c>
      <c r="C3190" s="60">
        <v>2804.55</v>
      </c>
    </row>
    <row r="3191" spans="2:3" x14ac:dyDescent="0.3">
      <c r="B3191" s="171">
        <v>42164</v>
      </c>
      <c r="C3191" s="60">
        <v>2810.35</v>
      </c>
    </row>
    <row r="3192" spans="2:3" x14ac:dyDescent="0.3">
      <c r="B3192" s="171">
        <v>42163</v>
      </c>
      <c r="C3192" s="60">
        <v>2809.85</v>
      </c>
    </row>
    <row r="3193" spans="2:3" x14ac:dyDescent="0.3">
      <c r="B3193" s="171">
        <v>42160</v>
      </c>
      <c r="C3193" s="60">
        <v>2806.25</v>
      </c>
    </row>
    <row r="3194" spans="2:3" x14ac:dyDescent="0.3">
      <c r="B3194" s="171">
        <v>42159</v>
      </c>
      <c r="C3194" s="60">
        <v>2868.05</v>
      </c>
    </row>
    <row r="3195" spans="2:3" x14ac:dyDescent="0.3">
      <c r="B3195" s="171">
        <v>42158</v>
      </c>
      <c r="C3195" s="60">
        <v>2831.1</v>
      </c>
    </row>
    <row r="3196" spans="2:3" x14ac:dyDescent="0.3">
      <c r="B3196" s="171">
        <v>42157</v>
      </c>
      <c r="C3196" s="60">
        <v>2910.25</v>
      </c>
    </row>
    <row r="3197" spans="2:3" x14ac:dyDescent="0.3">
      <c r="B3197" s="171">
        <v>42156</v>
      </c>
      <c r="C3197" s="60">
        <v>3005.4</v>
      </c>
    </row>
    <row r="3198" spans="2:3" x14ac:dyDescent="0.3">
      <c r="B3198" s="171">
        <v>42153</v>
      </c>
      <c r="C3198" s="60">
        <v>2975.3</v>
      </c>
    </row>
    <row r="3199" spans="2:3" x14ac:dyDescent="0.3">
      <c r="B3199" s="171">
        <v>42152</v>
      </c>
      <c r="C3199" s="60">
        <v>2917.45</v>
      </c>
    </row>
    <row r="3200" spans="2:3" x14ac:dyDescent="0.3">
      <c r="B3200" s="171">
        <v>42151</v>
      </c>
      <c r="C3200" s="60">
        <v>2885.15</v>
      </c>
    </row>
    <row r="3201" spans="2:3" x14ac:dyDescent="0.3">
      <c r="B3201" s="171">
        <v>42150</v>
      </c>
      <c r="C3201" s="60">
        <v>2906.85</v>
      </c>
    </row>
    <row r="3202" spans="2:3" x14ac:dyDescent="0.3">
      <c r="B3202" s="171">
        <v>42149</v>
      </c>
      <c r="C3202" s="60">
        <v>2935</v>
      </c>
    </row>
    <row r="3203" spans="2:3" x14ac:dyDescent="0.3">
      <c r="B3203" s="171">
        <v>42146</v>
      </c>
      <c r="C3203" s="60">
        <v>2975.4</v>
      </c>
    </row>
    <row r="3204" spans="2:3" x14ac:dyDescent="0.3">
      <c r="B3204" s="171">
        <v>42145</v>
      </c>
      <c r="C3204" s="60">
        <v>3064.6</v>
      </c>
    </row>
    <row r="3205" spans="2:3" x14ac:dyDescent="0.3">
      <c r="B3205" s="171">
        <v>42144</v>
      </c>
      <c r="C3205" s="60">
        <v>3032.25</v>
      </c>
    </row>
    <row r="3206" spans="2:3" x14ac:dyDescent="0.3">
      <c r="B3206" s="171">
        <v>42143</v>
      </c>
      <c r="C3206" s="60">
        <v>2971.4</v>
      </c>
    </row>
    <row r="3207" spans="2:3" x14ac:dyDescent="0.3">
      <c r="B3207" s="171">
        <v>42142</v>
      </c>
      <c r="C3207" s="60">
        <v>2900.1</v>
      </c>
    </row>
    <row r="3208" spans="2:3" x14ac:dyDescent="0.3">
      <c r="B3208" s="171">
        <v>42139</v>
      </c>
      <c r="C3208" s="60">
        <v>2805.4</v>
      </c>
    </row>
    <row r="3209" spans="2:3" x14ac:dyDescent="0.3">
      <c r="B3209" s="171">
        <v>42138</v>
      </c>
      <c r="C3209" s="60">
        <v>2796.05</v>
      </c>
    </row>
    <row r="3210" spans="2:3" x14ac:dyDescent="0.3">
      <c r="B3210" s="171">
        <v>42137</v>
      </c>
      <c r="C3210" s="60">
        <v>2794.4</v>
      </c>
    </row>
    <row r="3211" spans="2:3" x14ac:dyDescent="0.3">
      <c r="B3211" s="171">
        <v>42136</v>
      </c>
      <c r="C3211" s="60">
        <v>2748.85</v>
      </c>
    </row>
    <row r="3212" spans="2:3" x14ac:dyDescent="0.3">
      <c r="B3212" s="171">
        <v>42135</v>
      </c>
      <c r="C3212" s="60">
        <v>2823.8</v>
      </c>
    </row>
    <row r="3213" spans="2:3" x14ac:dyDescent="0.3">
      <c r="B3213" s="171">
        <v>42132</v>
      </c>
      <c r="C3213" s="60">
        <v>2698</v>
      </c>
    </row>
    <row r="3214" spans="2:3" x14ac:dyDescent="0.3">
      <c r="B3214" s="171">
        <v>42131</v>
      </c>
      <c r="C3214" s="60">
        <v>2619.15</v>
      </c>
    </row>
    <row r="3215" spans="2:3" x14ac:dyDescent="0.3">
      <c r="B3215" s="171">
        <v>42130</v>
      </c>
      <c r="C3215" s="60">
        <v>2605.6999999999998</v>
      </c>
    </row>
    <row r="3216" spans="2:3" x14ac:dyDescent="0.3">
      <c r="B3216" s="171">
        <v>42129</v>
      </c>
      <c r="C3216" s="60">
        <v>2709.2</v>
      </c>
    </row>
    <row r="3217" spans="2:3" x14ac:dyDescent="0.3">
      <c r="B3217" s="171">
        <v>42128</v>
      </c>
      <c r="C3217" s="60">
        <v>2709.05</v>
      </c>
    </row>
    <row r="3218" spans="2:3" x14ac:dyDescent="0.3">
      <c r="B3218" s="171">
        <v>42124</v>
      </c>
      <c r="C3218" s="60">
        <v>2672.1</v>
      </c>
    </row>
    <row r="3219" spans="2:3" x14ac:dyDescent="0.3">
      <c r="B3219" s="171">
        <v>42123</v>
      </c>
      <c r="C3219" s="60">
        <v>2679.25</v>
      </c>
    </row>
    <row r="3220" spans="2:3" x14ac:dyDescent="0.3">
      <c r="B3220" s="171">
        <v>42122</v>
      </c>
      <c r="C3220" s="60">
        <v>2688.9</v>
      </c>
    </row>
    <row r="3221" spans="2:3" x14ac:dyDescent="0.3">
      <c r="B3221" s="171">
        <v>42121</v>
      </c>
      <c r="C3221" s="60">
        <v>2655.3</v>
      </c>
    </row>
    <row r="3222" spans="2:3" x14ac:dyDescent="0.3">
      <c r="B3222" s="171">
        <v>42118</v>
      </c>
      <c r="C3222" s="60">
        <v>2706.95</v>
      </c>
    </row>
    <row r="3223" spans="2:3" x14ac:dyDescent="0.3">
      <c r="B3223" s="171">
        <v>42117</v>
      </c>
      <c r="C3223" s="60">
        <v>2728.3</v>
      </c>
    </row>
    <row r="3224" spans="2:3" x14ac:dyDescent="0.3">
      <c r="B3224" s="171">
        <v>42116</v>
      </c>
      <c r="C3224" s="60">
        <v>2792.8</v>
      </c>
    </row>
    <row r="3225" spans="2:3" x14ac:dyDescent="0.3">
      <c r="B3225" s="171">
        <v>42115</v>
      </c>
      <c r="C3225" s="60">
        <v>2751.2</v>
      </c>
    </row>
    <row r="3226" spans="2:3" x14ac:dyDescent="0.3">
      <c r="B3226" s="171">
        <v>42114</v>
      </c>
      <c r="C3226" s="60">
        <v>2778.15</v>
      </c>
    </row>
    <row r="3227" spans="2:3" x14ac:dyDescent="0.3">
      <c r="B3227" s="171">
        <v>42111</v>
      </c>
      <c r="C3227" s="60">
        <v>2809.15</v>
      </c>
    </row>
    <row r="3228" spans="2:3" x14ac:dyDescent="0.3">
      <c r="B3228" s="171">
        <v>42110</v>
      </c>
      <c r="C3228" s="60">
        <v>2895.05</v>
      </c>
    </row>
    <row r="3229" spans="2:3" x14ac:dyDescent="0.3">
      <c r="B3229" s="171">
        <v>42109</v>
      </c>
      <c r="C3229" s="60">
        <v>2986.5</v>
      </c>
    </row>
    <row r="3230" spans="2:3" x14ac:dyDescent="0.3">
      <c r="B3230" s="171">
        <v>42107</v>
      </c>
      <c r="C3230" s="60">
        <v>3001.45</v>
      </c>
    </row>
    <row r="3231" spans="2:3" x14ac:dyDescent="0.3">
      <c r="B3231" s="171">
        <v>42104</v>
      </c>
      <c r="C3231" s="60">
        <v>2969.05</v>
      </c>
    </row>
    <row r="3232" spans="2:3" x14ac:dyDescent="0.3">
      <c r="B3232" s="171">
        <v>42103</v>
      </c>
      <c r="C3232" s="60">
        <v>2963.95</v>
      </c>
    </row>
    <row r="3233" spans="2:3" x14ac:dyDescent="0.3">
      <c r="B3233" s="171">
        <v>42102</v>
      </c>
      <c r="C3233" s="60">
        <v>2986.45</v>
      </c>
    </row>
    <row r="3234" spans="2:3" x14ac:dyDescent="0.3">
      <c r="B3234" s="171">
        <v>42101</v>
      </c>
      <c r="C3234" s="60">
        <v>2931.85</v>
      </c>
    </row>
    <row r="3235" spans="2:3" x14ac:dyDescent="0.3">
      <c r="B3235" s="171">
        <v>42100</v>
      </c>
      <c r="C3235" s="60">
        <v>2892.55</v>
      </c>
    </row>
    <row r="3236" spans="2:3" x14ac:dyDescent="0.3">
      <c r="B3236" s="171">
        <v>42095</v>
      </c>
      <c r="C3236" s="60">
        <v>2883.7</v>
      </c>
    </row>
    <row r="3237" spans="2:3" x14ac:dyDescent="0.3">
      <c r="B3237" s="171">
        <v>42094</v>
      </c>
      <c r="C3237" s="60">
        <v>2877.9</v>
      </c>
    </row>
    <row r="3238" spans="2:3" x14ac:dyDescent="0.3">
      <c r="B3238" s="171">
        <v>42093</v>
      </c>
      <c r="C3238" s="60">
        <v>2944.05</v>
      </c>
    </row>
    <row r="3239" spans="2:3" x14ac:dyDescent="0.3">
      <c r="B3239" s="171">
        <v>42090</v>
      </c>
      <c r="C3239" s="60">
        <v>2801.85</v>
      </c>
    </row>
    <row r="3240" spans="2:3" x14ac:dyDescent="0.3">
      <c r="B3240" s="171">
        <v>42089</v>
      </c>
      <c r="C3240" s="60">
        <v>2795.8</v>
      </c>
    </row>
    <row r="3241" spans="2:3" x14ac:dyDescent="0.3">
      <c r="B3241" s="171">
        <v>42088</v>
      </c>
      <c r="C3241" s="60">
        <v>2766</v>
      </c>
    </row>
    <row r="3242" spans="2:3" x14ac:dyDescent="0.3">
      <c r="B3242" s="171">
        <v>42087</v>
      </c>
      <c r="C3242" s="60">
        <v>2801.5</v>
      </c>
    </row>
    <row r="3243" spans="2:3" x14ac:dyDescent="0.3">
      <c r="B3243" s="171">
        <v>42086</v>
      </c>
      <c r="C3243" s="60">
        <v>2829</v>
      </c>
    </row>
    <row r="3244" spans="2:3" x14ac:dyDescent="0.3">
      <c r="B3244" s="171">
        <v>42083</v>
      </c>
      <c r="C3244" s="60">
        <v>2855.05</v>
      </c>
    </row>
    <row r="3245" spans="2:3" x14ac:dyDescent="0.3">
      <c r="B3245" s="171">
        <v>42082</v>
      </c>
      <c r="C3245" s="60">
        <v>2893</v>
      </c>
    </row>
    <row r="3246" spans="2:3" x14ac:dyDescent="0.3">
      <c r="B3246" s="171">
        <v>42081</v>
      </c>
      <c r="C3246" s="60">
        <v>2935.7</v>
      </c>
    </row>
    <row r="3247" spans="2:3" x14ac:dyDescent="0.3">
      <c r="B3247" s="171">
        <v>42080</v>
      </c>
      <c r="C3247" s="60">
        <v>2928.4</v>
      </c>
    </row>
    <row r="3248" spans="2:3" x14ac:dyDescent="0.3">
      <c r="B3248" s="171">
        <v>42079</v>
      </c>
      <c r="C3248" s="60">
        <v>2913.4</v>
      </c>
    </row>
    <row r="3249" spans="2:3" x14ac:dyDescent="0.3">
      <c r="B3249" s="171">
        <v>42076</v>
      </c>
      <c r="C3249" s="60">
        <v>2946.9</v>
      </c>
    </row>
    <row r="3250" spans="2:3" x14ac:dyDescent="0.3">
      <c r="B3250" s="171">
        <v>42075</v>
      </c>
      <c r="C3250" s="60">
        <v>3009.35</v>
      </c>
    </row>
    <row r="3251" spans="2:3" x14ac:dyDescent="0.3">
      <c r="B3251" s="171">
        <v>42074</v>
      </c>
      <c r="C3251" s="60">
        <v>2987.1</v>
      </c>
    </row>
    <row r="3252" spans="2:3" x14ac:dyDescent="0.3">
      <c r="B3252" s="171">
        <v>42073</v>
      </c>
      <c r="C3252" s="60">
        <v>3017.2</v>
      </c>
    </row>
    <row r="3253" spans="2:3" x14ac:dyDescent="0.3">
      <c r="B3253" s="171">
        <v>42072</v>
      </c>
      <c r="C3253" s="60">
        <v>3066.15</v>
      </c>
    </row>
    <row r="3254" spans="2:3" x14ac:dyDescent="0.3">
      <c r="B3254" s="171">
        <v>42068</v>
      </c>
      <c r="C3254" s="60">
        <v>3189.55</v>
      </c>
    </row>
    <row r="3255" spans="2:3" x14ac:dyDescent="0.3">
      <c r="B3255" s="171">
        <v>42067</v>
      </c>
      <c r="C3255" s="60">
        <v>3310.3</v>
      </c>
    </row>
    <row r="3256" spans="2:3" x14ac:dyDescent="0.3">
      <c r="B3256" s="171">
        <v>42066</v>
      </c>
      <c r="C3256" s="60">
        <v>3360.85</v>
      </c>
    </row>
    <row r="3257" spans="2:3" x14ac:dyDescent="0.3">
      <c r="B3257" s="171">
        <v>42065</v>
      </c>
      <c r="C3257" s="60">
        <v>3369.8</v>
      </c>
    </row>
    <row r="3258" spans="2:3" x14ac:dyDescent="0.3">
      <c r="B3258" s="171">
        <v>42063</v>
      </c>
      <c r="C3258" s="60">
        <v>3135.75</v>
      </c>
    </row>
    <row r="3259" spans="2:3" x14ac:dyDescent="0.3">
      <c r="B3259" s="171">
        <v>42062</v>
      </c>
      <c r="C3259" s="60">
        <v>3125.8</v>
      </c>
    </row>
    <row r="3260" spans="2:3" x14ac:dyDescent="0.3">
      <c r="B3260" s="171">
        <v>42061</v>
      </c>
      <c r="C3260" s="60">
        <v>2977.45</v>
      </c>
    </row>
    <row r="3261" spans="2:3" x14ac:dyDescent="0.3">
      <c r="B3261" s="171">
        <v>42060</v>
      </c>
      <c r="C3261" s="60">
        <v>3042.85</v>
      </c>
    </row>
    <row r="3262" spans="2:3" x14ac:dyDescent="0.3">
      <c r="B3262" s="171">
        <v>42059</v>
      </c>
      <c r="C3262" s="60">
        <v>2988.6</v>
      </c>
    </row>
    <row r="3263" spans="2:3" x14ac:dyDescent="0.3">
      <c r="B3263" s="171">
        <v>42058</v>
      </c>
      <c r="C3263" s="60">
        <v>2978.1</v>
      </c>
    </row>
    <row r="3264" spans="2:3" x14ac:dyDescent="0.3">
      <c r="B3264" s="171">
        <v>42055</v>
      </c>
      <c r="C3264" s="60">
        <v>3014.1</v>
      </c>
    </row>
    <row r="3265" spans="2:3" x14ac:dyDescent="0.3">
      <c r="B3265" s="171">
        <v>42054</v>
      </c>
      <c r="C3265" s="60">
        <v>3062.3</v>
      </c>
    </row>
    <row r="3266" spans="2:3" x14ac:dyDescent="0.3">
      <c r="B3266" s="171">
        <v>42053</v>
      </c>
      <c r="C3266" s="60">
        <v>3110</v>
      </c>
    </row>
    <row r="3267" spans="2:3" x14ac:dyDescent="0.3">
      <c r="B3267" s="171">
        <v>42051</v>
      </c>
      <c r="C3267" s="60">
        <v>3078.8</v>
      </c>
    </row>
    <row r="3268" spans="2:3" x14ac:dyDescent="0.3">
      <c r="B3268" s="171">
        <v>42048</v>
      </c>
      <c r="C3268" s="60">
        <v>3112.5</v>
      </c>
    </row>
    <row r="3269" spans="2:3" x14ac:dyDescent="0.3">
      <c r="B3269" s="171">
        <v>42047</v>
      </c>
      <c r="C3269" s="60">
        <v>3035.1</v>
      </c>
    </row>
    <row r="3270" spans="2:3" x14ac:dyDescent="0.3">
      <c r="B3270" s="171">
        <v>42046</v>
      </c>
      <c r="C3270" s="60">
        <v>3008</v>
      </c>
    </row>
    <row r="3271" spans="2:3" x14ac:dyDescent="0.3">
      <c r="B3271" s="171">
        <v>42045</v>
      </c>
      <c r="C3271" s="60">
        <v>2966.2</v>
      </c>
    </row>
    <row r="3272" spans="2:3" x14ac:dyDescent="0.3">
      <c r="B3272" s="171">
        <v>42044</v>
      </c>
      <c r="C3272" s="60">
        <v>2962.75</v>
      </c>
    </row>
    <row r="3273" spans="2:3" x14ac:dyDescent="0.3">
      <c r="B3273" s="171">
        <v>42041</v>
      </c>
      <c r="C3273" s="60">
        <v>3008.35</v>
      </c>
    </row>
    <row r="3274" spans="2:3" x14ac:dyDescent="0.3">
      <c r="B3274" s="171">
        <v>42040</v>
      </c>
      <c r="C3274" s="60">
        <v>3064.1</v>
      </c>
    </row>
    <row r="3275" spans="2:3" x14ac:dyDescent="0.3">
      <c r="B3275" s="171">
        <v>42039</v>
      </c>
      <c r="C3275" s="60">
        <v>3096.9</v>
      </c>
    </row>
    <row r="3276" spans="2:3" x14ac:dyDescent="0.3">
      <c r="B3276" s="171">
        <v>42038</v>
      </c>
      <c r="C3276" s="60">
        <v>3107.55</v>
      </c>
    </row>
    <row r="3277" spans="2:3" x14ac:dyDescent="0.3">
      <c r="B3277" s="171">
        <v>42037</v>
      </c>
      <c r="C3277" s="60">
        <v>3087.05</v>
      </c>
    </row>
    <row r="3278" spans="2:3" x14ac:dyDescent="0.3">
      <c r="B3278" s="171">
        <v>42034</v>
      </c>
      <c r="C3278" s="60">
        <v>3140.35</v>
      </c>
    </row>
    <row r="3279" spans="2:3" x14ac:dyDescent="0.3">
      <c r="B3279" s="171">
        <v>42033</v>
      </c>
      <c r="C3279" s="60">
        <v>3162.75</v>
      </c>
    </row>
    <row r="3280" spans="2:3" x14ac:dyDescent="0.3">
      <c r="B3280" s="171">
        <v>42032</v>
      </c>
      <c r="C3280" s="60">
        <v>3139.75</v>
      </c>
    </row>
    <row r="3281" spans="2:3" x14ac:dyDescent="0.3">
      <c r="B3281" s="171">
        <v>42031</v>
      </c>
      <c r="C3281" s="60">
        <v>3121.45</v>
      </c>
    </row>
    <row r="3282" spans="2:3" x14ac:dyDescent="0.3">
      <c r="B3282" s="171">
        <v>42027</v>
      </c>
      <c r="C3282" s="60">
        <v>3147.9</v>
      </c>
    </row>
    <row r="3283" spans="2:3" x14ac:dyDescent="0.3">
      <c r="B3283" s="171">
        <v>42026</v>
      </c>
      <c r="C3283" s="60">
        <v>3122.45</v>
      </c>
    </row>
    <row r="3284" spans="2:3" x14ac:dyDescent="0.3">
      <c r="B3284" s="171">
        <v>42025</v>
      </c>
      <c r="C3284" s="60">
        <v>3054.8</v>
      </c>
    </row>
    <row r="3285" spans="2:3" x14ac:dyDescent="0.3">
      <c r="B3285" s="171">
        <v>42024</v>
      </c>
      <c r="C3285" s="60">
        <v>3096.45</v>
      </c>
    </row>
    <row r="3286" spans="2:3" x14ac:dyDescent="0.3">
      <c r="B3286" s="171">
        <v>42023</v>
      </c>
      <c r="C3286" s="60">
        <v>3088.5</v>
      </c>
    </row>
    <row r="3287" spans="2:3" x14ac:dyDescent="0.3">
      <c r="B3287" s="171">
        <v>42020</v>
      </c>
      <c r="C3287" s="60">
        <v>3070.1</v>
      </c>
    </row>
    <row r="3288" spans="2:3" x14ac:dyDescent="0.3">
      <c r="B3288" s="171">
        <v>42019</v>
      </c>
      <c r="C3288" s="60">
        <v>3083.05</v>
      </c>
    </row>
    <row r="3289" spans="2:3" x14ac:dyDescent="0.3">
      <c r="B3289" s="171">
        <v>42018</v>
      </c>
      <c r="C3289" s="60">
        <v>2908.85</v>
      </c>
    </row>
    <row r="3290" spans="2:3" x14ac:dyDescent="0.3">
      <c r="B3290" s="171">
        <v>42017</v>
      </c>
      <c r="C3290" s="60">
        <v>2818.5</v>
      </c>
    </row>
    <row r="3291" spans="2:3" x14ac:dyDescent="0.3">
      <c r="B3291" s="171">
        <v>42016</v>
      </c>
      <c r="C3291" s="60">
        <v>2700.3</v>
      </c>
    </row>
    <row r="3292" spans="2:3" x14ac:dyDescent="0.3">
      <c r="B3292" s="171">
        <v>42013</v>
      </c>
      <c r="C3292" s="60">
        <v>2729.35</v>
      </c>
    </row>
    <row r="3293" spans="2:3" x14ac:dyDescent="0.3">
      <c r="B3293" s="171">
        <v>42012</v>
      </c>
      <c r="C3293" s="60">
        <v>2727.45</v>
      </c>
    </row>
    <row r="3294" spans="2:3" x14ac:dyDescent="0.3">
      <c r="B3294" s="171">
        <v>42011</v>
      </c>
      <c r="C3294" s="60">
        <v>2660.05</v>
      </c>
    </row>
    <row r="3295" spans="2:3" x14ac:dyDescent="0.3">
      <c r="B3295" s="171">
        <v>42010</v>
      </c>
      <c r="C3295" s="60">
        <v>2670.6</v>
      </c>
    </row>
    <row r="3296" spans="2:3" x14ac:dyDescent="0.3">
      <c r="B3296" s="171">
        <v>42009</v>
      </c>
      <c r="C3296" s="60">
        <v>2747.7</v>
      </c>
    </row>
    <row r="3297" spans="2:3" x14ac:dyDescent="0.3">
      <c r="B3297" s="171">
        <v>42006</v>
      </c>
      <c r="C3297" s="60">
        <v>2742.1</v>
      </c>
    </row>
    <row r="3298" spans="2:3" x14ac:dyDescent="0.3">
      <c r="B3298" s="171">
        <v>42005</v>
      </c>
      <c r="C3298" s="60">
        <v>2662.5</v>
      </c>
    </row>
    <row r="3299" spans="2:3" x14ac:dyDescent="0.3">
      <c r="B3299" s="171">
        <v>42004</v>
      </c>
      <c r="C3299" s="60">
        <v>2676.05</v>
      </c>
    </row>
    <row r="3300" spans="2:3" x14ac:dyDescent="0.3">
      <c r="B3300" s="171">
        <v>42003</v>
      </c>
      <c r="C3300" s="60">
        <v>2629.8</v>
      </c>
    </row>
    <row r="3301" spans="2:3" x14ac:dyDescent="0.3">
      <c r="B3301" s="171">
        <v>42002</v>
      </c>
      <c r="C3301" s="60">
        <v>2645.4</v>
      </c>
    </row>
    <row r="3302" spans="2:3" x14ac:dyDescent="0.3">
      <c r="B3302" s="171">
        <v>41999</v>
      </c>
      <c r="C3302" s="60">
        <v>2602.9499999999998</v>
      </c>
    </row>
    <row r="3303" spans="2:3" x14ac:dyDescent="0.3">
      <c r="B3303" s="171">
        <v>41997</v>
      </c>
      <c r="C3303" s="60">
        <v>2620.5500000000002</v>
      </c>
    </row>
    <row r="3304" spans="2:3" x14ac:dyDescent="0.3">
      <c r="B3304" s="171">
        <v>41996</v>
      </c>
      <c r="C3304" s="60">
        <v>2544.5</v>
      </c>
    </row>
    <row r="3305" spans="2:3" x14ac:dyDescent="0.3">
      <c r="B3305" s="171">
        <v>41995</v>
      </c>
      <c r="C3305" s="60">
        <v>2517</v>
      </c>
    </row>
    <row r="3306" spans="2:3" x14ac:dyDescent="0.3">
      <c r="B3306" s="171">
        <v>41992</v>
      </c>
      <c r="C3306" s="60">
        <v>2498.35</v>
      </c>
    </row>
    <row r="3307" spans="2:3" x14ac:dyDescent="0.3">
      <c r="B3307" s="171">
        <v>41991</v>
      </c>
      <c r="C3307" s="60">
        <v>2446.5500000000002</v>
      </c>
    </row>
    <row r="3308" spans="2:3" x14ac:dyDescent="0.3">
      <c r="B3308" s="171">
        <v>41990</v>
      </c>
      <c r="C3308" s="60">
        <v>2439.3000000000002</v>
      </c>
    </row>
    <row r="3309" spans="2:3" x14ac:dyDescent="0.3">
      <c r="B3309" s="171">
        <v>41989</v>
      </c>
      <c r="C3309" s="60">
        <v>2484.85</v>
      </c>
    </row>
    <row r="3310" spans="2:3" x14ac:dyDescent="0.3">
      <c r="B3310" s="171">
        <v>41988</v>
      </c>
      <c r="C3310" s="60">
        <v>2536.6999999999998</v>
      </c>
    </row>
    <row r="3311" spans="2:3" x14ac:dyDescent="0.3">
      <c r="B3311" s="171">
        <v>41985</v>
      </c>
      <c r="C3311" s="60">
        <v>2511.5</v>
      </c>
    </row>
    <row r="3312" spans="2:3" x14ac:dyDescent="0.3">
      <c r="B3312" s="171">
        <v>41984</v>
      </c>
      <c r="C3312" s="60">
        <v>2484.4499999999998</v>
      </c>
    </row>
    <row r="3313" spans="2:3" x14ac:dyDescent="0.3">
      <c r="B3313" s="171">
        <v>41983</v>
      </c>
      <c r="C3313" s="60">
        <v>2515.75</v>
      </c>
    </row>
    <row r="3314" spans="2:3" x14ac:dyDescent="0.3">
      <c r="B3314" s="171">
        <v>41982</v>
      </c>
      <c r="C3314" s="60">
        <v>2481.75</v>
      </c>
    </row>
    <row r="3315" spans="2:3" x14ac:dyDescent="0.3">
      <c r="B3315" s="171">
        <v>41981</v>
      </c>
      <c r="C3315" s="60">
        <v>2512.1</v>
      </c>
    </row>
    <row r="3316" spans="2:3" x14ac:dyDescent="0.3">
      <c r="B3316" s="171">
        <v>41978</v>
      </c>
      <c r="C3316" s="60">
        <v>2485.25</v>
      </c>
    </row>
    <row r="3317" spans="2:3" x14ac:dyDescent="0.3">
      <c r="B3317" s="171">
        <v>41977</v>
      </c>
      <c r="C3317" s="60">
        <v>2464.65</v>
      </c>
    </row>
    <row r="3318" spans="2:3" x14ac:dyDescent="0.3">
      <c r="B3318" s="171">
        <v>41976</v>
      </c>
      <c r="C3318" s="60">
        <v>2474.1</v>
      </c>
    </row>
    <row r="3319" spans="2:3" x14ac:dyDescent="0.3">
      <c r="B3319" s="171">
        <v>41975</v>
      </c>
      <c r="C3319" s="60">
        <v>2473</v>
      </c>
    </row>
    <row r="3320" spans="2:3" x14ac:dyDescent="0.3">
      <c r="B3320" s="171">
        <v>41974</v>
      </c>
      <c r="C3320" s="60">
        <v>2478.1999999999998</v>
      </c>
    </row>
    <row r="3321" spans="2:3" x14ac:dyDescent="0.3">
      <c r="B3321" s="171">
        <v>41971</v>
      </c>
      <c r="C3321" s="60">
        <v>2484.25</v>
      </c>
    </row>
    <row r="3322" spans="2:3" x14ac:dyDescent="0.3">
      <c r="B3322" s="171">
        <v>41970</v>
      </c>
      <c r="C3322" s="60">
        <v>2475.1999999999998</v>
      </c>
    </row>
    <row r="3323" spans="2:3" x14ac:dyDescent="0.3">
      <c r="B3323" s="171">
        <v>41969</v>
      </c>
      <c r="C3323" s="60">
        <v>2476.4499999999998</v>
      </c>
    </row>
    <row r="3324" spans="2:3" x14ac:dyDescent="0.3">
      <c r="B3324" s="171">
        <v>41968</v>
      </c>
      <c r="C3324" s="60">
        <v>2467.1999999999998</v>
      </c>
    </row>
    <row r="3325" spans="2:3" x14ac:dyDescent="0.3">
      <c r="B3325" s="171">
        <v>41967</v>
      </c>
      <c r="C3325" s="60">
        <v>2522.1</v>
      </c>
    </row>
    <row r="3326" spans="2:3" x14ac:dyDescent="0.3">
      <c r="B3326" s="171">
        <v>41964</v>
      </c>
      <c r="C3326" s="60">
        <v>2490.6999999999998</v>
      </c>
    </row>
    <row r="3327" spans="2:3" x14ac:dyDescent="0.3">
      <c r="B3327" s="171">
        <v>41963</v>
      </c>
      <c r="C3327" s="60">
        <v>2466.35</v>
      </c>
    </row>
    <row r="3328" spans="2:3" x14ac:dyDescent="0.3">
      <c r="B3328" s="171">
        <v>41962</v>
      </c>
      <c r="C3328" s="60">
        <v>2494.75</v>
      </c>
    </row>
    <row r="3329" spans="2:3" x14ac:dyDescent="0.3">
      <c r="B3329" s="171">
        <v>41961</v>
      </c>
      <c r="C3329" s="60">
        <v>2530.1</v>
      </c>
    </row>
    <row r="3330" spans="2:3" x14ac:dyDescent="0.3">
      <c r="B3330" s="171">
        <v>41960</v>
      </c>
      <c r="C3330" s="60">
        <v>2561.4499999999998</v>
      </c>
    </row>
    <row r="3331" spans="2:3" x14ac:dyDescent="0.3">
      <c r="B3331" s="171">
        <v>41957</v>
      </c>
      <c r="C3331" s="60">
        <v>2616</v>
      </c>
    </row>
    <row r="3332" spans="2:3" x14ac:dyDescent="0.3">
      <c r="B3332" s="171">
        <v>41956</v>
      </c>
      <c r="C3332" s="60">
        <v>2577.1999999999998</v>
      </c>
    </row>
    <row r="3333" spans="2:3" x14ac:dyDescent="0.3">
      <c r="B3333" s="171">
        <v>41955</v>
      </c>
      <c r="C3333" s="60">
        <v>2624.6</v>
      </c>
    </row>
    <row r="3334" spans="2:3" x14ac:dyDescent="0.3">
      <c r="B3334" s="171">
        <v>41954</v>
      </c>
      <c r="C3334" s="60">
        <v>2646.6</v>
      </c>
    </row>
    <row r="3335" spans="2:3" x14ac:dyDescent="0.3">
      <c r="B3335" s="171">
        <v>41953</v>
      </c>
      <c r="C3335" s="60">
        <v>2581.1</v>
      </c>
    </row>
    <row r="3336" spans="2:3" x14ac:dyDescent="0.3">
      <c r="B3336" s="171">
        <v>41950</v>
      </c>
      <c r="C3336" s="60">
        <v>2561.9</v>
      </c>
    </row>
    <row r="3337" spans="2:3" x14ac:dyDescent="0.3">
      <c r="B3337" s="171">
        <v>41948</v>
      </c>
      <c r="C3337" s="60">
        <v>2535.3000000000002</v>
      </c>
    </row>
    <row r="3338" spans="2:3" x14ac:dyDescent="0.3">
      <c r="B3338" s="171">
        <v>41946</v>
      </c>
      <c r="C3338" s="60">
        <v>2559.9499999999998</v>
      </c>
    </row>
    <row r="3339" spans="2:3" x14ac:dyDescent="0.3">
      <c r="B3339" s="171">
        <v>41943</v>
      </c>
      <c r="C3339" s="60">
        <v>2548.4499999999998</v>
      </c>
    </row>
    <row r="3340" spans="2:3" x14ac:dyDescent="0.3">
      <c r="B3340" s="171">
        <v>41942</v>
      </c>
      <c r="C3340" s="60">
        <v>2512.15</v>
      </c>
    </row>
    <row r="3341" spans="2:3" x14ac:dyDescent="0.3">
      <c r="B3341" s="171">
        <v>41941</v>
      </c>
      <c r="C3341" s="60">
        <v>2479.3000000000002</v>
      </c>
    </row>
    <row r="3342" spans="2:3" x14ac:dyDescent="0.3">
      <c r="B3342" s="171">
        <v>41940</v>
      </c>
      <c r="C3342" s="60">
        <v>2464.85</v>
      </c>
    </row>
    <row r="3343" spans="2:3" x14ac:dyDescent="0.3">
      <c r="B3343" s="171">
        <v>41939</v>
      </c>
      <c r="C3343" s="60">
        <v>2430.6</v>
      </c>
    </row>
    <row r="3344" spans="2:3" x14ac:dyDescent="0.3">
      <c r="B3344" s="171">
        <v>41935</v>
      </c>
      <c r="C3344" s="60">
        <v>2433.25</v>
      </c>
    </row>
    <row r="3345" spans="2:3" x14ac:dyDescent="0.3">
      <c r="B3345" s="171">
        <v>41934</v>
      </c>
      <c r="C3345" s="60">
        <v>2401.1999999999998</v>
      </c>
    </row>
    <row r="3346" spans="2:3" x14ac:dyDescent="0.3">
      <c r="B3346" s="171">
        <v>41933</v>
      </c>
      <c r="C3346" s="60">
        <v>2400</v>
      </c>
    </row>
    <row r="3347" spans="2:3" x14ac:dyDescent="0.3">
      <c r="B3347" s="171">
        <v>41932</v>
      </c>
      <c r="C3347" s="60">
        <v>2450.25</v>
      </c>
    </row>
    <row r="3348" spans="2:3" x14ac:dyDescent="0.3">
      <c r="B3348" s="171">
        <v>41929</v>
      </c>
      <c r="C3348" s="60">
        <v>2317.75</v>
      </c>
    </row>
    <row r="3349" spans="2:3" x14ac:dyDescent="0.3">
      <c r="B3349" s="171">
        <v>41928</v>
      </c>
      <c r="C3349" s="60">
        <v>2317.6</v>
      </c>
    </row>
    <row r="3350" spans="2:3" x14ac:dyDescent="0.3">
      <c r="B3350" s="171">
        <v>41926</v>
      </c>
      <c r="C3350" s="60">
        <v>2467</v>
      </c>
    </row>
    <row r="3351" spans="2:3" x14ac:dyDescent="0.3">
      <c r="B3351" s="171">
        <v>41925</v>
      </c>
      <c r="C3351" s="60">
        <v>2481.9</v>
      </c>
    </row>
    <row r="3352" spans="2:3" x14ac:dyDescent="0.3">
      <c r="B3352" s="171">
        <v>41922</v>
      </c>
      <c r="C3352" s="60">
        <v>2481.35</v>
      </c>
    </row>
    <row r="3353" spans="2:3" x14ac:dyDescent="0.3">
      <c r="B3353" s="171">
        <v>41921</v>
      </c>
      <c r="C3353" s="60">
        <v>2570.8000000000002</v>
      </c>
    </row>
    <row r="3354" spans="2:3" x14ac:dyDescent="0.3">
      <c r="B3354" s="171">
        <v>41920</v>
      </c>
      <c r="C3354" s="60">
        <v>2549.1</v>
      </c>
    </row>
    <row r="3355" spans="2:3" x14ac:dyDescent="0.3">
      <c r="B3355" s="171">
        <v>41919</v>
      </c>
      <c r="C3355" s="60">
        <v>2556.6999999999998</v>
      </c>
    </row>
    <row r="3356" spans="2:3" x14ac:dyDescent="0.3">
      <c r="B3356" s="171">
        <v>41913</v>
      </c>
      <c r="C3356" s="60">
        <v>2648.75</v>
      </c>
    </row>
    <row r="3357" spans="2:3" x14ac:dyDescent="0.3">
      <c r="B3357" s="171">
        <v>41912</v>
      </c>
      <c r="C3357" s="60">
        <v>2631.65</v>
      </c>
    </row>
    <row r="3358" spans="2:3" x14ac:dyDescent="0.3">
      <c r="B3358" s="171">
        <v>41911</v>
      </c>
      <c r="C3358" s="60">
        <v>2646.65</v>
      </c>
    </row>
    <row r="3359" spans="2:3" x14ac:dyDescent="0.3">
      <c r="B3359" s="171">
        <v>41908</v>
      </c>
      <c r="C3359" s="60">
        <v>2646</v>
      </c>
    </row>
    <row r="3360" spans="2:3" x14ac:dyDescent="0.3">
      <c r="B3360" s="171">
        <v>41907</v>
      </c>
      <c r="C3360" s="60">
        <v>2574</v>
      </c>
    </row>
    <row r="3361" spans="2:3" x14ac:dyDescent="0.3">
      <c r="B3361" s="171">
        <v>41906</v>
      </c>
      <c r="C3361" s="60">
        <v>2630.65</v>
      </c>
    </row>
    <row r="3362" spans="2:3" x14ac:dyDescent="0.3">
      <c r="B3362" s="171">
        <v>41905</v>
      </c>
      <c r="C3362" s="60">
        <v>2601.3000000000002</v>
      </c>
    </row>
    <row r="3363" spans="2:3" x14ac:dyDescent="0.3">
      <c r="B3363" s="171">
        <v>41904</v>
      </c>
      <c r="C3363" s="60">
        <v>2617.25</v>
      </c>
    </row>
    <row r="3364" spans="2:3" x14ac:dyDescent="0.3">
      <c r="B3364" s="171">
        <v>41901</v>
      </c>
      <c r="C3364" s="60">
        <v>2641.55</v>
      </c>
    </row>
    <row r="3365" spans="2:3" x14ac:dyDescent="0.3">
      <c r="B3365" s="171">
        <v>41900</v>
      </c>
      <c r="C3365" s="60">
        <v>2645.95</v>
      </c>
    </row>
    <row r="3366" spans="2:3" x14ac:dyDescent="0.3">
      <c r="B3366" s="171">
        <v>41899</v>
      </c>
      <c r="C3366" s="60">
        <v>2599.85</v>
      </c>
    </row>
    <row r="3367" spans="2:3" x14ac:dyDescent="0.3">
      <c r="B3367" s="171">
        <v>41898</v>
      </c>
      <c r="C3367" s="60">
        <v>2551.1999999999998</v>
      </c>
    </row>
    <row r="3368" spans="2:3" x14ac:dyDescent="0.3">
      <c r="B3368" s="171">
        <v>41897</v>
      </c>
      <c r="C3368" s="60">
        <v>2589.15</v>
      </c>
    </row>
    <row r="3369" spans="2:3" x14ac:dyDescent="0.3">
      <c r="B3369" s="171">
        <v>41894</v>
      </c>
      <c r="C3369" s="60">
        <v>2639.35</v>
      </c>
    </row>
    <row r="3370" spans="2:3" x14ac:dyDescent="0.3">
      <c r="B3370" s="171">
        <v>41893</v>
      </c>
      <c r="C3370" s="60">
        <v>2686.55</v>
      </c>
    </row>
    <row r="3371" spans="2:3" x14ac:dyDescent="0.3">
      <c r="B3371" s="171">
        <v>41892</v>
      </c>
      <c r="C3371" s="60">
        <v>2680.4</v>
      </c>
    </row>
    <row r="3372" spans="2:3" x14ac:dyDescent="0.3">
      <c r="B3372" s="171">
        <v>41891</v>
      </c>
      <c r="C3372" s="60">
        <v>2694.9</v>
      </c>
    </row>
    <row r="3373" spans="2:3" x14ac:dyDescent="0.3">
      <c r="B3373" s="171">
        <v>41890</v>
      </c>
      <c r="C3373" s="60">
        <v>2718.05</v>
      </c>
    </row>
    <row r="3374" spans="2:3" x14ac:dyDescent="0.3">
      <c r="B3374" s="171">
        <v>41887</v>
      </c>
      <c r="C3374" s="60">
        <v>2670.75</v>
      </c>
    </row>
    <row r="3375" spans="2:3" x14ac:dyDescent="0.3">
      <c r="B3375" s="171">
        <v>41886</v>
      </c>
      <c r="C3375" s="60">
        <v>2710.6</v>
      </c>
    </row>
    <row r="3376" spans="2:3" x14ac:dyDescent="0.3">
      <c r="B3376" s="171">
        <v>41885</v>
      </c>
      <c r="C3376" s="60">
        <v>2713.15</v>
      </c>
    </row>
    <row r="3377" spans="2:3" x14ac:dyDescent="0.3">
      <c r="B3377" s="171">
        <v>41884</v>
      </c>
      <c r="C3377" s="60">
        <v>2719.25</v>
      </c>
    </row>
    <row r="3378" spans="2:3" x14ac:dyDescent="0.3">
      <c r="B3378" s="171">
        <v>41883</v>
      </c>
      <c r="C3378" s="60">
        <v>2643.5</v>
      </c>
    </row>
    <row r="3379" spans="2:3" x14ac:dyDescent="0.3">
      <c r="B3379" s="171">
        <v>41879</v>
      </c>
      <c r="C3379" s="60">
        <v>2550.0500000000002</v>
      </c>
    </row>
    <row r="3380" spans="2:3" x14ac:dyDescent="0.3">
      <c r="B3380" s="171">
        <v>41878</v>
      </c>
      <c r="C3380" s="60">
        <v>2594.5</v>
      </c>
    </row>
    <row r="3381" spans="2:3" x14ac:dyDescent="0.3">
      <c r="B3381" s="171">
        <v>41877</v>
      </c>
      <c r="C3381" s="60">
        <v>2610.85</v>
      </c>
    </row>
    <row r="3382" spans="2:3" x14ac:dyDescent="0.3">
      <c r="B3382" s="171">
        <v>41876</v>
      </c>
      <c r="C3382" s="60">
        <v>2629.25</v>
      </c>
    </row>
    <row r="3383" spans="2:3" x14ac:dyDescent="0.3">
      <c r="B3383" s="171">
        <v>41873</v>
      </c>
      <c r="C3383" s="60">
        <v>2651.35</v>
      </c>
    </row>
    <row r="3384" spans="2:3" x14ac:dyDescent="0.3">
      <c r="B3384" s="171">
        <v>41872</v>
      </c>
      <c r="C3384" s="60">
        <v>2644.9</v>
      </c>
    </row>
    <row r="3385" spans="2:3" x14ac:dyDescent="0.3">
      <c r="B3385" s="171">
        <v>41871</v>
      </c>
      <c r="C3385" s="60">
        <v>2684.35</v>
      </c>
    </row>
    <row r="3386" spans="2:3" x14ac:dyDescent="0.3">
      <c r="B3386" s="171">
        <v>41870</v>
      </c>
      <c r="C3386" s="60">
        <v>2718.6</v>
      </c>
    </row>
    <row r="3387" spans="2:3" x14ac:dyDescent="0.3">
      <c r="B3387" s="171">
        <v>41869</v>
      </c>
      <c r="C3387" s="60">
        <v>2665.15</v>
      </c>
    </row>
    <row r="3388" spans="2:3" x14ac:dyDescent="0.3">
      <c r="B3388" s="171">
        <v>41865</v>
      </c>
      <c r="C3388" s="60">
        <v>2632.55</v>
      </c>
    </row>
    <row r="3389" spans="2:3" x14ac:dyDescent="0.3">
      <c r="B3389" s="171">
        <v>41864</v>
      </c>
      <c r="C3389" s="60">
        <v>2608.1</v>
      </c>
    </row>
    <row r="3390" spans="2:3" x14ac:dyDescent="0.3">
      <c r="B3390" s="171">
        <v>41863</v>
      </c>
      <c r="C3390" s="60">
        <v>2613.1</v>
      </c>
    </row>
    <row r="3391" spans="2:3" x14ac:dyDescent="0.3">
      <c r="B3391" s="171">
        <v>41862</v>
      </c>
      <c r="C3391" s="60">
        <v>2532.65</v>
      </c>
    </row>
    <row r="3392" spans="2:3" x14ac:dyDescent="0.3">
      <c r="B3392" s="171">
        <v>41859</v>
      </c>
      <c r="C3392" s="60">
        <v>2474.5500000000002</v>
      </c>
    </row>
    <row r="3393" spans="2:3" x14ac:dyDescent="0.3">
      <c r="B3393" s="171">
        <v>41858</v>
      </c>
      <c r="C3393" s="60">
        <v>2544.25</v>
      </c>
    </row>
    <row r="3394" spans="2:3" x14ac:dyDescent="0.3">
      <c r="B3394" s="171">
        <v>41857</v>
      </c>
      <c r="C3394" s="60">
        <v>2546.65</v>
      </c>
    </row>
    <row r="3395" spans="2:3" x14ac:dyDescent="0.3">
      <c r="B3395" s="171">
        <v>41856</v>
      </c>
      <c r="C3395" s="60">
        <v>2603.3000000000002</v>
      </c>
    </row>
    <row r="3396" spans="2:3" x14ac:dyDescent="0.3">
      <c r="B3396" s="171">
        <v>41855</v>
      </c>
      <c r="C3396" s="60">
        <v>2470.6</v>
      </c>
    </row>
    <row r="3397" spans="2:3" x14ac:dyDescent="0.3">
      <c r="B3397" s="171">
        <v>41852</v>
      </c>
      <c r="C3397" s="60">
        <v>2471.6</v>
      </c>
    </row>
    <row r="3398" spans="2:3" x14ac:dyDescent="0.3">
      <c r="B3398" s="171">
        <v>41851</v>
      </c>
      <c r="C3398" s="60">
        <v>2420.85</v>
      </c>
    </row>
    <row r="3399" spans="2:3" x14ac:dyDescent="0.3">
      <c r="B3399" s="171">
        <v>41850</v>
      </c>
      <c r="C3399" s="60">
        <v>2467.3000000000002</v>
      </c>
    </row>
    <row r="3400" spans="2:3" x14ac:dyDescent="0.3">
      <c r="B3400" s="171">
        <v>41848</v>
      </c>
      <c r="C3400" s="60">
        <v>2410.35</v>
      </c>
    </row>
    <row r="3401" spans="2:3" x14ac:dyDescent="0.3">
      <c r="B3401" s="171">
        <v>41845</v>
      </c>
      <c r="C3401" s="60">
        <v>2475.5</v>
      </c>
    </row>
    <row r="3402" spans="2:3" x14ac:dyDescent="0.3">
      <c r="B3402" s="171">
        <v>41844</v>
      </c>
      <c r="C3402" s="60">
        <v>2484.4</v>
      </c>
    </row>
    <row r="3403" spans="2:3" x14ac:dyDescent="0.3">
      <c r="B3403" s="171">
        <v>41843</v>
      </c>
      <c r="C3403" s="60">
        <v>2451.8000000000002</v>
      </c>
    </row>
    <row r="3404" spans="2:3" x14ac:dyDescent="0.3">
      <c r="B3404" s="171">
        <v>41842</v>
      </c>
      <c r="C3404" s="60">
        <v>2520.65</v>
      </c>
    </row>
    <row r="3405" spans="2:3" x14ac:dyDescent="0.3">
      <c r="B3405" s="171">
        <v>41841</v>
      </c>
      <c r="C3405" s="60">
        <v>2522.5500000000002</v>
      </c>
    </row>
    <row r="3406" spans="2:3" x14ac:dyDescent="0.3">
      <c r="B3406" s="171">
        <v>41838</v>
      </c>
      <c r="C3406" s="60">
        <v>2551.9499999999998</v>
      </c>
    </row>
    <row r="3407" spans="2:3" x14ac:dyDescent="0.3">
      <c r="B3407" s="171">
        <v>41837</v>
      </c>
      <c r="C3407" s="60">
        <v>2592.9499999999998</v>
      </c>
    </row>
    <row r="3408" spans="2:3" x14ac:dyDescent="0.3">
      <c r="B3408" s="171">
        <v>41836</v>
      </c>
      <c r="C3408" s="60">
        <v>2513.1999999999998</v>
      </c>
    </row>
    <row r="3409" spans="2:3" x14ac:dyDescent="0.3">
      <c r="B3409" s="171">
        <v>41835</v>
      </c>
      <c r="C3409" s="60">
        <v>2519.3000000000002</v>
      </c>
    </row>
    <row r="3410" spans="2:3" x14ac:dyDescent="0.3">
      <c r="B3410" s="171">
        <v>41834</v>
      </c>
      <c r="C3410" s="60">
        <v>2513.1999999999998</v>
      </c>
    </row>
    <row r="3411" spans="2:3" x14ac:dyDescent="0.3">
      <c r="B3411" s="171">
        <v>41831</v>
      </c>
      <c r="C3411" s="60">
        <v>2488.4</v>
      </c>
    </row>
    <row r="3412" spans="2:3" x14ac:dyDescent="0.3">
      <c r="B3412" s="171">
        <v>41830</v>
      </c>
      <c r="C3412" s="60">
        <v>2511.4</v>
      </c>
    </row>
    <row r="3413" spans="2:3" x14ac:dyDescent="0.3">
      <c r="B3413" s="171">
        <v>41829</v>
      </c>
      <c r="C3413" s="60">
        <v>2494</v>
      </c>
    </row>
    <row r="3414" spans="2:3" x14ac:dyDescent="0.3">
      <c r="B3414" s="171">
        <v>41828</v>
      </c>
      <c r="C3414" s="60">
        <v>2499.9499999999998</v>
      </c>
    </row>
    <row r="3415" spans="2:3" x14ac:dyDescent="0.3">
      <c r="B3415" s="171">
        <v>41827</v>
      </c>
      <c r="C3415" s="60">
        <v>2559.9</v>
      </c>
    </row>
    <row r="3416" spans="2:3" x14ac:dyDescent="0.3">
      <c r="B3416" s="171">
        <v>41824</v>
      </c>
      <c r="C3416" s="60">
        <v>2601</v>
      </c>
    </row>
    <row r="3417" spans="2:3" x14ac:dyDescent="0.3">
      <c r="B3417" s="171">
        <v>41823</v>
      </c>
      <c r="C3417" s="60">
        <v>2628.35</v>
      </c>
    </row>
    <row r="3418" spans="2:3" x14ac:dyDescent="0.3">
      <c r="B3418" s="171">
        <v>41822</v>
      </c>
      <c r="C3418" s="60">
        <v>2643.3</v>
      </c>
    </row>
    <row r="3419" spans="2:3" x14ac:dyDescent="0.3">
      <c r="B3419" s="171">
        <v>41821</v>
      </c>
      <c r="C3419" s="60">
        <v>2630.05</v>
      </c>
    </row>
    <row r="3420" spans="2:3" x14ac:dyDescent="0.3">
      <c r="B3420" s="171">
        <v>41820</v>
      </c>
      <c r="C3420" s="60">
        <v>2591.9499999999998</v>
      </c>
    </row>
    <row r="3421" spans="2:3" x14ac:dyDescent="0.3">
      <c r="B3421" s="171">
        <v>41817</v>
      </c>
      <c r="C3421" s="60">
        <v>2595.9</v>
      </c>
    </row>
    <row r="3422" spans="2:3" x14ac:dyDescent="0.3">
      <c r="B3422" s="171">
        <v>41816</v>
      </c>
      <c r="C3422" s="60">
        <v>2685.05</v>
      </c>
    </row>
    <row r="3423" spans="2:3" x14ac:dyDescent="0.3">
      <c r="B3423" s="171">
        <v>41815</v>
      </c>
      <c r="C3423" s="60">
        <v>2724.5</v>
      </c>
    </row>
    <row r="3424" spans="2:3" x14ac:dyDescent="0.3">
      <c r="B3424" s="171">
        <v>41814</v>
      </c>
      <c r="C3424" s="60">
        <v>2705.75</v>
      </c>
    </row>
    <row r="3425" spans="2:3" x14ac:dyDescent="0.3">
      <c r="B3425" s="171">
        <v>41813</v>
      </c>
      <c r="C3425" s="60">
        <v>2711.25</v>
      </c>
    </row>
    <row r="3426" spans="2:3" x14ac:dyDescent="0.3">
      <c r="B3426" s="171">
        <v>41810</v>
      </c>
      <c r="C3426" s="60">
        <v>2727.45</v>
      </c>
    </row>
    <row r="3427" spans="2:3" x14ac:dyDescent="0.3">
      <c r="B3427" s="171">
        <v>41809</v>
      </c>
      <c r="C3427" s="60">
        <v>2755.4</v>
      </c>
    </row>
    <row r="3428" spans="2:3" x14ac:dyDescent="0.3">
      <c r="B3428" s="171">
        <v>41808</v>
      </c>
      <c r="C3428" s="60">
        <v>2805.1</v>
      </c>
    </row>
    <row r="3429" spans="2:3" x14ac:dyDescent="0.3">
      <c r="B3429" s="171">
        <v>41807</v>
      </c>
      <c r="C3429" s="60">
        <v>2796.9</v>
      </c>
    </row>
    <row r="3430" spans="2:3" x14ac:dyDescent="0.3">
      <c r="B3430" s="171">
        <v>41806</v>
      </c>
      <c r="C3430" s="60">
        <v>2746.65</v>
      </c>
    </row>
    <row r="3431" spans="2:3" x14ac:dyDescent="0.3">
      <c r="B3431" s="171">
        <v>41803</v>
      </c>
      <c r="C3431" s="60">
        <v>2768</v>
      </c>
    </row>
    <row r="3432" spans="2:3" x14ac:dyDescent="0.3">
      <c r="B3432" s="171">
        <v>41802</v>
      </c>
      <c r="C3432" s="60">
        <v>2768.7</v>
      </c>
    </row>
    <row r="3433" spans="2:3" x14ac:dyDescent="0.3">
      <c r="B3433" s="171">
        <v>41801</v>
      </c>
      <c r="C3433" s="60">
        <v>2775.5</v>
      </c>
    </row>
    <row r="3434" spans="2:3" x14ac:dyDescent="0.3">
      <c r="B3434" s="171">
        <v>41800</v>
      </c>
      <c r="C3434" s="60">
        <v>2797.9</v>
      </c>
    </row>
    <row r="3435" spans="2:3" x14ac:dyDescent="0.3">
      <c r="B3435" s="171">
        <v>41799</v>
      </c>
      <c r="C3435" s="60">
        <v>2800.75</v>
      </c>
    </row>
    <row r="3436" spans="2:3" x14ac:dyDescent="0.3">
      <c r="B3436" s="171">
        <v>41796</v>
      </c>
      <c r="C3436" s="60">
        <v>2674.7</v>
      </c>
    </row>
    <row r="3437" spans="2:3" x14ac:dyDescent="0.3">
      <c r="B3437" s="171">
        <v>41795</v>
      </c>
      <c r="C3437" s="60">
        <v>2632.5</v>
      </c>
    </row>
    <row r="3438" spans="2:3" x14ac:dyDescent="0.3">
      <c r="B3438" s="171">
        <v>41794</v>
      </c>
      <c r="C3438" s="60">
        <v>2571.85</v>
      </c>
    </row>
    <row r="3439" spans="2:3" x14ac:dyDescent="0.3">
      <c r="B3439" s="171">
        <v>41793</v>
      </c>
      <c r="C3439" s="60">
        <v>2553.5</v>
      </c>
    </row>
    <row r="3440" spans="2:3" x14ac:dyDescent="0.3">
      <c r="B3440" s="171">
        <v>41792</v>
      </c>
      <c r="C3440" s="60">
        <v>2450.3000000000002</v>
      </c>
    </row>
    <row r="3441" spans="2:3" x14ac:dyDescent="0.3">
      <c r="B3441" s="171">
        <v>41789</v>
      </c>
      <c r="C3441" s="60">
        <v>2382.1999999999998</v>
      </c>
    </row>
    <row r="3442" spans="2:3" x14ac:dyDescent="0.3">
      <c r="B3442" s="171">
        <v>41788</v>
      </c>
      <c r="C3442" s="60">
        <v>2392.1</v>
      </c>
    </row>
    <row r="3443" spans="2:3" x14ac:dyDescent="0.3">
      <c r="B3443" s="171">
        <v>41787</v>
      </c>
      <c r="C3443" s="60">
        <v>2375.5500000000002</v>
      </c>
    </row>
    <row r="3444" spans="2:3" x14ac:dyDescent="0.3">
      <c r="B3444" s="171">
        <v>41786</v>
      </c>
      <c r="C3444" s="60">
        <v>2265.4499999999998</v>
      </c>
    </row>
    <row r="3445" spans="2:3" x14ac:dyDescent="0.3">
      <c r="B3445" s="171">
        <v>41785</v>
      </c>
      <c r="C3445" s="60">
        <v>2236.4</v>
      </c>
    </row>
    <row r="3446" spans="2:3" x14ac:dyDescent="0.3">
      <c r="B3446" s="171">
        <v>41782</v>
      </c>
      <c r="C3446" s="60">
        <v>2270.1</v>
      </c>
    </row>
    <row r="3447" spans="2:3" x14ac:dyDescent="0.3">
      <c r="B3447" s="171">
        <v>41781</v>
      </c>
      <c r="C3447" s="60">
        <v>2265.0500000000002</v>
      </c>
    </row>
    <row r="3448" spans="2:3" x14ac:dyDescent="0.3">
      <c r="B3448" s="171">
        <v>41780</v>
      </c>
      <c r="C3448" s="60">
        <v>2270.9499999999998</v>
      </c>
    </row>
    <row r="3449" spans="2:3" x14ac:dyDescent="0.3">
      <c r="B3449" s="171">
        <v>41779</v>
      </c>
      <c r="C3449" s="60">
        <v>2345.8000000000002</v>
      </c>
    </row>
    <row r="3450" spans="2:3" x14ac:dyDescent="0.3">
      <c r="B3450" s="171">
        <v>41778</v>
      </c>
      <c r="C3450" s="60">
        <v>2338.65</v>
      </c>
    </row>
    <row r="3451" spans="2:3" x14ac:dyDescent="0.3">
      <c r="B3451" s="171">
        <v>41775</v>
      </c>
      <c r="C3451" s="60">
        <v>2334.15</v>
      </c>
    </row>
    <row r="3452" spans="2:3" x14ac:dyDescent="0.3">
      <c r="B3452" s="171">
        <v>41774</v>
      </c>
      <c r="C3452" s="60">
        <v>2230.6999999999998</v>
      </c>
    </row>
    <row r="3453" spans="2:3" x14ac:dyDescent="0.3">
      <c r="B3453" s="171">
        <v>41773</v>
      </c>
      <c r="C3453" s="60">
        <v>2240.6</v>
      </c>
    </row>
    <row r="3454" spans="2:3" x14ac:dyDescent="0.3">
      <c r="B3454" s="171">
        <v>41772</v>
      </c>
      <c r="C3454" s="60">
        <v>2220.5500000000002</v>
      </c>
    </row>
    <row r="3455" spans="2:3" x14ac:dyDescent="0.3">
      <c r="B3455" s="171">
        <v>41771</v>
      </c>
      <c r="C3455" s="60">
        <v>2159.15</v>
      </c>
    </row>
    <row r="3456" spans="2:3" x14ac:dyDescent="0.3">
      <c r="B3456" s="171">
        <v>41768</v>
      </c>
      <c r="C3456" s="60">
        <v>2079.6</v>
      </c>
    </row>
    <row r="3457" spans="2:3" x14ac:dyDescent="0.3">
      <c r="B3457" s="171">
        <v>41767</v>
      </c>
      <c r="C3457" s="60">
        <v>1980.05</v>
      </c>
    </row>
    <row r="3458" spans="2:3" x14ac:dyDescent="0.3">
      <c r="B3458" s="171">
        <v>41766</v>
      </c>
      <c r="C3458" s="60">
        <v>1968.9</v>
      </c>
    </row>
    <row r="3459" spans="2:3" x14ac:dyDescent="0.3">
      <c r="B3459" s="171">
        <v>41765</v>
      </c>
      <c r="C3459" s="60">
        <v>2023.8</v>
      </c>
    </row>
    <row r="3460" spans="2:3" x14ac:dyDescent="0.3">
      <c r="B3460" s="171">
        <v>41764</v>
      </c>
      <c r="C3460" s="60">
        <v>2030.8</v>
      </c>
    </row>
    <row r="3461" spans="2:3" x14ac:dyDescent="0.3">
      <c r="B3461" s="171">
        <v>41761</v>
      </c>
      <c r="C3461" s="60">
        <v>2035.95</v>
      </c>
    </row>
    <row r="3462" spans="2:3" x14ac:dyDescent="0.3">
      <c r="B3462" s="171">
        <v>41759</v>
      </c>
      <c r="C3462" s="60">
        <v>2027.15</v>
      </c>
    </row>
    <row r="3463" spans="2:3" x14ac:dyDescent="0.3">
      <c r="B3463" s="171">
        <v>41758</v>
      </c>
      <c r="C3463" s="60">
        <v>2066.5</v>
      </c>
    </row>
    <row r="3464" spans="2:3" x14ac:dyDescent="0.3">
      <c r="B3464" s="171">
        <v>41757</v>
      </c>
      <c r="C3464" s="60">
        <v>2050.75</v>
      </c>
    </row>
    <row r="3465" spans="2:3" x14ac:dyDescent="0.3">
      <c r="B3465" s="171">
        <v>41754</v>
      </c>
      <c r="C3465" s="60">
        <v>2079.6</v>
      </c>
    </row>
    <row r="3466" spans="2:3" x14ac:dyDescent="0.3">
      <c r="B3466" s="171">
        <v>41752</v>
      </c>
      <c r="C3466" s="60">
        <v>2169.6999999999998</v>
      </c>
    </row>
    <row r="3467" spans="2:3" x14ac:dyDescent="0.3">
      <c r="B3467" s="171">
        <v>41751</v>
      </c>
      <c r="C3467" s="60">
        <v>2202.1</v>
      </c>
    </row>
    <row r="3468" spans="2:3" x14ac:dyDescent="0.3">
      <c r="B3468" s="171">
        <v>41750</v>
      </c>
      <c r="C3468" s="60">
        <v>2219.25</v>
      </c>
    </row>
    <row r="3469" spans="2:3" x14ac:dyDescent="0.3">
      <c r="B3469" s="171">
        <v>41746</v>
      </c>
      <c r="C3469" s="60">
        <v>2217.6</v>
      </c>
    </row>
    <row r="3470" spans="2:3" x14ac:dyDescent="0.3">
      <c r="B3470" s="171">
        <v>41745</v>
      </c>
      <c r="C3470" s="60">
        <v>2200</v>
      </c>
    </row>
    <row r="3471" spans="2:3" x14ac:dyDescent="0.3">
      <c r="B3471" s="171">
        <v>41744</v>
      </c>
      <c r="C3471" s="60">
        <v>2212.15</v>
      </c>
    </row>
    <row r="3472" spans="2:3" x14ac:dyDescent="0.3">
      <c r="B3472" s="171">
        <v>41740</v>
      </c>
      <c r="C3472" s="60">
        <v>2259.25</v>
      </c>
    </row>
    <row r="3473" spans="2:3" x14ac:dyDescent="0.3">
      <c r="B3473" s="171">
        <v>41739</v>
      </c>
      <c r="C3473" s="60">
        <v>2245.8000000000002</v>
      </c>
    </row>
    <row r="3474" spans="2:3" x14ac:dyDescent="0.3">
      <c r="B3474" s="171">
        <v>41738</v>
      </c>
      <c r="C3474" s="60">
        <v>2223.65</v>
      </c>
    </row>
    <row r="3475" spans="2:3" x14ac:dyDescent="0.3">
      <c r="B3475" s="171">
        <v>41736</v>
      </c>
      <c r="C3475" s="60">
        <v>2225.5500000000002</v>
      </c>
    </row>
    <row r="3476" spans="2:3" x14ac:dyDescent="0.3">
      <c r="B3476" s="171">
        <v>41733</v>
      </c>
      <c r="C3476" s="60">
        <v>2150.1999999999998</v>
      </c>
    </row>
    <row r="3477" spans="2:3" x14ac:dyDescent="0.3">
      <c r="B3477" s="171">
        <v>41732</v>
      </c>
      <c r="C3477" s="60">
        <v>2147.5</v>
      </c>
    </row>
    <row r="3478" spans="2:3" x14ac:dyDescent="0.3">
      <c r="B3478" s="171">
        <v>41731</v>
      </c>
      <c r="C3478" s="60">
        <v>2128.6</v>
      </c>
    </row>
    <row r="3479" spans="2:3" x14ac:dyDescent="0.3">
      <c r="B3479" s="171">
        <v>41730</v>
      </c>
      <c r="C3479" s="60">
        <v>2158.0500000000002</v>
      </c>
    </row>
    <row r="3480" spans="2:3" x14ac:dyDescent="0.3">
      <c r="B3480" s="171">
        <v>41729</v>
      </c>
      <c r="C3480" s="60">
        <v>2186.9499999999998</v>
      </c>
    </row>
    <row r="3481" spans="2:3" x14ac:dyDescent="0.3">
      <c r="B3481" s="171">
        <v>41726</v>
      </c>
      <c r="C3481" s="60">
        <v>2147.1</v>
      </c>
    </row>
    <row r="3482" spans="2:3" x14ac:dyDescent="0.3">
      <c r="B3482" s="171">
        <v>41725</v>
      </c>
      <c r="C3482" s="60">
        <v>2058.75</v>
      </c>
    </row>
    <row r="3483" spans="2:3" x14ac:dyDescent="0.3">
      <c r="B3483" s="171">
        <v>41724</v>
      </c>
      <c r="C3483" s="60">
        <v>1989.45</v>
      </c>
    </row>
    <row r="3484" spans="2:3" x14ac:dyDescent="0.3">
      <c r="B3484" s="171">
        <v>41723</v>
      </c>
      <c r="C3484" s="60">
        <v>1980.2</v>
      </c>
    </row>
    <row r="3485" spans="2:3" x14ac:dyDescent="0.3">
      <c r="B3485" s="171">
        <v>41722</v>
      </c>
      <c r="C3485" s="60">
        <v>1973.1</v>
      </c>
    </row>
    <row r="3486" spans="2:3" x14ac:dyDescent="0.3">
      <c r="B3486" s="171">
        <v>41720</v>
      </c>
      <c r="C3486" s="60">
        <v>1952.35</v>
      </c>
    </row>
    <row r="3487" spans="2:3" x14ac:dyDescent="0.3">
      <c r="B3487" s="171">
        <v>41719</v>
      </c>
      <c r="C3487" s="60">
        <v>1955.3</v>
      </c>
    </row>
    <row r="3488" spans="2:3" x14ac:dyDescent="0.3">
      <c r="B3488" s="171">
        <v>41718</v>
      </c>
      <c r="C3488" s="60">
        <v>1944.55</v>
      </c>
    </row>
    <row r="3489" spans="2:3" x14ac:dyDescent="0.3">
      <c r="B3489" s="171">
        <v>41717</v>
      </c>
      <c r="C3489" s="60">
        <v>1978.85</v>
      </c>
    </row>
    <row r="3490" spans="2:3" x14ac:dyDescent="0.3">
      <c r="B3490" s="171">
        <v>41716</v>
      </c>
      <c r="C3490" s="60">
        <v>1968.2</v>
      </c>
    </row>
    <row r="3491" spans="2:3" x14ac:dyDescent="0.3">
      <c r="B3491" s="171">
        <v>41712</v>
      </c>
      <c r="C3491" s="60">
        <v>1969.95</v>
      </c>
    </row>
    <row r="3492" spans="2:3" x14ac:dyDescent="0.3">
      <c r="B3492" s="171">
        <v>41711</v>
      </c>
      <c r="C3492" s="60">
        <v>1958.4</v>
      </c>
    </row>
    <row r="3493" spans="2:3" x14ac:dyDescent="0.3">
      <c r="B3493" s="171">
        <v>41710</v>
      </c>
      <c r="C3493" s="60">
        <v>1964.45</v>
      </c>
    </row>
    <row r="3494" spans="2:3" x14ac:dyDescent="0.3">
      <c r="B3494" s="171">
        <v>41709</v>
      </c>
      <c r="C3494" s="60">
        <v>2003.3</v>
      </c>
    </row>
    <row r="3495" spans="2:3" x14ac:dyDescent="0.3">
      <c r="B3495" s="171">
        <v>41708</v>
      </c>
      <c r="C3495" s="60">
        <v>1989.75</v>
      </c>
    </row>
    <row r="3496" spans="2:3" x14ac:dyDescent="0.3">
      <c r="B3496" s="171">
        <v>41705</v>
      </c>
      <c r="C3496" s="60">
        <v>1973.75</v>
      </c>
    </row>
    <row r="3497" spans="2:3" x14ac:dyDescent="0.3">
      <c r="B3497" s="171">
        <v>41704</v>
      </c>
      <c r="C3497" s="60">
        <v>1960.05</v>
      </c>
    </row>
    <row r="3498" spans="2:3" x14ac:dyDescent="0.3">
      <c r="B3498" s="171">
        <v>41703</v>
      </c>
      <c r="C3498" s="60">
        <v>1897.95</v>
      </c>
    </row>
    <row r="3499" spans="2:3" x14ac:dyDescent="0.3">
      <c r="B3499" s="171">
        <v>41702</v>
      </c>
      <c r="C3499" s="60">
        <v>1877.55</v>
      </c>
    </row>
    <row r="3500" spans="2:3" x14ac:dyDescent="0.3">
      <c r="B3500" s="171">
        <v>41701</v>
      </c>
      <c r="C3500" s="60">
        <v>1826.75</v>
      </c>
    </row>
    <row r="3501" spans="2:3" x14ac:dyDescent="0.3">
      <c r="B3501" s="171">
        <v>41698</v>
      </c>
      <c r="C3501" s="60">
        <v>1839.2</v>
      </c>
    </row>
    <row r="3502" spans="2:3" x14ac:dyDescent="0.3">
      <c r="B3502" s="171">
        <v>41696</v>
      </c>
      <c r="C3502" s="60">
        <v>1844.1</v>
      </c>
    </row>
    <row r="3503" spans="2:3" x14ac:dyDescent="0.3">
      <c r="B3503" s="171">
        <v>41695</v>
      </c>
      <c r="C3503" s="60">
        <v>1865.75</v>
      </c>
    </row>
    <row r="3504" spans="2:3" x14ac:dyDescent="0.3">
      <c r="B3504" s="171">
        <v>41694</v>
      </c>
      <c r="C3504" s="60">
        <v>1838.15</v>
      </c>
    </row>
    <row r="3505" spans="2:3" x14ac:dyDescent="0.3">
      <c r="B3505" s="171">
        <v>41691</v>
      </c>
      <c r="C3505" s="60">
        <v>1799.95</v>
      </c>
    </row>
    <row r="3506" spans="2:3" x14ac:dyDescent="0.3">
      <c r="B3506" s="171">
        <v>41690</v>
      </c>
      <c r="C3506" s="60">
        <v>1702.05</v>
      </c>
    </row>
    <row r="3507" spans="2:3" x14ac:dyDescent="0.3">
      <c r="B3507" s="171">
        <v>41689</v>
      </c>
      <c r="C3507" s="60">
        <v>1706.45</v>
      </c>
    </row>
    <row r="3508" spans="2:3" x14ac:dyDescent="0.3">
      <c r="B3508" s="171">
        <v>41688</v>
      </c>
      <c r="C3508" s="60">
        <v>1690.9</v>
      </c>
    </row>
    <row r="3509" spans="2:3" x14ac:dyDescent="0.3">
      <c r="B3509" s="171">
        <v>41687</v>
      </c>
      <c r="C3509" s="60">
        <v>1667.5</v>
      </c>
    </row>
    <row r="3510" spans="2:3" x14ac:dyDescent="0.3">
      <c r="B3510" s="171">
        <v>41684</v>
      </c>
      <c r="C3510" s="60">
        <v>1666.35</v>
      </c>
    </row>
    <row r="3511" spans="2:3" x14ac:dyDescent="0.3">
      <c r="B3511" s="171">
        <v>41683</v>
      </c>
      <c r="C3511" s="60">
        <v>1688.45</v>
      </c>
    </row>
    <row r="3512" spans="2:3" x14ac:dyDescent="0.3">
      <c r="B3512" s="171">
        <v>41682</v>
      </c>
      <c r="C3512" s="60">
        <v>1705.7</v>
      </c>
    </row>
    <row r="3513" spans="2:3" x14ac:dyDescent="0.3">
      <c r="B3513" s="171">
        <v>41681</v>
      </c>
      <c r="C3513" s="60">
        <v>1699.35</v>
      </c>
    </row>
    <row r="3514" spans="2:3" x14ac:dyDescent="0.3">
      <c r="B3514" s="171">
        <v>41680</v>
      </c>
      <c r="C3514" s="60">
        <v>1724.85</v>
      </c>
    </row>
    <row r="3515" spans="2:3" x14ac:dyDescent="0.3">
      <c r="B3515" s="171">
        <v>41677</v>
      </c>
      <c r="C3515" s="60">
        <v>1729.05</v>
      </c>
    </row>
    <row r="3516" spans="2:3" x14ac:dyDescent="0.3">
      <c r="B3516" s="171">
        <v>41676</v>
      </c>
      <c r="C3516" s="60">
        <v>1696.75</v>
      </c>
    </row>
    <row r="3517" spans="2:3" x14ac:dyDescent="0.3">
      <c r="B3517" s="171">
        <v>41675</v>
      </c>
      <c r="C3517" s="60">
        <v>1679.65</v>
      </c>
    </row>
    <row r="3518" spans="2:3" x14ac:dyDescent="0.3">
      <c r="B3518" s="171">
        <v>41674</v>
      </c>
      <c r="C3518" s="60">
        <v>1674.1</v>
      </c>
    </row>
    <row r="3519" spans="2:3" x14ac:dyDescent="0.3">
      <c r="B3519" s="171">
        <v>41673</v>
      </c>
      <c r="C3519" s="60">
        <v>1690.05</v>
      </c>
    </row>
    <row r="3520" spans="2:3" x14ac:dyDescent="0.3">
      <c r="B3520" s="171">
        <v>41670</v>
      </c>
      <c r="C3520" s="60">
        <v>1710.7</v>
      </c>
    </row>
    <row r="3521" spans="2:3" x14ac:dyDescent="0.3">
      <c r="B3521" s="171">
        <v>41669</v>
      </c>
      <c r="C3521" s="60">
        <v>1686.15</v>
      </c>
    </row>
    <row r="3522" spans="2:3" x14ac:dyDescent="0.3">
      <c r="B3522" s="171">
        <v>41668</v>
      </c>
      <c r="C3522" s="60">
        <v>1703.35</v>
      </c>
    </row>
    <row r="3523" spans="2:3" x14ac:dyDescent="0.3">
      <c r="B3523" s="171">
        <v>41667</v>
      </c>
      <c r="C3523" s="60">
        <v>1694.8</v>
      </c>
    </row>
    <row r="3524" spans="2:3" x14ac:dyDescent="0.3">
      <c r="B3524" s="171">
        <v>41666</v>
      </c>
      <c r="C3524" s="60">
        <v>1700.05</v>
      </c>
    </row>
    <row r="3525" spans="2:3" x14ac:dyDescent="0.3">
      <c r="B3525" s="171">
        <v>41663</v>
      </c>
      <c r="C3525" s="60">
        <v>1699.75</v>
      </c>
    </row>
    <row r="3526" spans="2:3" x14ac:dyDescent="0.3">
      <c r="B3526" s="171">
        <v>41662</v>
      </c>
      <c r="C3526" s="60">
        <v>1706.05</v>
      </c>
    </row>
    <row r="3527" spans="2:3" x14ac:dyDescent="0.3">
      <c r="B3527" s="171">
        <v>41661</v>
      </c>
      <c r="C3527" s="60">
        <v>1694.7</v>
      </c>
    </row>
    <row r="3528" spans="2:3" x14ac:dyDescent="0.3">
      <c r="B3528" s="171">
        <v>41660</v>
      </c>
      <c r="C3528" s="60">
        <v>1699.75</v>
      </c>
    </row>
    <row r="3529" spans="2:3" x14ac:dyDescent="0.3">
      <c r="B3529" s="171">
        <v>41659</v>
      </c>
      <c r="C3529" s="60">
        <v>1718.95</v>
      </c>
    </row>
    <row r="3530" spans="2:3" x14ac:dyDescent="0.3">
      <c r="B3530" s="171">
        <v>41656</v>
      </c>
      <c r="C3530" s="60">
        <v>1719.25</v>
      </c>
    </row>
    <row r="3531" spans="2:3" x14ac:dyDescent="0.3">
      <c r="B3531" s="171">
        <v>41655</v>
      </c>
      <c r="C3531" s="60">
        <v>1747.2</v>
      </c>
    </row>
    <row r="3532" spans="2:3" x14ac:dyDescent="0.3">
      <c r="B3532" s="171">
        <v>41654</v>
      </c>
      <c r="C3532" s="60">
        <v>1710.1</v>
      </c>
    </row>
    <row r="3533" spans="2:3" x14ac:dyDescent="0.3">
      <c r="B3533" s="171">
        <v>41653</v>
      </c>
      <c r="C3533" s="60">
        <v>1648</v>
      </c>
    </row>
    <row r="3534" spans="2:3" x14ac:dyDescent="0.3">
      <c r="B3534" s="171">
        <v>41652</v>
      </c>
      <c r="C3534" s="60">
        <v>1669.55</v>
      </c>
    </row>
    <row r="3535" spans="2:3" x14ac:dyDescent="0.3">
      <c r="B3535" s="171">
        <v>41649</v>
      </c>
      <c r="C3535" s="60">
        <v>1671.8</v>
      </c>
    </row>
    <row r="3536" spans="2:3" x14ac:dyDescent="0.3">
      <c r="B3536" s="171">
        <v>41648</v>
      </c>
      <c r="C3536" s="60">
        <v>1688.55</v>
      </c>
    </row>
    <row r="3537" spans="2:3" x14ac:dyDescent="0.3">
      <c r="B3537" s="171">
        <v>41647</v>
      </c>
      <c r="C3537" s="60">
        <v>1700.85</v>
      </c>
    </row>
    <row r="3538" spans="2:3" x14ac:dyDescent="0.3">
      <c r="B3538" s="171">
        <v>41646</v>
      </c>
      <c r="C3538" s="60">
        <v>1690.2</v>
      </c>
    </row>
    <row r="3539" spans="2:3" x14ac:dyDescent="0.3">
      <c r="B3539" s="171">
        <v>41645</v>
      </c>
      <c r="C3539" s="60">
        <v>1724.3</v>
      </c>
    </row>
    <row r="3540" spans="2:3" x14ac:dyDescent="0.3">
      <c r="B3540" s="171">
        <v>41642</v>
      </c>
      <c r="C3540" s="60">
        <v>1727.2</v>
      </c>
    </row>
    <row r="3541" spans="2:3" x14ac:dyDescent="0.3">
      <c r="B3541" s="171">
        <v>41641</v>
      </c>
      <c r="C3541" s="60">
        <v>1731.1</v>
      </c>
    </row>
    <row r="3542" spans="2:3" x14ac:dyDescent="0.3">
      <c r="B3542" s="171">
        <v>41640</v>
      </c>
      <c r="C3542" s="60">
        <v>1769.25</v>
      </c>
    </row>
    <row r="3543" spans="2:3" x14ac:dyDescent="0.3">
      <c r="B3543" s="171">
        <v>41639</v>
      </c>
      <c r="C3543" s="60">
        <v>1764.1</v>
      </c>
    </row>
    <row r="3544" spans="2:3" x14ac:dyDescent="0.3">
      <c r="B3544" s="171">
        <v>41638</v>
      </c>
      <c r="C3544" s="60">
        <v>1739.2</v>
      </c>
    </row>
    <row r="3545" spans="2:3" x14ac:dyDescent="0.3">
      <c r="B3545" s="171">
        <v>41635</v>
      </c>
      <c r="C3545" s="60">
        <v>1770.05</v>
      </c>
    </row>
    <row r="3546" spans="2:3" x14ac:dyDescent="0.3">
      <c r="B3546" s="171">
        <v>41634</v>
      </c>
      <c r="C3546" s="60">
        <v>1779.9</v>
      </c>
    </row>
    <row r="3547" spans="2:3" x14ac:dyDescent="0.3">
      <c r="B3547" s="171">
        <v>41632</v>
      </c>
      <c r="C3547" s="60">
        <v>1796.45</v>
      </c>
    </row>
    <row r="3548" spans="2:3" x14ac:dyDescent="0.3">
      <c r="B3548" s="171">
        <v>41631</v>
      </c>
      <c r="C3548" s="60">
        <v>1766.35</v>
      </c>
    </row>
    <row r="3549" spans="2:3" x14ac:dyDescent="0.3">
      <c r="B3549" s="171">
        <v>41628</v>
      </c>
      <c r="C3549" s="60">
        <v>1744.2</v>
      </c>
    </row>
    <row r="3550" spans="2:3" x14ac:dyDescent="0.3">
      <c r="B3550" s="171">
        <v>41627</v>
      </c>
      <c r="C3550" s="60">
        <v>1730.05</v>
      </c>
    </row>
    <row r="3551" spans="2:3" x14ac:dyDescent="0.3">
      <c r="B3551" s="171">
        <v>41626</v>
      </c>
      <c r="C3551" s="60">
        <v>1753.35</v>
      </c>
    </row>
    <row r="3552" spans="2:3" x14ac:dyDescent="0.3">
      <c r="B3552" s="171">
        <v>41625</v>
      </c>
      <c r="C3552" s="60">
        <v>1753.85</v>
      </c>
    </row>
    <row r="3553" spans="2:3" x14ac:dyDescent="0.3">
      <c r="B3553" s="171">
        <v>41624</v>
      </c>
      <c r="C3553" s="60">
        <v>1770.3</v>
      </c>
    </row>
    <row r="3554" spans="2:3" x14ac:dyDescent="0.3">
      <c r="B3554" s="171">
        <v>41621</v>
      </c>
      <c r="C3554" s="60">
        <v>1800.7</v>
      </c>
    </row>
    <row r="3555" spans="2:3" x14ac:dyDescent="0.3">
      <c r="B3555" s="171">
        <v>41620</v>
      </c>
      <c r="C3555" s="60">
        <v>1871.4</v>
      </c>
    </row>
    <row r="3556" spans="2:3" x14ac:dyDescent="0.3">
      <c r="B3556" s="171">
        <v>41619</v>
      </c>
      <c r="C3556" s="60">
        <v>1907.9</v>
      </c>
    </row>
    <row r="3557" spans="2:3" x14ac:dyDescent="0.3">
      <c r="B3557" s="171">
        <v>41618</v>
      </c>
      <c r="C3557" s="60">
        <v>1923.6</v>
      </c>
    </row>
    <row r="3558" spans="2:3" x14ac:dyDescent="0.3">
      <c r="B3558" s="171">
        <v>41617</v>
      </c>
      <c r="C3558" s="60">
        <v>1928.5</v>
      </c>
    </row>
    <row r="3559" spans="2:3" x14ac:dyDescent="0.3">
      <c r="B3559" s="171">
        <v>41614</v>
      </c>
      <c r="C3559" s="60">
        <v>1881.35</v>
      </c>
    </row>
    <row r="3560" spans="2:3" x14ac:dyDescent="0.3">
      <c r="B3560" s="171">
        <v>41613</v>
      </c>
      <c r="C3560" s="60">
        <v>1871.65</v>
      </c>
    </row>
    <row r="3561" spans="2:3" x14ac:dyDescent="0.3">
      <c r="B3561" s="171">
        <v>41612</v>
      </c>
      <c r="C3561" s="60">
        <v>1875.6</v>
      </c>
    </row>
    <row r="3562" spans="2:3" x14ac:dyDescent="0.3">
      <c r="B3562" s="171">
        <v>41611</v>
      </c>
      <c r="C3562" s="60">
        <v>1895.75</v>
      </c>
    </row>
    <row r="3563" spans="2:3" x14ac:dyDescent="0.3">
      <c r="B3563" s="171">
        <v>41610</v>
      </c>
      <c r="C3563" s="60">
        <v>1899.4</v>
      </c>
    </row>
    <row r="3564" spans="2:3" x14ac:dyDescent="0.3">
      <c r="B3564" s="171">
        <v>41607</v>
      </c>
      <c r="C3564" s="60">
        <v>1907.8</v>
      </c>
    </row>
    <row r="3565" spans="2:3" x14ac:dyDescent="0.3">
      <c r="B3565" s="171">
        <v>41606</v>
      </c>
      <c r="C3565" s="60">
        <v>1910.4</v>
      </c>
    </row>
    <row r="3566" spans="2:3" x14ac:dyDescent="0.3">
      <c r="B3566" s="171">
        <v>41605</v>
      </c>
      <c r="C3566" s="60">
        <v>1871.15</v>
      </c>
    </row>
    <row r="3567" spans="2:3" x14ac:dyDescent="0.3">
      <c r="B3567" s="171">
        <v>41604</v>
      </c>
      <c r="C3567" s="60">
        <v>1853.5</v>
      </c>
    </row>
    <row r="3568" spans="2:3" x14ac:dyDescent="0.3">
      <c r="B3568" s="171">
        <v>41603</v>
      </c>
      <c r="C3568" s="60">
        <v>1888.7</v>
      </c>
    </row>
    <row r="3569" spans="2:3" x14ac:dyDescent="0.3">
      <c r="B3569" s="171">
        <v>41600</v>
      </c>
      <c r="C3569" s="60">
        <v>1815.25</v>
      </c>
    </row>
    <row r="3570" spans="2:3" x14ac:dyDescent="0.3">
      <c r="B3570" s="171">
        <v>41599</v>
      </c>
      <c r="C3570" s="60">
        <v>1845.25</v>
      </c>
    </row>
    <row r="3571" spans="2:3" x14ac:dyDescent="0.3">
      <c r="B3571" s="171">
        <v>41598</v>
      </c>
      <c r="C3571" s="60">
        <v>1894.45</v>
      </c>
    </row>
    <row r="3572" spans="2:3" x14ac:dyDescent="0.3">
      <c r="B3572" s="171">
        <v>41597</v>
      </c>
      <c r="C3572" s="60">
        <v>1922.05</v>
      </c>
    </row>
    <row r="3573" spans="2:3" x14ac:dyDescent="0.3">
      <c r="B3573" s="171">
        <v>41596</v>
      </c>
      <c r="C3573" s="60">
        <v>1934.9</v>
      </c>
    </row>
    <row r="3574" spans="2:3" x14ac:dyDescent="0.3">
      <c r="B3574" s="171">
        <v>41592</v>
      </c>
      <c r="C3574" s="60">
        <v>1877.2</v>
      </c>
    </row>
    <row r="3575" spans="2:3" x14ac:dyDescent="0.3">
      <c r="B3575" s="171">
        <v>41591</v>
      </c>
      <c r="C3575" s="60">
        <v>1866.45</v>
      </c>
    </row>
    <row r="3576" spans="2:3" x14ac:dyDescent="0.3">
      <c r="B3576" s="171">
        <v>41590</v>
      </c>
      <c r="C3576" s="60">
        <v>1884.3</v>
      </c>
    </row>
    <row r="3577" spans="2:3" x14ac:dyDescent="0.3">
      <c r="B3577" s="171">
        <v>41589</v>
      </c>
      <c r="C3577" s="60">
        <v>1904.4</v>
      </c>
    </row>
    <row r="3578" spans="2:3" x14ac:dyDescent="0.3">
      <c r="B3578" s="171">
        <v>41586</v>
      </c>
      <c r="C3578" s="60">
        <v>1926.55</v>
      </c>
    </row>
    <row r="3579" spans="2:3" x14ac:dyDescent="0.3">
      <c r="B3579" s="171">
        <v>41585</v>
      </c>
      <c r="C3579" s="60">
        <v>1935.6</v>
      </c>
    </row>
    <row r="3580" spans="2:3" x14ac:dyDescent="0.3">
      <c r="B3580" s="171">
        <v>41584</v>
      </c>
      <c r="C3580" s="60">
        <v>1946.4</v>
      </c>
    </row>
    <row r="3581" spans="2:3" x14ac:dyDescent="0.3">
      <c r="B3581" s="171">
        <v>41583</v>
      </c>
      <c r="C3581" s="60">
        <v>1951.1</v>
      </c>
    </row>
    <row r="3582" spans="2:3" x14ac:dyDescent="0.3">
      <c r="B3582" s="171">
        <v>41579</v>
      </c>
      <c r="C3582" s="60">
        <v>1962.5</v>
      </c>
    </row>
    <row r="3583" spans="2:3" x14ac:dyDescent="0.3">
      <c r="B3583" s="171">
        <v>41578</v>
      </c>
      <c r="C3583" s="60">
        <v>1966.85</v>
      </c>
    </row>
    <row r="3584" spans="2:3" x14ac:dyDescent="0.3">
      <c r="B3584" s="171">
        <v>41577</v>
      </c>
      <c r="C3584" s="60">
        <v>1970.95</v>
      </c>
    </row>
    <row r="3585" spans="2:3" x14ac:dyDescent="0.3">
      <c r="B3585" s="171">
        <v>41576</v>
      </c>
      <c r="C3585" s="60">
        <v>1986.35</v>
      </c>
    </row>
    <row r="3586" spans="2:3" x14ac:dyDescent="0.3">
      <c r="B3586" s="171">
        <v>41575</v>
      </c>
      <c r="C3586" s="60">
        <v>1944.1</v>
      </c>
    </row>
    <row r="3587" spans="2:3" x14ac:dyDescent="0.3">
      <c r="B3587" s="171">
        <v>41572</v>
      </c>
      <c r="C3587" s="60">
        <v>1949.5</v>
      </c>
    </row>
    <row r="3588" spans="2:3" x14ac:dyDescent="0.3">
      <c r="B3588" s="171">
        <v>41571</v>
      </c>
      <c r="C3588" s="60">
        <v>1950.8</v>
      </c>
    </row>
    <row r="3589" spans="2:3" x14ac:dyDescent="0.3">
      <c r="B3589" s="171">
        <v>41570</v>
      </c>
      <c r="C3589" s="60">
        <v>1936.9</v>
      </c>
    </row>
    <row r="3590" spans="2:3" x14ac:dyDescent="0.3">
      <c r="B3590" s="171">
        <v>41569</v>
      </c>
      <c r="C3590" s="60">
        <v>1960.85</v>
      </c>
    </row>
    <row r="3591" spans="2:3" x14ac:dyDescent="0.3">
      <c r="B3591" s="171">
        <v>41568</v>
      </c>
      <c r="C3591" s="60">
        <v>1958.8</v>
      </c>
    </row>
    <row r="3592" spans="2:3" x14ac:dyDescent="0.3">
      <c r="B3592" s="171">
        <v>41565</v>
      </c>
      <c r="C3592" s="60">
        <v>1964.6</v>
      </c>
    </row>
    <row r="3593" spans="2:3" x14ac:dyDescent="0.3">
      <c r="B3593" s="171">
        <v>41564</v>
      </c>
      <c r="C3593" s="60">
        <v>1960.05</v>
      </c>
    </row>
    <row r="3594" spans="2:3" x14ac:dyDescent="0.3">
      <c r="B3594" s="171">
        <v>41562</v>
      </c>
      <c r="C3594" s="60">
        <v>1974.3</v>
      </c>
    </row>
    <row r="3595" spans="2:3" x14ac:dyDescent="0.3">
      <c r="B3595" s="171">
        <v>41561</v>
      </c>
      <c r="C3595" s="60">
        <v>1976.95</v>
      </c>
    </row>
    <row r="3596" spans="2:3" x14ac:dyDescent="0.3">
      <c r="B3596" s="171">
        <v>41558</v>
      </c>
      <c r="C3596" s="60">
        <v>1970.35</v>
      </c>
    </row>
    <row r="3597" spans="2:3" x14ac:dyDescent="0.3">
      <c r="B3597" s="171">
        <v>41557</v>
      </c>
      <c r="C3597" s="60">
        <v>1975.55</v>
      </c>
    </row>
    <row r="3598" spans="2:3" x14ac:dyDescent="0.3">
      <c r="B3598" s="171">
        <v>41556</v>
      </c>
      <c r="C3598" s="60">
        <v>1970.05</v>
      </c>
    </row>
    <row r="3599" spans="2:3" x14ac:dyDescent="0.3">
      <c r="B3599" s="171">
        <v>41555</v>
      </c>
      <c r="C3599" s="60">
        <v>1944.65</v>
      </c>
    </row>
    <row r="3600" spans="2:3" x14ac:dyDescent="0.3">
      <c r="B3600" s="171">
        <v>41554</v>
      </c>
      <c r="C3600" s="60">
        <v>1905.4</v>
      </c>
    </row>
    <row r="3601" spans="2:3" x14ac:dyDescent="0.3">
      <c r="B3601" s="171">
        <v>41551</v>
      </c>
      <c r="C3601" s="60">
        <v>1910.4</v>
      </c>
    </row>
    <row r="3602" spans="2:3" x14ac:dyDescent="0.3">
      <c r="B3602" s="171">
        <v>41550</v>
      </c>
      <c r="C3602" s="60">
        <v>1892</v>
      </c>
    </row>
    <row r="3603" spans="2:3" x14ac:dyDescent="0.3">
      <c r="B3603" s="171">
        <v>41548</v>
      </c>
      <c r="C3603" s="60">
        <v>1813.3</v>
      </c>
    </row>
    <row r="3604" spans="2:3" x14ac:dyDescent="0.3">
      <c r="B3604" s="171">
        <v>41547</v>
      </c>
      <c r="C3604" s="60">
        <v>1809.3</v>
      </c>
    </row>
    <row r="3605" spans="2:3" x14ac:dyDescent="0.3">
      <c r="B3605" s="171">
        <v>41544</v>
      </c>
      <c r="C3605" s="60">
        <v>1829</v>
      </c>
    </row>
    <row r="3606" spans="2:3" x14ac:dyDescent="0.3">
      <c r="B3606" s="171">
        <v>41543</v>
      </c>
      <c r="C3606" s="60">
        <v>1808.7</v>
      </c>
    </row>
    <row r="3607" spans="2:3" x14ac:dyDescent="0.3">
      <c r="B3607" s="171">
        <v>41542</v>
      </c>
      <c r="C3607" s="60">
        <v>1796.95</v>
      </c>
    </row>
    <row r="3608" spans="2:3" x14ac:dyDescent="0.3">
      <c r="B3608" s="171">
        <v>41541</v>
      </c>
      <c r="C3608" s="60">
        <v>1819.85</v>
      </c>
    </row>
    <row r="3609" spans="2:3" x14ac:dyDescent="0.3">
      <c r="B3609" s="171">
        <v>41540</v>
      </c>
      <c r="C3609" s="60">
        <v>1790.6</v>
      </c>
    </row>
    <row r="3610" spans="2:3" x14ac:dyDescent="0.3">
      <c r="B3610" s="171">
        <v>41537</v>
      </c>
      <c r="C3610" s="60">
        <v>1854.4</v>
      </c>
    </row>
    <row r="3611" spans="2:3" x14ac:dyDescent="0.3">
      <c r="B3611" s="171">
        <v>41536</v>
      </c>
      <c r="C3611" s="60">
        <v>1766.65</v>
      </c>
    </row>
    <row r="3612" spans="2:3" x14ac:dyDescent="0.3">
      <c r="B3612" s="171">
        <v>41535</v>
      </c>
      <c r="C3612" s="60">
        <v>1717.05</v>
      </c>
    </row>
    <row r="3613" spans="2:3" x14ac:dyDescent="0.3">
      <c r="B3613" s="171">
        <v>41534</v>
      </c>
      <c r="C3613" s="60">
        <v>1699.65</v>
      </c>
    </row>
    <row r="3614" spans="2:3" x14ac:dyDescent="0.3">
      <c r="B3614" s="171">
        <v>41533</v>
      </c>
      <c r="C3614" s="60">
        <v>1648.75</v>
      </c>
    </row>
    <row r="3615" spans="2:3" x14ac:dyDescent="0.3">
      <c r="B3615" s="171">
        <v>41530</v>
      </c>
      <c r="C3615" s="60">
        <v>1720.85</v>
      </c>
    </row>
    <row r="3616" spans="2:3" x14ac:dyDescent="0.3">
      <c r="B3616" s="171">
        <v>41529</v>
      </c>
      <c r="C3616" s="60">
        <v>1758.85</v>
      </c>
    </row>
    <row r="3617" spans="2:3" x14ac:dyDescent="0.3">
      <c r="B3617" s="171">
        <v>41528</v>
      </c>
      <c r="C3617" s="60">
        <v>1734.85</v>
      </c>
    </row>
    <row r="3618" spans="2:3" x14ac:dyDescent="0.3">
      <c r="B3618" s="171">
        <v>41527</v>
      </c>
      <c r="C3618" s="60">
        <v>1707.5</v>
      </c>
    </row>
    <row r="3619" spans="2:3" x14ac:dyDescent="0.3">
      <c r="B3619" s="171">
        <v>41523</v>
      </c>
      <c r="C3619" s="60">
        <v>1601.05</v>
      </c>
    </row>
    <row r="3620" spans="2:3" x14ac:dyDescent="0.3">
      <c r="B3620" s="171">
        <v>41522</v>
      </c>
      <c r="C3620" s="60">
        <v>1539.4</v>
      </c>
    </row>
    <row r="3621" spans="2:3" x14ac:dyDescent="0.3">
      <c r="B3621" s="171">
        <v>41521</v>
      </c>
      <c r="C3621" s="60">
        <v>1488</v>
      </c>
    </row>
    <row r="3622" spans="2:3" x14ac:dyDescent="0.3">
      <c r="B3622" s="171">
        <v>41520</v>
      </c>
      <c r="C3622" s="60">
        <v>1444.7</v>
      </c>
    </row>
    <row r="3623" spans="2:3" x14ac:dyDescent="0.3">
      <c r="B3623" s="171">
        <v>41519</v>
      </c>
      <c r="C3623" s="60">
        <v>1498.4</v>
      </c>
    </row>
    <row r="3624" spans="2:3" x14ac:dyDescent="0.3">
      <c r="B3624" s="171">
        <v>41516</v>
      </c>
      <c r="C3624" s="60">
        <v>1474.85</v>
      </c>
    </row>
    <row r="3625" spans="2:3" x14ac:dyDescent="0.3">
      <c r="B3625" s="171">
        <v>41515</v>
      </c>
      <c r="C3625" s="60">
        <v>1447.95</v>
      </c>
    </row>
    <row r="3626" spans="2:3" x14ac:dyDescent="0.3">
      <c r="B3626" s="171">
        <v>41514</v>
      </c>
      <c r="C3626" s="60">
        <v>1463.7</v>
      </c>
    </row>
    <row r="3627" spans="2:3" x14ac:dyDescent="0.3">
      <c r="B3627" s="171">
        <v>41513</v>
      </c>
      <c r="C3627" s="60">
        <v>1550.7</v>
      </c>
    </row>
    <row r="3628" spans="2:3" x14ac:dyDescent="0.3">
      <c r="B3628" s="171">
        <v>41512</v>
      </c>
      <c r="C3628" s="60">
        <v>1596.4</v>
      </c>
    </row>
    <row r="3629" spans="2:3" x14ac:dyDescent="0.3">
      <c r="B3629" s="171">
        <v>41509</v>
      </c>
      <c r="C3629" s="60">
        <v>1580.7</v>
      </c>
    </row>
    <row r="3630" spans="2:3" x14ac:dyDescent="0.3">
      <c r="B3630" s="171">
        <v>41508</v>
      </c>
      <c r="C3630" s="60">
        <v>1634.45</v>
      </c>
    </row>
    <row r="3631" spans="2:3" x14ac:dyDescent="0.3">
      <c r="B3631" s="171">
        <v>41507</v>
      </c>
      <c r="C3631" s="60">
        <v>1625.9</v>
      </c>
    </row>
    <row r="3632" spans="2:3" x14ac:dyDescent="0.3">
      <c r="B3632" s="171">
        <v>41506</v>
      </c>
      <c r="C3632" s="60">
        <v>1647.1</v>
      </c>
    </row>
    <row r="3633" spans="2:3" x14ac:dyDescent="0.3">
      <c r="B3633" s="171">
        <v>41505</v>
      </c>
      <c r="C3633" s="60">
        <v>1654.65</v>
      </c>
    </row>
    <row r="3634" spans="2:3" x14ac:dyDescent="0.3">
      <c r="B3634" s="171">
        <v>41502</v>
      </c>
      <c r="C3634" s="60">
        <v>1684</v>
      </c>
    </row>
    <row r="3635" spans="2:3" x14ac:dyDescent="0.3">
      <c r="B3635" s="171">
        <v>41500</v>
      </c>
      <c r="C3635" s="60">
        <v>1727.75</v>
      </c>
    </row>
    <row r="3636" spans="2:3" x14ac:dyDescent="0.3">
      <c r="B3636" s="171">
        <v>41499</v>
      </c>
      <c r="C3636" s="60">
        <v>1695.7</v>
      </c>
    </row>
    <row r="3637" spans="2:3" x14ac:dyDescent="0.3">
      <c r="B3637" s="171">
        <v>41498</v>
      </c>
      <c r="C3637" s="60">
        <v>1688.85</v>
      </c>
    </row>
    <row r="3638" spans="2:3" x14ac:dyDescent="0.3">
      <c r="B3638" s="171">
        <v>41494</v>
      </c>
      <c r="C3638" s="60">
        <v>1671.85</v>
      </c>
    </row>
    <row r="3639" spans="2:3" x14ac:dyDescent="0.3">
      <c r="B3639" s="171">
        <v>41493</v>
      </c>
      <c r="C3639" s="60">
        <v>1642.6</v>
      </c>
    </row>
    <row r="3640" spans="2:3" x14ac:dyDescent="0.3">
      <c r="B3640" s="171">
        <v>41492</v>
      </c>
      <c r="C3640" s="60">
        <v>1670.6</v>
      </c>
    </row>
    <row r="3641" spans="2:3" x14ac:dyDescent="0.3">
      <c r="B3641" s="171">
        <v>41491</v>
      </c>
      <c r="C3641" s="60">
        <v>1773.4</v>
      </c>
    </row>
    <row r="3642" spans="2:3" x14ac:dyDescent="0.3">
      <c r="B3642" s="171">
        <v>41488</v>
      </c>
      <c r="C3642" s="60">
        <v>1779.15</v>
      </c>
    </row>
    <row r="3643" spans="2:3" x14ac:dyDescent="0.3">
      <c r="B3643" s="171">
        <v>41487</v>
      </c>
      <c r="C3643" s="60">
        <v>1817.95</v>
      </c>
    </row>
    <row r="3644" spans="2:3" x14ac:dyDescent="0.3">
      <c r="B3644" s="171">
        <v>41486</v>
      </c>
      <c r="C3644" s="60">
        <v>1836.65</v>
      </c>
    </row>
    <row r="3645" spans="2:3" x14ac:dyDescent="0.3">
      <c r="B3645" s="171">
        <v>41485</v>
      </c>
      <c r="C3645" s="60">
        <v>1871.75</v>
      </c>
    </row>
    <row r="3646" spans="2:3" x14ac:dyDescent="0.3">
      <c r="B3646" s="171">
        <v>41484</v>
      </c>
      <c r="C3646" s="60">
        <v>1880.6</v>
      </c>
    </row>
    <row r="3647" spans="2:3" x14ac:dyDescent="0.3">
      <c r="B3647" s="171">
        <v>41481</v>
      </c>
      <c r="C3647" s="60">
        <v>1864.95</v>
      </c>
    </row>
    <row r="3648" spans="2:3" x14ac:dyDescent="0.3">
      <c r="B3648" s="171">
        <v>41480</v>
      </c>
      <c r="C3648" s="60">
        <v>1854.15</v>
      </c>
    </row>
    <row r="3649" spans="2:3" x14ac:dyDescent="0.3">
      <c r="B3649" s="171">
        <v>41479</v>
      </c>
      <c r="C3649" s="60">
        <v>1918.8</v>
      </c>
    </row>
    <row r="3650" spans="2:3" x14ac:dyDescent="0.3">
      <c r="B3650" s="171">
        <v>41478</v>
      </c>
      <c r="C3650" s="60">
        <v>1910.65</v>
      </c>
    </row>
    <row r="3651" spans="2:3" x14ac:dyDescent="0.3">
      <c r="B3651" s="171">
        <v>41477</v>
      </c>
      <c r="C3651" s="60">
        <v>1919.6</v>
      </c>
    </row>
    <row r="3652" spans="2:3" x14ac:dyDescent="0.3">
      <c r="B3652" s="171">
        <v>41474</v>
      </c>
      <c r="C3652" s="60">
        <v>1930.25</v>
      </c>
    </row>
    <row r="3653" spans="2:3" x14ac:dyDescent="0.3">
      <c r="B3653" s="171">
        <v>41473</v>
      </c>
      <c r="C3653" s="60">
        <v>1924.35</v>
      </c>
    </row>
    <row r="3654" spans="2:3" x14ac:dyDescent="0.3">
      <c r="B3654" s="171">
        <v>41472</v>
      </c>
      <c r="C3654" s="60">
        <v>1940.15</v>
      </c>
    </row>
    <row r="3655" spans="2:3" x14ac:dyDescent="0.3">
      <c r="B3655" s="171">
        <v>41471</v>
      </c>
      <c r="C3655" s="60">
        <v>1933.5</v>
      </c>
    </row>
    <row r="3656" spans="2:3" x14ac:dyDescent="0.3">
      <c r="B3656" s="171">
        <v>41470</v>
      </c>
      <c r="C3656" s="60">
        <v>1941.65</v>
      </c>
    </row>
    <row r="3657" spans="2:3" x14ac:dyDescent="0.3">
      <c r="B3657" s="171">
        <v>41467</v>
      </c>
      <c r="C3657" s="60">
        <v>1939.7</v>
      </c>
    </row>
    <row r="3658" spans="2:3" x14ac:dyDescent="0.3">
      <c r="B3658" s="171">
        <v>41466</v>
      </c>
      <c r="C3658" s="60">
        <v>1980.15</v>
      </c>
    </row>
    <row r="3659" spans="2:3" x14ac:dyDescent="0.3">
      <c r="B3659" s="171">
        <v>41465</v>
      </c>
      <c r="C3659" s="60">
        <v>1953.2</v>
      </c>
    </row>
    <row r="3660" spans="2:3" x14ac:dyDescent="0.3">
      <c r="B3660" s="171">
        <v>41464</v>
      </c>
      <c r="C3660" s="60">
        <v>1930.25</v>
      </c>
    </row>
    <row r="3661" spans="2:3" x14ac:dyDescent="0.3">
      <c r="B3661" s="171">
        <v>41463</v>
      </c>
      <c r="C3661" s="60">
        <v>1888.05</v>
      </c>
    </row>
    <row r="3662" spans="2:3" x14ac:dyDescent="0.3">
      <c r="B3662" s="171">
        <v>41460</v>
      </c>
      <c r="C3662" s="60">
        <v>1926.25</v>
      </c>
    </row>
    <row r="3663" spans="2:3" x14ac:dyDescent="0.3">
      <c r="B3663" s="171">
        <v>41459</v>
      </c>
      <c r="C3663" s="60">
        <v>1907</v>
      </c>
    </row>
    <row r="3664" spans="2:3" x14ac:dyDescent="0.3">
      <c r="B3664" s="171">
        <v>41458</v>
      </c>
      <c r="C3664" s="60">
        <v>1909</v>
      </c>
    </row>
    <row r="3665" spans="2:3" x14ac:dyDescent="0.3">
      <c r="B3665" s="171">
        <v>41457</v>
      </c>
      <c r="C3665" s="60">
        <v>1923.2</v>
      </c>
    </row>
    <row r="3666" spans="2:3" x14ac:dyDescent="0.3">
      <c r="B3666" s="171">
        <v>41456</v>
      </c>
      <c r="C3666" s="60">
        <v>1932.3</v>
      </c>
    </row>
    <row r="3667" spans="2:3" x14ac:dyDescent="0.3">
      <c r="B3667" s="171">
        <v>41453</v>
      </c>
      <c r="C3667" s="60">
        <v>1877</v>
      </c>
    </row>
    <row r="3668" spans="2:3" x14ac:dyDescent="0.3">
      <c r="B3668" s="171">
        <v>41452</v>
      </c>
      <c r="C3668" s="60">
        <v>1877.6</v>
      </c>
    </row>
    <row r="3669" spans="2:3" x14ac:dyDescent="0.3">
      <c r="B3669" s="171">
        <v>41451</v>
      </c>
      <c r="C3669" s="60">
        <v>1775.65</v>
      </c>
    </row>
    <row r="3670" spans="2:3" x14ac:dyDescent="0.3">
      <c r="B3670" s="171">
        <v>41450</v>
      </c>
      <c r="C3670" s="60">
        <v>1786.25</v>
      </c>
    </row>
    <row r="3671" spans="2:3" x14ac:dyDescent="0.3">
      <c r="B3671" s="171">
        <v>41449</v>
      </c>
      <c r="C3671" s="60">
        <v>1781.7</v>
      </c>
    </row>
    <row r="3672" spans="2:3" x14ac:dyDescent="0.3">
      <c r="B3672" s="171">
        <v>41446</v>
      </c>
      <c r="C3672" s="60">
        <v>1813.15</v>
      </c>
    </row>
    <row r="3673" spans="2:3" x14ac:dyDescent="0.3">
      <c r="B3673" s="171">
        <v>41445</v>
      </c>
      <c r="C3673" s="60">
        <v>1817</v>
      </c>
    </row>
    <row r="3674" spans="2:3" x14ac:dyDescent="0.3">
      <c r="B3674" s="171">
        <v>41444</v>
      </c>
      <c r="C3674" s="60">
        <v>1837.9</v>
      </c>
    </row>
    <row r="3675" spans="2:3" x14ac:dyDescent="0.3">
      <c r="B3675" s="171">
        <v>41443</v>
      </c>
      <c r="C3675" s="60">
        <v>1865.9</v>
      </c>
    </row>
    <row r="3676" spans="2:3" x14ac:dyDescent="0.3">
      <c r="B3676" s="171">
        <v>41442</v>
      </c>
      <c r="C3676" s="60">
        <v>1911.25</v>
      </c>
    </row>
    <row r="3677" spans="2:3" x14ac:dyDescent="0.3">
      <c r="B3677" s="171">
        <v>41439</v>
      </c>
      <c r="C3677" s="60">
        <v>1874</v>
      </c>
    </row>
    <row r="3678" spans="2:3" x14ac:dyDescent="0.3">
      <c r="B3678" s="171">
        <v>41438</v>
      </c>
      <c r="C3678" s="60">
        <v>1822.25</v>
      </c>
    </row>
    <row r="3679" spans="2:3" x14ac:dyDescent="0.3">
      <c r="B3679" s="171">
        <v>41437</v>
      </c>
      <c r="C3679" s="60">
        <v>1841.1</v>
      </c>
    </row>
    <row r="3680" spans="2:3" x14ac:dyDescent="0.3">
      <c r="B3680" s="171">
        <v>41436</v>
      </c>
      <c r="C3680" s="60">
        <v>1857.7</v>
      </c>
    </row>
    <row r="3681" spans="2:3" x14ac:dyDescent="0.3">
      <c r="B3681" s="171">
        <v>41435</v>
      </c>
      <c r="C3681" s="60">
        <v>1893.45</v>
      </c>
    </row>
    <row r="3682" spans="2:3" x14ac:dyDescent="0.3">
      <c r="B3682" s="171">
        <v>41432</v>
      </c>
      <c r="C3682" s="60">
        <v>1860.2</v>
      </c>
    </row>
    <row r="3683" spans="2:3" x14ac:dyDescent="0.3">
      <c r="B3683" s="171">
        <v>41431</v>
      </c>
      <c r="C3683" s="60">
        <v>1894.6</v>
      </c>
    </row>
    <row r="3684" spans="2:3" x14ac:dyDescent="0.3">
      <c r="B3684" s="171">
        <v>41430</v>
      </c>
      <c r="C3684" s="60">
        <v>1853.9</v>
      </c>
    </row>
    <row r="3685" spans="2:3" x14ac:dyDescent="0.3">
      <c r="B3685" s="171">
        <v>41429</v>
      </c>
      <c r="C3685" s="60">
        <v>1868.5</v>
      </c>
    </row>
    <row r="3686" spans="2:3" x14ac:dyDescent="0.3">
      <c r="B3686" s="171">
        <v>41428</v>
      </c>
      <c r="C3686" s="60">
        <v>1858.55</v>
      </c>
    </row>
    <row r="3687" spans="2:3" x14ac:dyDescent="0.3">
      <c r="B3687" s="171">
        <v>41425</v>
      </c>
      <c r="C3687" s="60">
        <v>1878.3</v>
      </c>
    </row>
    <row r="3688" spans="2:3" x14ac:dyDescent="0.3">
      <c r="B3688" s="171">
        <v>41424</v>
      </c>
      <c r="C3688" s="60">
        <v>1988.05</v>
      </c>
    </row>
    <row r="3689" spans="2:3" x14ac:dyDescent="0.3">
      <c r="B3689" s="171">
        <v>41423</v>
      </c>
      <c r="C3689" s="60">
        <v>1978.35</v>
      </c>
    </row>
    <row r="3690" spans="2:3" x14ac:dyDescent="0.3">
      <c r="B3690" s="171">
        <v>41422</v>
      </c>
      <c r="C3690" s="60">
        <v>1980.25</v>
      </c>
    </row>
    <row r="3691" spans="2:3" x14ac:dyDescent="0.3">
      <c r="B3691" s="171">
        <v>41421</v>
      </c>
      <c r="C3691" s="60">
        <v>2013.65</v>
      </c>
    </row>
    <row r="3692" spans="2:3" x14ac:dyDescent="0.3">
      <c r="B3692" s="171">
        <v>41418</v>
      </c>
      <c r="C3692" s="60">
        <v>1944.2</v>
      </c>
    </row>
    <row r="3693" spans="2:3" x14ac:dyDescent="0.3">
      <c r="B3693" s="171">
        <v>41417</v>
      </c>
      <c r="C3693" s="60">
        <v>1954.15</v>
      </c>
    </row>
    <row r="3694" spans="2:3" x14ac:dyDescent="0.3">
      <c r="B3694" s="171">
        <v>41416</v>
      </c>
      <c r="C3694" s="60">
        <v>1950.3</v>
      </c>
    </row>
    <row r="3695" spans="2:3" x14ac:dyDescent="0.3">
      <c r="B3695" s="171">
        <v>41415</v>
      </c>
      <c r="C3695" s="60">
        <v>1929.15</v>
      </c>
    </row>
    <row r="3696" spans="2:3" x14ac:dyDescent="0.3">
      <c r="B3696" s="171">
        <v>41414</v>
      </c>
      <c r="C3696" s="60">
        <v>2020.05</v>
      </c>
    </row>
    <row r="3697" spans="2:3" x14ac:dyDescent="0.3">
      <c r="B3697" s="171">
        <v>41411</v>
      </c>
      <c r="C3697" s="60">
        <v>2016.75</v>
      </c>
    </row>
    <row r="3698" spans="2:3" x14ac:dyDescent="0.3">
      <c r="B3698" s="171">
        <v>41410</v>
      </c>
      <c r="C3698" s="60">
        <v>2002.8</v>
      </c>
    </row>
    <row r="3699" spans="2:3" x14ac:dyDescent="0.3">
      <c r="B3699" s="171">
        <v>41409</v>
      </c>
      <c r="C3699" s="60">
        <v>1973.55</v>
      </c>
    </row>
    <row r="3700" spans="2:3" x14ac:dyDescent="0.3">
      <c r="B3700" s="171">
        <v>41408</v>
      </c>
      <c r="C3700" s="60">
        <v>1973.75</v>
      </c>
    </row>
    <row r="3701" spans="2:3" x14ac:dyDescent="0.3">
      <c r="B3701" s="171">
        <v>41407</v>
      </c>
      <c r="C3701" s="60">
        <v>1955.8</v>
      </c>
    </row>
    <row r="3702" spans="2:3" x14ac:dyDescent="0.3">
      <c r="B3702" s="171">
        <v>41404</v>
      </c>
      <c r="C3702" s="60">
        <v>1977.65</v>
      </c>
    </row>
    <row r="3703" spans="2:3" x14ac:dyDescent="0.3">
      <c r="B3703" s="171">
        <v>41403</v>
      </c>
      <c r="C3703" s="60">
        <v>2002</v>
      </c>
    </row>
    <row r="3704" spans="2:3" x14ac:dyDescent="0.3">
      <c r="B3704" s="171">
        <v>41402</v>
      </c>
      <c r="C3704" s="60">
        <v>1978.2</v>
      </c>
    </row>
    <row r="3705" spans="2:3" x14ac:dyDescent="0.3">
      <c r="B3705" s="171">
        <v>41401</v>
      </c>
      <c r="C3705" s="60">
        <v>1928.55</v>
      </c>
    </row>
    <row r="3706" spans="2:3" x14ac:dyDescent="0.3">
      <c r="B3706" s="171">
        <v>41400</v>
      </c>
      <c r="C3706" s="60">
        <v>1911.5</v>
      </c>
    </row>
    <row r="3707" spans="2:3" x14ac:dyDescent="0.3">
      <c r="B3707" s="171">
        <v>41397</v>
      </c>
      <c r="C3707" s="60">
        <v>1886.3</v>
      </c>
    </row>
    <row r="3708" spans="2:3" x14ac:dyDescent="0.3">
      <c r="B3708" s="171">
        <v>41396</v>
      </c>
      <c r="C3708" s="60">
        <v>1882.65</v>
      </c>
    </row>
    <row r="3709" spans="2:3" x14ac:dyDescent="0.3">
      <c r="B3709" s="171">
        <v>41394</v>
      </c>
      <c r="C3709" s="60">
        <v>1900.85</v>
      </c>
    </row>
    <row r="3710" spans="2:3" x14ac:dyDescent="0.3">
      <c r="B3710" s="171">
        <v>41393</v>
      </c>
      <c r="C3710" s="60">
        <v>1918.25</v>
      </c>
    </row>
    <row r="3711" spans="2:3" x14ac:dyDescent="0.3">
      <c r="B3711" s="171">
        <v>41390</v>
      </c>
      <c r="C3711" s="60">
        <v>1908.4</v>
      </c>
    </row>
    <row r="3712" spans="2:3" x14ac:dyDescent="0.3">
      <c r="B3712" s="171">
        <v>41389</v>
      </c>
      <c r="C3712" s="60">
        <v>1929.95</v>
      </c>
    </row>
    <row r="3713" spans="2:3" x14ac:dyDescent="0.3">
      <c r="B3713" s="171">
        <v>41387</v>
      </c>
      <c r="C3713" s="60">
        <v>1865.6</v>
      </c>
    </row>
    <row r="3714" spans="2:3" x14ac:dyDescent="0.3">
      <c r="B3714" s="171">
        <v>41386</v>
      </c>
      <c r="C3714" s="60">
        <v>1871.6</v>
      </c>
    </row>
    <row r="3715" spans="2:3" x14ac:dyDescent="0.3">
      <c r="B3715" s="171">
        <v>41382</v>
      </c>
      <c r="C3715" s="60">
        <v>1927.65</v>
      </c>
    </row>
    <row r="3716" spans="2:3" x14ac:dyDescent="0.3">
      <c r="B3716" s="171">
        <v>41381</v>
      </c>
      <c r="C3716" s="60">
        <v>1897.65</v>
      </c>
    </row>
    <row r="3717" spans="2:3" x14ac:dyDescent="0.3">
      <c r="B3717" s="171">
        <v>41380</v>
      </c>
      <c r="C3717" s="60">
        <v>1896.85</v>
      </c>
    </row>
    <row r="3718" spans="2:3" x14ac:dyDescent="0.3">
      <c r="B3718" s="171">
        <v>41379</v>
      </c>
      <c r="C3718" s="60">
        <v>1872.35</v>
      </c>
    </row>
    <row r="3719" spans="2:3" x14ac:dyDescent="0.3">
      <c r="B3719" s="171">
        <v>41376</v>
      </c>
      <c r="C3719" s="60">
        <v>1815.45</v>
      </c>
    </row>
    <row r="3720" spans="2:3" x14ac:dyDescent="0.3">
      <c r="B3720" s="171">
        <v>41375</v>
      </c>
      <c r="C3720" s="60">
        <v>1787.6</v>
      </c>
    </row>
    <row r="3721" spans="2:3" x14ac:dyDescent="0.3">
      <c r="B3721" s="171">
        <v>41374</v>
      </c>
      <c r="C3721" s="60">
        <v>1792.1</v>
      </c>
    </row>
    <row r="3722" spans="2:3" x14ac:dyDescent="0.3">
      <c r="B3722" s="171">
        <v>41373</v>
      </c>
      <c r="C3722" s="60">
        <v>1800.55</v>
      </c>
    </row>
    <row r="3723" spans="2:3" x14ac:dyDescent="0.3">
      <c r="B3723" s="171">
        <v>41372</v>
      </c>
      <c r="C3723" s="60">
        <v>1789.7</v>
      </c>
    </row>
    <row r="3724" spans="2:3" x14ac:dyDescent="0.3">
      <c r="B3724" s="171">
        <v>41369</v>
      </c>
      <c r="C3724" s="60">
        <v>1771.55</v>
      </c>
    </row>
    <row r="3725" spans="2:3" x14ac:dyDescent="0.3">
      <c r="B3725" s="171">
        <v>41368</v>
      </c>
      <c r="C3725" s="60">
        <v>1743.35</v>
      </c>
    </row>
    <row r="3726" spans="2:3" x14ac:dyDescent="0.3">
      <c r="B3726" s="171">
        <v>41367</v>
      </c>
      <c r="C3726" s="60">
        <v>1851.7</v>
      </c>
    </row>
    <row r="3727" spans="2:3" x14ac:dyDescent="0.3">
      <c r="B3727" s="171">
        <v>41366</v>
      </c>
      <c r="C3727" s="60">
        <v>1856.3</v>
      </c>
    </row>
    <row r="3728" spans="2:3" x14ac:dyDescent="0.3">
      <c r="B3728" s="171">
        <v>41365</v>
      </c>
      <c r="C3728" s="60">
        <v>1865.15</v>
      </c>
    </row>
    <row r="3729" spans="2:3" x14ac:dyDescent="0.3">
      <c r="B3729" s="171">
        <v>41361</v>
      </c>
      <c r="C3729" s="60">
        <v>1868.95</v>
      </c>
    </row>
    <row r="3730" spans="2:3" x14ac:dyDescent="0.3">
      <c r="B3730" s="171">
        <v>41359</v>
      </c>
      <c r="C3730" s="60">
        <v>1848.25</v>
      </c>
    </row>
    <row r="3731" spans="2:3" x14ac:dyDescent="0.3">
      <c r="B3731" s="171">
        <v>41358</v>
      </c>
      <c r="C3731" s="60">
        <v>1862.7</v>
      </c>
    </row>
    <row r="3732" spans="2:3" x14ac:dyDescent="0.3">
      <c r="B3732" s="171">
        <v>41355</v>
      </c>
      <c r="C3732" s="60">
        <v>1853.5</v>
      </c>
    </row>
    <row r="3733" spans="2:3" x14ac:dyDescent="0.3">
      <c r="B3733" s="171">
        <v>41354</v>
      </c>
      <c r="C3733" s="60">
        <v>1860.05</v>
      </c>
    </row>
    <row r="3734" spans="2:3" x14ac:dyDescent="0.3">
      <c r="B3734" s="171">
        <v>41353</v>
      </c>
      <c r="C3734" s="60">
        <v>1844.95</v>
      </c>
    </row>
    <row r="3735" spans="2:3" x14ac:dyDescent="0.3">
      <c r="B3735" s="171">
        <v>41352</v>
      </c>
      <c r="C3735" s="60">
        <v>1883.95</v>
      </c>
    </row>
    <row r="3736" spans="2:3" x14ac:dyDescent="0.3">
      <c r="B3736" s="171">
        <v>41351</v>
      </c>
      <c r="C3736" s="60">
        <v>1903.95</v>
      </c>
    </row>
    <row r="3737" spans="2:3" x14ac:dyDescent="0.3">
      <c r="B3737" s="171">
        <v>41348</v>
      </c>
      <c r="C3737" s="60">
        <v>1923.15</v>
      </c>
    </row>
    <row r="3738" spans="2:3" x14ac:dyDescent="0.3">
      <c r="B3738" s="171">
        <v>41347</v>
      </c>
      <c r="C3738" s="60">
        <v>1908.75</v>
      </c>
    </row>
    <row r="3739" spans="2:3" x14ac:dyDescent="0.3">
      <c r="B3739" s="171">
        <v>41346</v>
      </c>
      <c r="C3739" s="60">
        <v>1905.35</v>
      </c>
    </row>
    <row r="3740" spans="2:3" x14ac:dyDescent="0.3">
      <c r="B3740" s="171">
        <v>41345</v>
      </c>
      <c r="C3740" s="60">
        <v>1905.1</v>
      </c>
    </row>
    <row r="3741" spans="2:3" x14ac:dyDescent="0.3">
      <c r="B3741" s="171">
        <v>41344</v>
      </c>
      <c r="C3741" s="60">
        <v>1897</v>
      </c>
    </row>
    <row r="3742" spans="2:3" x14ac:dyDescent="0.3">
      <c r="B3742" s="171">
        <v>41341</v>
      </c>
      <c r="C3742" s="60">
        <v>1900.65</v>
      </c>
    </row>
    <row r="3743" spans="2:3" x14ac:dyDescent="0.3">
      <c r="B3743" s="171">
        <v>41340</v>
      </c>
      <c r="C3743" s="60">
        <v>1879.3</v>
      </c>
    </row>
    <row r="3744" spans="2:3" x14ac:dyDescent="0.3">
      <c r="B3744" s="171">
        <v>41339</v>
      </c>
      <c r="C3744" s="60">
        <v>1900.1</v>
      </c>
    </row>
    <row r="3745" spans="2:3" x14ac:dyDescent="0.3">
      <c r="B3745" s="171">
        <v>41338</v>
      </c>
      <c r="C3745" s="60">
        <v>1901.1</v>
      </c>
    </row>
    <row r="3746" spans="2:3" x14ac:dyDescent="0.3">
      <c r="B3746" s="171">
        <v>41337</v>
      </c>
      <c r="C3746" s="60">
        <v>1848.3</v>
      </c>
    </row>
    <row r="3747" spans="2:3" x14ac:dyDescent="0.3">
      <c r="B3747" s="171">
        <v>41334</v>
      </c>
      <c r="C3747" s="60">
        <v>1886.6</v>
      </c>
    </row>
    <row r="3748" spans="2:3" x14ac:dyDescent="0.3">
      <c r="B3748" s="171">
        <v>41333</v>
      </c>
      <c r="C3748" s="60">
        <v>1868.05</v>
      </c>
    </row>
    <row r="3749" spans="2:3" x14ac:dyDescent="0.3">
      <c r="B3749" s="171">
        <v>41332</v>
      </c>
      <c r="C3749" s="60">
        <v>1900.2</v>
      </c>
    </row>
    <row r="3750" spans="2:3" x14ac:dyDescent="0.3">
      <c r="B3750" s="171">
        <v>41331</v>
      </c>
      <c r="C3750" s="60">
        <v>1905.7</v>
      </c>
    </row>
    <row r="3751" spans="2:3" x14ac:dyDescent="0.3">
      <c r="B3751" s="171">
        <v>41330</v>
      </c>
      <c r="C3751" s="60">
        <v>1912.1</v>
      </c>
    </row>
    <row r="3752" spans="2:3" x14ac:dyDescent="0.3">
      <c r="B3752" s="171">
        <v>41327</v>
      </c>
      <c r="C3752" s="60">
        <v>1940.9</v>
      </c>
    </row>
    <row r="3753" spans="2:3" x14ac:dyDescent="0.3">
      <c r="B3753" s="171">
        <v>41326</v>
      </c>
      <c r="C3753" s="60">
        <v>1938.6</v>
      </c>
    </row>
    <row r="3754" spans="2:3" x14ac:dyDescent="0.3">
      <c r="B3754" s="171">
        <v>41325</v>
      </c>
      <c r="C3754" s="60">
        <v>1949.45</v>
      </c>
    </row>
    <row r="3755" spans="2:3" x14ac:dyDescent="0.3">
      <c r="B3755" s="171">
        <v>41324</v>
      </c>
      <c r="C3755" s="60">
        <v>1943.65</v>
      </c>
    </row>
    <row r="3756" spans="2:3" x14ac:dyDescent="0.3">
      <c r="B3756" s="171">
        <v>41323</v>
      </c>
      <c r="C3756" s="60">
        <v>1905.8</v>
      </c>
    </row>
    <row r="3757" spans="2:3" x14ac:dyDescent="0.3">
      <c r="B3757" s="171">
        <v>41320</v>
      </c>
      <c r="C3757" s="60">
        <v>1930</v>
      </c>
    </row>
    <row r="3758" spans="2:3" x14ac:dyDescent="0.3">
      <c r="B3758" s="171">
        <v>41319</v>
      </c>
      <c r="C3758" s="60">
        <v>1953.2</v>
      </c>
    </row>
    <row r="3759" spans="2:3" x14ac:dyDescent="0.3">
      <c r="B3759" s="171">
        <v>41318</v>
      </c>
      <c r="C3759" s="60">
        <v>1943.3</v>
      </c>
    </row>
    <row r="3760" spans="2:3" x14ac:dyDescent="0.3">
      <c r="B3760" s="171">
        <v>41317</v>
      </c>
      <c r="C3760" s="60">
        <v>1920.25</v>
      </c>
    </row>
    <row r="3761" spans="2:3" x14ac:dyDescent="0.3">
      <c r="B3761" s="171">
        <v>41316</v>
      </c>
      <c r="C3761" s="60">
        <v>1912.7</v>
      </c>
    </row>
    <row r="3762" spans="2:3" x14ac:dyDescent="0.3">
      <c r="B3762" s="171">
        <v>41313</v>
      </c>
      <c r="C3762" s="60">
        <v>1884.45</v>
      </c>
    </row>
    <row r="3763" spans="2:3" x14ac:dyDescent="0.3">
      <c r="B3763" s="171">
        <v>41312</v>
      </c>
      <c r="C3763" s="60">
        <v>1921.3</v>
      </c>
    </row>
    <row r="3764" spans="2:3" x14ac:dyDescent="0.3">
      <c r="B3764" s="171">
        <v>41311</v>
      </c>
      <c r="C3764" s="60">
        <v>1962.65</v>
      </c>
    </row>
    <row r="3765" spans="2:3" x14ac:dyDescent="0.3">
      <c r="B3765" s="171">
        <v>41310</v>
      </c>
      <c r="C3765" s="60">
        <v>1925.4</v>
      </c>
    </row>
    <row r="3766" spans="2:3" x14ac:dyDescent="0.3">
      <c r="B3766" s="171">
        <v>41309</v>
      </c>
      <c r="C3766" s="60">
        <v>1897.35</v>
      </c>
    </row>
    <row r="3767" spans="2:3" x14ac:dyDescent="0.3">
      <c r="B3767" s="171">
        <v>41306</v>
      </c>
      <c r="C3767" s="60">
        <v>1837.75</v>
      </c>
    </row>
    <row r="3768" spans="2:3" x14ac:dyDescent="0.3">
      <c r="B3768" s="171">
        <v>41305</v>
      </c>
      <c r="C3768" s="60">
        <v>1902.55</v>
      </c>
    </row>
    <row r="3769" spans="2:3" x14ac:dyDescent="0.3">
      <c r="B3769" s="171">
        <v>41304</v>
      </c>
      <c r="C3769" s="60">
        <v>1884.35</v>
      </c>
    </row>
    <row r="3770" spans="2:3" x14ac:dyDescent="0.3">
      <c r="B3770" s="171">
        <v>41303</v>
      </c>
      <c r="C3770" s="60">
        <v>1857.1</v>
      </c>
    </row>
    <row r="3771" spans="2:3" x14ac:dyDescent="0.3">
      <c r="B3771" s="171">
        <v>41302</v>
      </c>
      <c r="C3771" s="60">
        <v>1886.55</v>
      </c>
    </row>
    <row r="3772" spans="2:3" x14ac:dyDescent="0.3">
      <c r="B3772" s="171">
        <v>41299</v>
      </c>
      <c r="C3772" s="60">
        <v>1916.65</v>
      </c>
    </row>
    <row r="3773" spans="2:3" x14ac:dyDescent="0.3">
      <c r="B3773" s="171">
        <v>41298</v>
      </c>
      <c r="C3773" s="60">
        <v>1949.85</v>
      </c>
    </row>
    <row r="3774" spans="2:3" x14ac:dyDescent="0.3">
      <c r="B3774" s="171">
        <v>41297</v>
      </c>
      <c r="C3774" s="60">
        <v>1954.65</v>
      </c>
    </row>
    <row r="3775" spans="2:3" x14ac:dyDescent="0.3">
      <c r="B3775" s="171">
        <v>41296</v>
      </c>
      <c r="C3775" s="60">
        <v>1952.95</v>
      </c>
    </row>
    <row r="3776" spans="2:3" x14ac:dyDescent="0.3">
      <c r="B3776" s="171">
        <v>41295</v>
      </c>
      <c r="C3776" s="60">
        <v>1931.45</v>
      </c>
    </row>
    <row r="3777" spans="2:3" x14ac:dyDescent="0.3">
      <c r="B3777" s="171">
        <v>41292</v>
      </c>
      <c r="C3777" s="60">
        <v>1909.3</v>
      </c>
    </row>
    <row r="3778" spans="2:3" x14ac:dyDescent="0.3">
      <c r="B3778" s="171">
        <v>41291</v>
      </c>
      <c r="C3778" s="60">
        <v>1910.35</v>
      </c>
    </row>
    <row r="3779" spans="2:3" x14ac:dyDescent="0.3">
      <c r="B3779" s="171">
        <v>41290</v>
      </c>
      <c r="C3779" s="60">
        <v>1920.7</v>
      </c>
    </row>
    <row r="3780" spans="2:3" x14ac:dyDescent="0.3">
      <c r="B3780" s="171">
        <v>41289</v>
      </c>
      <c r="C3780" s="60">
        <v>1920.55</v>
      </c>
    </row>
    <row r="3781" spans="2:3" x14ac:dyDescent="0.3">
      <c r="B3781" s="171">
        <v>41288</v>
      </c>
      <c r="C3781" s="60">
        <v>1866.15</v>
      </c>
    </row>
    <row r="3782" spans="2:3" x14ac:dyDescent="0.3">
      <c r="B3782" s="171">
        <v>41285</v>
      </c>
      <c r="C3782" s="60">
        <v>1883.3</v>
      </c>
    </row>
    <row r="3783" spans="2:3" x14ac:dyDescent="0.3">
      <c r="B3783" s="171">
        <v>41284</v>
      </c>
      <c r="C3783" s="60">
        <v>1899.15</v>
      </c>
    </row>
    <row r="3784" spans="2:3" x14ac:dyDescent="0.3">
      <c r="B3784" s="171">
        <v>41283</v>
      </c>
      <c r="C3784" s="60">
        <v>1962.35</v>
      </c>
    </row>
    <row r="3785" spans="2:3" x14ac:dyDescent="0.3">
      <c r="B3785" s="171">
        <v>41282</v>
      </c>
      <c r="C3785" s="60">
        <v>2019.15</v>
      </c>
    </row>
    <row r="3786" spans="2:3" x14ac:dyDescent="0.3">
      <c r="B3786" s="171">
        <v>41281</v>
      </c>
      <c r="C3786" s="60">
        <v>2040.7</v>
      </c>
    </row>
    <row r="3787" spans="2:3" x14ac:dyDescent="0.3">
      <c r="B3787" s="171">
        <v>41278</v>
      </c>
      <c r="C3787" s="60">
        <v>2041.9</v>
      </c>
    </row>
    <row r="3788" spans="2:3" x14ac:dyDescent="0.3">
      <c r="B3788" s="171">
        <v>41277</v>
      </c>
      <c r="C3788" s="60">
        <v>2024.85</v>
      </c>
    </row>
    <row r="3789" spans="2:3" x14ac:dyDescent="0.3">
      <c r="B3789" s="171">
        <v>41276</v>
      </c>
      <c r="C3789" s="60">
        <v>2035.25</v>
      </c>
    </row>
    <row r="3790" spans="2:3" x14ac:dyDescent="0.3">
      <c r="B3790" s="171">
        <v>41275</v>
      </c>
      <c r="C3790" s="60">
        <v>2022.8</v>
      </c>
    </row>
    <row r="3791" spans="2:3" x14ac:dyDescent="0.3">
      <c r="B3791" s="171">
        <v>41274</v>
      </c>
      <c r="C3791" s="60">
        <v>1986.3</v>
      </c>
    </row>
    <row r="3792" spans="2:3" x14ac:dyDescent="0.3">
      <c r="B3792" s="171">
        <v>41271</v>
      </c>
      <c r="C3792" s="60">
        <v>1971.75</v>
      </c>
    </row>
    <row r="3793" spans="2:3" x14ac:dyDescent="0.3">
      <c r="B3793" s="171">
        <v>41270</v>
      </c>
      <c r="C3793" s="60">
        <v>1966.65</v>
      </c>
    </row>
    <row r="3794" spans="2:3" x14ac:dyDescent="0.3">
      <c r="B3794" s="171">
        <v>41269</v>
      </c>
      <c r="C3794" s="60">
        <v>1976.9</v>
      </c>
    </row>
    <row r="3795" spans="2:3" x14ac:dyDescent="0.3">
      <c r="B3795" s="171">
        <v>41267</v>
      </c>
      <c r="C3795" s="60">
        <v>1956.55</v>
      </c>
    </row>
    <row r="3796" spans="2:3" x14ac:dyDescent="0.3">
      <c r="B3796" s="171">
        <v>41264</v>
      </c>
      <c r="C3796" s="60">
        <v>1988.6</v>
      </c>
    </row>
    <row r="3797" spans="2:3" x14ac:dyDescent="0.3">
      <c r="B3797" s="171">
        <v>41263</v>
      </c>
      <c r="C3797" s="60">
        <v>2012.5</v>
      </c>
    </row>
    <row r="3798" spans="2:3" x14ac:dyDescent="0.3">
      <c r="B3798" s="171">
        <v>41262</v>
      </c>
      <c r="C3798" s="60">
        <v>2016.95</v>
      </c>
    </row>
    <row r="3799" spans="2:3" x14ac:dyDescent="0.3">
      <c r="B3799" s="171">
        <v>41261</v>
      </c>
      <c r="C3799" s="60">
        <v>2013.3</v>
      </c>
    </row>
    <row r="3800" spans="2:3" x14ac:dyDescent="0.3">
      <c r="B3800" s="171">
        <v>41260</v>
      </c>
      <c r="C3800" s="60">
        <v>1979.2</v>
      </c>
    </row>
    <row r="3801" spans="2:3" x14ac:dyDescent="0.3">
      <c r="B3801" s="171">
        <v>41257</v>
      </c>
      <c r="C3801" s="60">
        <v>1992.75</v>
      </c>
    </row>
    <row r="3802" spans="2:3" x14ac:dyDescent="0.3">
      <c r="B3802" s="171">
        <v>41256</v>
      </c>
      <c r="C3802" s="60">
        <v>1949.25</v>
      </c>
    </row>
    <row r="3803" spans="2:3" x14ac:dyDescent="0.3">
      <c r="B3803" s="171">
        <v>41255</v>
      </c>
      <c r="C3803" s="60">
        <v>1944.5</v>
      </c>
    </row>
    <row r="3804" spans="2:3" x14ac:dyDescent="0.3">
      <c r="B3804" s="171">
        <v>41254</v>
      </c>
      <c r="C3804" s="60">
        <v>1978.9</v>
      </c>
    </row>
    <row r="3805" spans="2:3" x14ac:dyDescent="0.3">
      <c r="B3805" s="171">
        <v>41253</v>
      </c>
      <c r="C3805" s="60">
        <v>1947.6</v>
      </c>
    </row>
    <row r="3806" spans="2:3" x14ac:dyDescent="0.3">
      <c r="B3806" s="171">
        <v>41250</v>
      </c>
      <c r="C3806" s="60">
        <v>1962.2</v>
      </c>
    </row>
    <row r="3807" spans="2:3" x14ac:dyDescent="0.3">
      <c r="B3807" s="171">
        <v>41249</v>
      </c>
      <c r="C3807" s="60">
        <v>1980.25</v>
      </c>
    </row>
    <row r="3808" spans="2:3" x14ac:dyDescent="0.3">
      <c r="B3808" s="171">
        <v>41248</v>
      </c>
      <c r="C3808" s="60">
        <v>1952.75</v>
      </c>
    </row>
    <row r="3809" spans="2:3" x14ac:dyDescent="0.3">
      <c r="B3809" s="171">
        <v>41247</v>
      </c>
      <c r="C3809" s="60">
        <v>1980.75</v>
      </c>
    </row>
    <row r="3810" spans="2:3" x14ac:dyDescent="0.3">
      <c r="B3810" s="171">
        <v>41246</v>
      </c>
      <c r="C3810" s="60">
        <v>1999.75</v>
      </c>
    </row>
    <row r="3811" spans="2:3" x14ac:dyDescent="0.3">
      <c r="B3811" s="171">
        <v>41243</v>
      </c>
      <c r="C3811" s="60">
        <v>1941.4</v>
      </c>
    </row>
    <row r="3812" spans="2:3" x14ac:dyDescent="0.3">
      <c r="B3812" s="171">
        <v>41242</v>
      </c>
      <c r="C3812" s="60">
        <v>1914.8</v>
      </c>
    </row>
    <row r="3813" spans="2:3" x14ac:dyDescent="0.3">
      <c r="B3813" s="171">
        <v>41240</v>
      </c>
      <c r="C3813" s="60">
        <v>1878.65</v>
      </c>
    </row>
    <row r="3814" spans="2:3" x14ac:dyDescent="0.3">
      <c r="B3814" s="171">
        <v>41239</v>
      </c>
      <c r="C3814" s="60">
        <v>1868.6</v>
      </c>
    </row>
    <row r="3815" spans="2:3" x14ac:dyDescent="0.3">
      <c r="B3815" s="171">
        <v>41236</v>
      </c>
      <c r="C3815" s="60">
        <v>1896.05</v>
      </c>
    </row>
    <row r="3816" spans="2:3" x14ac:dyDescent="0.3">
      <c r="B3816" s="171">
        <v>41235</v>
      </c>
      <c r="C3816" s="60">
        <v>1899.45</v>
      </c>
    </row>
    <row r="3817" spans="2:3" x14ac:dyDescent="0.3">
      <c r="B3817" s="171">
        <v>41234</v>
      </c>
      <c r="C3817" s="60">
        <v>1932.4</v>
      </c>
    </row>
    <row r="3818" spans="2:3" x14ac:dyDescent="0.3">
      <c r="B3818" s="171">
        <v>41233</v>
      </c>
      <c r="C3818" s="60">
        <v>1900.55</v>
      </c>
    </row>
    <row r="3819" spans="2:3" x14ac:dyDescent="0.3">
      <c r="B3819" s="171">
        <v>41232</v>
      </c>
      <c r="C3819" s="60">
        <v>1905.65</v>
      </c>
    </row>
    <row r="3820" spans="2:3" x14ac:dyDescent="0.3">
      <c r="B3820" s="171">
        <v>41229</v>
      </c>
      <c r="C3820" s="60">
        <v>1914.4</v>
      </c>
    </row>
    <row r="3821" spans="2:3" x14ac:dyDescent="0.3">
      <c r="B3821" s="171">
        <v>41228</v>
      </c>
      <c r="C3821" s="60">
        <v>1919.05</v>
      </c>
    </row>
    <row r="3822" spans="2:3" x14ac:dyDescent="0.3">
      <c r="B3822" s="171">
        <v>41225</v>
      </c>
      <c r="C3822" s="60">
        <v>2015.1</v>
      </c>
    </row>
    <row r="3823" spans="2:3" x14ac:dyDescent="0.3">
      <c r="B3823" s="171">
        <v>41222</v>
      </c>
      <c r="C3823" s="60">
        <v>2022.9</v>
      </c>
    </row>
    <row r="3824" spans="2:3" x14ac:dyDescent="0.3">
      <c r="B3824" s="171">
        <v>41221</v>
      </c>
      <c r="C3824" s="60">
        <v>2015.6</v>
      </c>
    </row>
    <row r="3825" spans="2:3" x14ac:dyDescent="0.3">
      <c r="B3825" s="171">
        <v>41220</v>
      </c>
      <c r="C3825" s="60">
        <v>2022.85</v>
      </c>
    </row>
    <row r="3826" spans="2:3" x14ac:dyDescent="0.3">
      <c r="B3826" s="171">
        <v>41219</v>
      </c>
      <c r="C3826" s="60">
        <v>2019.95</v>
      </c>
    </row>
    <row r="3827" spans="2:3" x14ac:dyDescent="0.3">
      <c r="B3827" s="171">
        <v>41218</v>
      </c>
      <c r="C3827" s="60">
        <v>2014.9</v>
      </c>
    </row>
    <row r="3828" spans="2:3" x14ac:dyDescent="0.3">
      <c r="B3828" s="171">
        <v>41215</v>
      </c>
      <c r="C3828" s="60">
        <v>2019.85</v>
      </c>
    </row>
    <row r="3829" spans="2:3" x14ac:dyDescent="0.3">
      <c r="B3829" s="171">
        <v>41214</v>
      </c>
      <c r="C3829" s="60">
        <v>1997.6</v>
      </c>
    </row>
    <row r="3830" spans="2:3" x14ac:dyDescent="0.3">
      <c r="B3830" s="171">
        <v>41213</v>
      </c>
      <c r="C3830" s="60">
        <v>1996.2</v>
      </c>
    </row>
    <row r="3831" spans="2:3" x14ac:dyDescent="0.3">
      <c r="B3831" s="171">
        <v>41212</v>
      </c>
      <c r="C3831" s="60">
        <v>2012.95</v>
      </c>
    </row>
    <row r="3832" spans="2:3" x14ac:dyDescent="0.3">
      <c r="B3832" s="171">
        <v>41211</v>
      </c>
      <c r="C3832" s="60">
        <v>2035.35</v>
      </c>
    </row>
    <row r="3833" spans="2:3" x14ac:dyDescent="0.3">
      <c r="B3833" s="171">
        <v>41208</v>
      </c>
      <c r="C3833" s="60">
        <v>2044.15</v>
      </c>
    </row>
    <row r="3834" spans="2:3" x14ac:dyDescent="0.3">
      <c r="B3834" s="171">
        <v>41207</v>
      </c>
      <c r="C3834" s="60">
        <v>2043.05</v>
      </c>
    </row>
    <row r="3835" spans="2:3" x14ac:dyDescent="0.3">
      <c r="B3835" s="171">
        <v>41205</v>
      </c>
      <c r="C3835" s="60">
        <v>2022.45</v>
      </c>
    </row>
    <row r="3836" spans="2:3" x14ac:dyDescent="0.3">
      <c r="B3836" s="171">
        <v>41204</v>
      </c>
      <c r="C3836" s="60">
        <v>2022.45</v>
      </c>
    </row>
    <row r="3837" spans="2:3" x14ac:dyDescent="0.3">
      <c r="B3837" s="171">
        <v>41201</v>
      </c>
      <c r="C3837" s="60">
        <v>2010.6</v>
      </c>
    </row>
    <row r="3838" spans="2:3" x14ac:dyDescent="0.3">
      <c r="B3838" s="171">
        <v>41200</v>
      </c>
      <c r="C3838" s="60">
        <v>2040.25</v>
      </c>
    </row>
    <row r="3839" spans="2:3" x14ac:dyDescent="0.3">
      <c r="B3839" s="171">
        <v>41199</v>
      </c>
      <c r="C3839" s="60">
        <v>2027.75</v>
      </c>
    </row>
    <row r="3840" spans="2:3" x14ac:dyDescent="0.3">
      <c r="B3840" s="171">
        <v>41198</v>
      </c>
      <c r="C3840" s="60">
        <v>2026.15</v>
      </c>
    </row>
    <row r="3841" spans="2:3" x14ac:dyDescent="0.3">
      <c r="B3841" s="171">
        <v>41197</v>
      </c>
      <c r="C3841" s="60">
        <v>2040.1</v>
      </c>
    </row>
    <row r="3842" spans="2:3" x14ac:dyDescent="0.3">
      <c r="B3842" s="171">
        <v>41194</v>
      </c>
      <c r="C3842" s="60">
        <v>2044.7</v>
      </c>
    </row>
    <row r="3843" spans="2:3" x14ac:dyDescent="0.3">
      <c r="B3843" s="171">
        <v>41193</v>
      </c>
      <c r="C3843" s="60">
        <v>2038.7</v>
      </c>
    </row>
    <row r="3844" spans="2:3" x14ac:dyDescent="0.3">
      <c r="B3844" s="171">
        <v>41192</v>
      </c>
      <c r="C3844" s="60">
        <v>2048.85</v>
      </c>
    </row>
    <row r="3845" spans="2:3" x14ac:dyDescent="0.3">
      <c r="B3845" s="171">
        <v>41191</v>
      </c>
      <c r="C3845" s="60">
        <v>2056.35</v>
      </c>
    </row>
    <row r="3846" spans="2:3" x14ac:dyDescent="0.3">
      <c r="B3846" s="171">
        <v>41190</v>
      </c>
      <c r="C3846" s="60">
        <v>2005.7</v>
      </c>
    </row>
    <row r="3847" spans="2:3" x14ac:dyDescent="0.3">
      <c r="B3847" s="171">
        <v>41187</v>
      </c>
      <c r="C3847" s="60">
        <v>1971.1</v>
      </c>
    </row>
    <row r="3848" spans="2:3" x14ac:dyDescent="0.3">
      <c r="B3848" s="171">
        <v>41186</v>
      </c>
      <c r="C3848" s="60">
        <v>1982.05</v>
      </c>
    </row>
    <row r="3849" spans="2:3" x14ac:dyDescent="0.3">
      <c r="B3849" s="171">
        <v>41185</v>
      </c>
      <c r="C3849" s="60">
        <v>2010.3</v>
      </c>
    </row>
    <row r="3850" spans="2:3" x14ac:dyDescent="0.3">
      <c r="B3850" s="171">
        <v>41183</v>
      </c>
      <c r="C3850" s="60">
        <v>2014.55</v>
      </c>
    </row>
    <row r="3851" spans="2:3" x14ac:dyDescent="0.3">
      <c r="B3851" s="171">
        <v>41180</v>
      </c>
      <c r="C3851" s="60">
        <v>1967.85</v>
      </c>
    </row>
    <row r="3852" spans="2:3" x14ac:dyDescent="0.3">
      <c r="B3852" s="171">
        <v>41179</v>
      </c>
      <c r="C3852" s="60">
        <v>1950.85</v>
      </c>
    </row>
    <row r="3853" spans="2:3" x14ac:dyDescent="0.3">
      <c r="B3853" s="171">
        <v>41178</v>
      </c>
      <c r="C3853" s="60">
        <v>1885</v>
      </c>
    </row>
    <row r="3854" spans="2:3" x14ac:dyDescent="0.3">
      <c r="B3854" s="171">
        <v>41177</v>
      </c>
      <c r="C3854" s="60">
        <v>1836.3</v>
      </c>
    </row>
    <row r="3855" spans="2:3" x14ac:dyDescent="0.3">
      <c r="B3855" s="171">
        <v>41176</v>
      </c>
      <c r="C3855" s="60">
        <v>1832.25</v>
      </c>
    </row>
    <row r="3856" spans="2:3" x14ac:dyDescent="0.3">
      <c r="B3856" s="171">
        <v>41173</v>
      </c>
      <c r="C3856" s="60">
        <v>1837.6</v>
      </c>
    </row>
    <row r="3857" spans="2:3" x14ac:dyDescent="0.3">
      <c r="B3857" s="171">
        <v>41172</v>
      </c>
      <c r="C3857" s="60">
        <v>1837.6</v>
      </c>
    </row>
    <row r="3858" spans="2:3" x14ac:dyDescent="0.3">
      <c r="B3858" s="171">
        <v>41170</v>
      </c>
      <c r="C3858" s="60">
        <v>1804.95</v>
      </c>
    </row>
    <row r="3859" spans="2:3" x14ac:dyDescent="0.3">
      <c r="B3859" s="171">
        <v>41169</v>
      </c>
      <c r="C3859" s="60">
        <v>1763.4</v>
      </c>
    </row>
    <row r="3860" spans="2:3" x14ac:dyDescent="0.3">
      <c r="B3860" s="171">
        <v>41166</v>
      </c>
      <c r="C3860" s="60">
        <v>1754.45</v>
      </c>
    </row>
    <row r="3861" spans="2:3" x14ac:dyDescent="0.3">
      <c r="B3861" s="171">
        <v>41165</v>
      </c>
      <c r="C3861" s="60">
        <v>1718.3</v>
      </c>
    </row>
    <row r="3862" spans="2:3" x14ac:dyDescent="0.3">
      <c r="B3862" s="171">
        <v>41164</v>
      </c>
      <c r="C3862" s="60">
        <v>1761.55</v>
      </c>
    </row>
    <row r="3863" spans="2:3" x14ac:dyDescent="0.3">
      <c r="B3863" s="171">
        <v>41163</v>
      </c>
      <c r="C3863" s="60">
        <v>1756.05</v>
      </c>
    </row>
    <row r="3864" spans="2:3" x14ac:dyDescent="0.3">
      <c r="B3864" s="171">
        <v>41162</v>
      </c>
      <c r="C3864" s="60">
        <v>1755.05</v>
      </c>
    </row>
    <row r="3865" spans="2:3" x14ac:dyDescent="0.3">
      <c r="B3865" s="171">
        <v>41159</v>
      </c>
      <c r="C3865" s="60">
        <v>1736.25</v>
      </c>
    </row>
    <row r="3866" spans="2:3" x14ac:dyDescent="0.3">
      <c r="B3866" s="171">
        <v>41158</v>
      </c>
      <c r="C3866" s="60">
        <v>1691.2</v>
      </c>
    </row>
    <row r="3867" spans="2:3" x14ac:dyDescent="0.3">
      <c r="B3867" s="171">
        <v>41157</v>
      </c>
      <c r="C3867" s="60">
        <v>1675.05</v>
      </c>
    </row>
    <row r="3868" spans="2:3" x14ac:dyDescent="0.3">
      <c r="B3868" s="171">
        <v>41156</v>
      </c>
      <c r="C3868" s="60">
        <v>1670.1</v>
      </c>
    </row>
    <row r="3869" spans="2:3" x14ac:dyDescent="0.3">
      <c r="B3869" s="171">
        <v>41155</v>
      </c>
      <c r="C3869" s="60">
        <v>1665.7</v>
      </c>
    </row>
    <row r="3870" spans="2:3" x14ac:dyDescent="0.3">
      <c r="B3870" s="171">
        <v>41152</v>
      </c>
      <c r="C3870" s="60">
        <v>1693.9</v>
      </c>
    </row>
    <row r="3871" spans="2:3" x14ac:dyDescent="0.3">
      <c r="B3871" s="171">
        <v>41151</v>
      </c>
      <c r="C3871" s="60">
        <v>1712.55</v>
      </c>
    </row>
    <row r="3872" spans="2:3" x14ac:dyDescent="0.3">
      <c r="B3872" s="171">
        <v>41150</v>
      </c>
      <c r="C3872" s="60">
        <v>1717.3</v>
      </c>
    </row>
    <row r="3873" spans="2:3" x14ac:dyDescent="0.3">
      <c r="B3873" s="171">
        <v>41149</v>
      </c>
      <c r="C3873" s="60">
        <v>1734.45</v>
      </c>
    </row>
    <row r="3874" spans="2:3" x14ac:dyDescent="0.3">
      <c r="B3874" s="171">
        <v>41148</v>
      </c>
      <c r="C3874" s="60">
        <v>1751.35</v>
      </c>
    </row>
    <row r="3875" spans="2:3" x14ac:dyDescent="0.3">
      <c r="B3875" s="171">
        <v>41145</v>
      </c>
      <c r="C3875" s="60">
        <v>1723.55</v>
      </c>
    </row>
    <row r="3876" spans="2:3" x14ac:dyDescent="0.3">
      <c r="B3876" s="171">
        <v>41144</v>
      </c>
      <c r="C3876" s="60">
        <v>1726.45</v>
      </c>
    </row>
    <row r="3877" spans="2:3" x14ac:dyDescent="0.3">
      <c r="B3877" s="171">
        <v>41143</v>
      </c>
      <c r="C3877" s="60">
        <v>1735.6</v>
      </c>
    </row>
    <row r="3878" spans="2:3" x14ac:dyDescent="0.3">
      <c r="B3878" s="171">
        <v>41142</v>
      </c>
      <c r="C3878" s="60">
        <v>1718.9</v>
      </c>
    </row>
    <row r="3879" spans="2:3" x14ac:dyDescent="0.3">
      <c r="B3879" s="171">
        <v>41138</v>
      </c>
      <c r="C3879" s="60">
        <v>1732.35</v>
      </c>
    </row>
    <row r="3880" spans="2:3" x14ac:dyDescent="0.3">
      <c r="B3880" s="171">
        <v>41137</v>
      </c>
      <c r="C3880" s="60">
        <v>1721.1</v>
      </c>
    </row>
    <row r="3881" spans="2:3" x14ac:dyDescent="0.3">
      <c r="B3881" s="171">
        <v>41135</v>
      </c>
      <c r="C3881" s="60">
        <v>1711.9</v>
      </c>
    </row>
    <row r="3882" spans="2:3" x14ac:dyDescent="0.3">
      <c r="B3882" s="171">
        <v>41134</v>
      </c>
      <c r="C3882" s="60">
        <v>1711.4</v>
      </c>
    </row>
    <row r="3883" spans="2:3" x14ac:dyDescent="0.3">
      <c r="B3883" s="171">
        <v>41131</v>
      </c>
      <c r="C3883" s="60">
        <v>1675.65</v>
      </c>
    </row>
    <row r="3884" spans="2:3" x14ac:dyDescent="0.3">
      <c r="B3884" s="171">
        <v>41130</v>
      </c>
      <c r="C3884" s="60">
        <v>1655.45</v>
      </c>
    </row>
    <row r="3885" spans="2:3" x14ac:dyDescent="0.3">
      <c r="B3885" s="171">
        <v>41129</v>
      </c>
      <c r="C3885" s="60">
        <v>1641.55</v>
      </c>
    </row>
    <row r="3886" spans="2:3" x14ac:dyDescent="0.3">
      <c r="B3886" s="171">
        <v>41128</v>
      </c>
      <c r="C3886" s="60">
        <v>1639.05</v>
      </c>
    </row>
    <row r="3887" spans="2:3" x14ac:dyDescent="0.3">
      <c r="B3887" s="171">
        <v>41127</v>
      </c>
      <c r="C3887" s="60">
        <v>1637.8</v>
      </c>
    </row>
    <row r="3888" spans="2:3" x14ac:dyDescent="0.3">
      <c r="B3888" s="171">
        <v>41124</v>
      </c>
      <c r="C3888" s="60">
        <v>1637.65</v>
      </c>
    </row>
    <row r="3889" spans="2:3" x14ac:dyDescent="0.3">
      <c r="B3889" s="171">
        <v>41123</v>
      </c>
      <c r="C3889" s="60">
        <v>1639.95</v>
      </c>
    </row>
    <row r="3890" spans="2:3" x14ac:dyDescent="0.3">
      <c r="B3890" s="171">
        <v>41122</v>
      </c>
      <c r="C3890" s="60">
        <v>1639.1</v>
      </c>
    </row>
    <row r="3891" spans="2:3" x14ac:dyDescent="0.3">
      <c r="B3891" s="171">
        <v>41121</v>
      </c>
      <c r="C3891" s="60">
        <v>1639.6</v>
      </c>
    </row>
    <row r="3892" spans="2:3" x14ac:dyDescent="0.3">
      <c r="B3892" s="171">
        <v>41120</v>
      </c>
      <c r="C3892" s="60">
        <v>1638.75</v>
      </c>
    </row>
    <row r="3893" spans="2:3" x14ac:dyDescent="0.3">
      <c r="B3893" s="171">
        <v>41117</v>
      </c>
      <c r="C3893" s="60">
        <v>1631.1</v>
      </c>
    </row>
    <row r="3894" spans="2:3" x14ac:dyDescent="0.3">
      <c r="B3894" s="171">
        <v>41116</v>
      </c>
      <c r="C3894" s="60">
        <v>1615.3</v>
      </c>
    </row>
    <row r="3895" spans="2:3" x14ac:dyDescent="0.3">
      <c r="B3895" s="171">
        <v>41115</v>
      </c>
      <c r="C3895" s="60">
        <v>1617.3</v>
      </c>
    </row>
    <row r="3896" spans="2:3" x14ac:dyDescent="0.3">
      <c r="B3896" s="171">
        <v>41114</v>
      </c>
      <c r="C3896" s="60">
        <v>1614.5</v>
      </c>
    </row>
    <row r="3897" spans="2:3" x14ac:dyDescent="0.3">
      <c r="B3897" s="171">
        <v>41113</v>
      </c>
      <c r="C3897" s="60">
        <v>1596.8</v>
      </c>
    </row>
    <row r="3898" spans="2:3" x14ac:dyDescent="0.3">
      <c r="B3898" s="171">
        <v>41110</v>
      </c>
      <c r="C3898" s="60">
        <v>1566.6</v>
      </c>
    </row>
    <row r="3899" spans="2:3" x14ac:dyDescent="0.3">
      <c r="B3899" s="171">
        <v>41109</v>
      </c>
      <c r="C3899" s="60">
        <v>1573</v>
      </c>
    </row>
    <row r="3900" spans="2:3" x14ac:dyDescent="0.3">
      <c r="B3900" s="171">
        <v>41108</v>
      </c>
      <c r="C3900" s="60">
        <v>1565.5</v>
      </c>
    </row>
    <row r="3901" spans="2:3" x14ac:dyDescent="0.3">
      <c r="B3901" s="171">
        <v>41107</v>
      </c>
      <c r="C3901" s="60">
        <v>1564.55</v>
      </c>
    </row>
    <row r="3902" spans="2:3" x14ac:dyDescent="0.3">
      <c r="B3902" s="171">
        <v>41106</v>
      </c>
      <c r="C3902" s="60">
        <v>1571.5</v>
      </c>
    </row>
    <row r="3903" spans="2:3" x14ac:dyDescent="0.3">
      <c r="B3903" s="171">
        <v>41103</v>
      </c>
      <c r="C3903" s="60">
        <v>1572.1</v>
      </c>
    </row>
    <row r="3904" spans="2:3" x14ac:dyDescent="0.3">
      <c r="B3904" s="171">
        <v>41102</v>
      </c>
      <c r="C3904" s="60">
        <v>1569.8</v>
      </c>
    </row>
    <row r="3905" spans="2:3" x14ac:dyDescent="0.3">
      <c r="B3905" s="171">
        <v>41101</v>
      </c>
      <c r="C3905" s="60">
        <v>1585.95</v>
      </c>
    </row>
    <row r="3906" spans="2:3" x14ac:dyDescent="0.3">
      <c r="B3906" s="171">
        <v>41100</v>
      </c>
      <c r="C3906" s="60">
        <v>1563.05</v>
      </c>
    </row>
    <row r="3907" spans="2:3" x14ac:dyDescent="0.3">
      <c r="B3907" s="171">
        <v>41099</v>
      </c>
      <c r="C3907" s="60">
        <v>1561.2</v>
      </c>
    </row>
    <row r="3908" spans="2:3" x14ac:dyDescent="0.3">
      <c r="B3908" s="171">
        <v>41096</v>
      </c>
      <c r="C3908" s="60">
        <v>1544.9</v>
      </c>
    </row>
    <row r="3909" spans="2:3" x14ac:dyDescent="0.3">
      <c r="B3909" s="171">
        <v>41095</v>
      </c>
      <c r="C3909" s="60">
        <v>1543.25</v>
      </c>
    </row>
    <row r="3910" spans="2:3" x14ac:dyDescent="0.3">
      <c r="B3910" s="171">
        <v>41094</v>
      </c>
      <c r="C3910" s="60">
        <v>1536.95</v>
      </c>
    </row>
    <row r="3911" spans="2:3" x14ac:dyDescent="0.3">
      <c r="B3911" s="171">
        <v>41093</v>
      </c>
      <c r="C3911" s="60">
        <v>1536.85</v>
      </c>
    </row>
    <row r="3912" spans="2:3" x14ac:dyDescent="0.3">
      <c r="B3912" s="171">
        <v>41092</v>
      </c>
      <c r="C3912" s="60">
        <v>1514.85</v>
      </c>
    </row>
    <row r="3913" spans="2:3" x14ac:dyDescent="0.3">
      <c r="B3913" s="171">
        <v>41089</v>
      </c>
      <c r="C3913" s="60">
        <v>1516.5</v>
      </c>
    </row>
    <row r="3914" spans="2:3" x14ac:dyDescent="0.3">
      <c r="B3914" s="171">
        <v>41088</v>
      </c>
      <c r="C3914" s="60">
        <v>1516</v>
      </c>
    </row>
    <row r="3915" spans="2:3" x14ac:dyDescent="0.3">
      <c r="B3915" s="171">
        <v>41087</v>
      </c>
      <c r="C3915" s="60">
        <v>1463.4</v>
      </c>
    </row>
    <row r="3916" spans="2:3" x14ac:dyDescent="0.3">
      <c r="B3916" s="171">
        <v>41086</v>
      </c>
      <c r="C3916" s="60">
        <v>1479.75</v>
      </c>
    </row>
    <row r="3917" spans="2:3" x14ac:dyDescent="0.3">
      <c r="B3917" s="171">
        <v>41085</v>
      </c>
      <c r="C3917" s="60">
        <v>1473.75</v>
      </c>
    </row>
    <row r="3918" spans="2:3" x14ac:dyDescent="0.3">
      <c r="B3918" s="171">
        <v>41082</v>
      </c>
      <c r="C3918" s="60">
        <v>1456.15</v>
      </c>
    </row>
    <row r="3919" spans="2:3" x14ac:dyDescent="0.3">
      <c r="B3919" s="171">
        <v>41081</v>
      </c>
      <c r="C3919" s="60">
        <v>1465.9</v>
      </c>
    </row>
    <row r="3920" spans="2:3" x14ac:dyDescent="0.3">
      <c r="B3920" s="171">
        <v>41080</v>
      </c>
      <c r="C3920" s="60">
        <v>1429.55</v>
      </c>
    </row>
    <row r="3921" spans="2:3" x14ac:dyDescent="0.3">
      <c r="B3921" s="171">
        <v>41079</v>
      </c>
      <c r="C3921" s="60">
        <v>1445.4</v>
      </c>
    </row>
    <row r="3922" spans="2:3" x14ac:dyDescent="0.3">
      <c r="B3922" s="171">
        <v>41078</v>
      </c>
      <c r="C3922" s="60">
        <v>1441.35</v>
      </c>
    </row>
    <row r="3923" spans="2:3" x14ac:dyDescent="0.3">
      <c r="B3923" s="171">
        <v>41075</v>
      </c>
      <c r="C3923" s="60">
        <v>1449.75</v>
      </c>
    </row>
    <row r="3924" spans="2:3" x14ac:dyDescent="0.3">
      <c r="B3924" s="171">
        <v>41074</v>
      </c>
      <c r="C3924" s="60">
        <v>1429.25</v>
      </c>
    </row>
    <row r="3925" spans="2:3" x14ac:dyDescent="0.3">
      <c r="B3925" s="171">
        <v>41073</v>
      </c>
      <c r="C3925" s="60">
        <v>1423.2</v>
      </c>
    </row>
    <row r="3926" spans="2:3" x14ac:dyDescent="0.3">
      <c r="B3926" s="171">
        <v>41072</v>
      </c>
      <c r="C3926" s="60">
        <v>1409.9</v>
      </c>
    </row>
    <row r="3927" spans="2:3" x14ac:dyDescent="0.3">
      <c r="B3927" s="171">
        <v>41071</v>
      </c>
      <c r="C3927" s="60">
        <v>1384.95</v>
      </c>
    </row>
    <row r="3928" spans="2:3" x14ac:dyDescent="0.3">
      <c r="B3928" s="171">
        <v>41068</v>
      </c>
      <c r="C3928" s="60">
        <v>1399.2</v>
      </c>
    </row>
    <row r="3929" spans="2:3" x14ac:dyDescent="0.3">
      <c r="B3929" s="171">
        <v>41067</v>
      </c>
      <c r="C3929" s="60">
        <v>1385.85</v>
      </c>
    </row>
    <row r="3930" spans="2:3" x14ac:dyDescent="0.3">
      <c r="B3930" s="171">
        <v>41066</v>
      </c>
      <c r="C3930" s="60">
        <v>1396.8</v>
      </c>
    </row>
    <row r="3931" spans="2:3" x14ac:dyDescent="0.3">
      <c r="B3931" s="171">
        <v>41065</v>
      </c>
      <c r="C3931" s="60">
        <v>1382.85</v>
      </c>
    </row>
    <row r="3932" spans="2:3" x14ac:dyDescent="0.3">
      <c r="B3932" s="171">
        <v>41064</v>
      </c>
      <c r="C3932" s="60">
        <v>1405.75</v>
      </c>
    </row>
    <row r="3933" spans="2:3" x14ac:dyDescent="0.3">
      <c r="B3933" s="171">
        <v>41061</v>
      </c>
      <c r="C3933" s="60">
        <v>1466.2</v>
      </c>
    </row>
    <row r="3934" spans="2:3" x14ac:dyDescent="0.3">
      <c r="B3934" s="171">
        <v>41060</v>
      </c>
      <c r="C3934" s="60">
        <v>1423.85</v>
      </c>
    </row>
    <row r="3935" spans="2:3" x14ac:dyDescent="0.3">
      <c r="B3935" s="171">
        <v>41059</v>
      </c>
      <c r="C3935" s="60">
        <v>1382.25</v>
      </c>
    </row>
    <row r="3936" spans="2:3" x14ac:dyDescent="0.3">
      <c r="B3936" s="171">
        <v>41058</v>
      </c>
      <c r="C3936" s="60">
        <v>1380.9</v>
      </c>
    </row>
    <row r="3937" spans="2:3" x14ac:dyDescent="0.3">
      <c r="B3937" s="171">
        <v>41057</v>
      </c>
      <c r="C3937" s="60">
        <v>1386.1</v>
      </c>
    </row>
    <row r="3938" spans="2:3" x14ac:dyDescent="0.3">
      <c r="B3938" s="171">
        <v>41054</v>
      </c>
      <c r="C3938" s="60">
        <v>1384</v>
      </c>
    </row>
    <row r="3939" spans="2:3" x14ac:dyDescent="0.3">
      <c r="B3939" s="171">
        <v>41053</v>
      </c>
      <c r="C3939" s="60">
        <v>1373.2</v>
      </c>
    </row>
    <row r="3940" spans="2:3" x14ac:dyDescent="0.3">
      <c r="B3940" s="171">
        <v>41052</v>
      </c>
      <c r="C3940" s="60">
        <v>1369.5</v>
      </c>
    </row>
    <row r="3941" spans="2:3" x14ac:dyDescent="0.3">
      <c r="B3941" s="171">
        <v>41051</v>
      </c>
      <c r="C3941" s="60">
        <v>1380.95</v>
      </c>
    </row>
    <row r="3942" spans="2:3" x14ac:dyDescent="0.3">
      <c r="B3942" s="171">
        <v>41050</v>
      </c>
      <c r="C3942" s="60">
        <v>1410.8</v>
      </c>
    </row>
    <row r="3943" spans="2:3" x14ac:dyDescent="0.3">
      <c r="B3943" s="171">
        <v>41047</v>
      </c>
      <c r="C3943" s="60">
        <v>1406.75</v>
      </c>
    </row>
    <row r="3944" spans="2:3" x14ac:dyDescent="0.3">
      <c r="B3944" s="171">
        <v>41046</v>
      </c>
      <c r="C3944" s="60">
        <v>1410.8</v>
      </c>
    </row>
    <row r="3945" spans="2:3" x14ac:dyDescent="0.3">
      <c r="B3945" s="171">
        <v>41045</v>
      </c>
      <c r="C3945" s="60">
        <v>1401.85</v>
      </c>
    </row>
    <row r="3946" spans="2:3" x14ac:dyDescent="0.3">
      <c r="B3946" s="171">
        <v>41044</v>
      </c>
      <c r="C3946" s="60">
        <v>1399.6</v>
      </c>
    </row>
    <row r="3947" spans="2:3" x14ac:dyDescent="0.3">
      <c r="B3947" s="171">
        <v>41043</v>
      </c>
      <c r="C3947" s="60">
        <v>1375.5</v>
      </c>
    </row>
    <row r="3948" spans="2:3" x14ac:dyDescent="0.3">
      <c r="B3948" s="171">
        <v>41040</v>
      </c>
      <c r="C3948" s="60">
        <v>1368.7</v>
      </c>
    </row>
    <row r="3949" spans="2:3" x14ac:dyDescent="0.3">
      <c r="B3949" s="171">
        <v>41039</v>
      </c>
      <c r="C3949" s="60">
        <v>1392.9</v>
      </c>
    </row>
    <row r="3950" spans="2:3" x14ac:dyDescent="0.3">
      <c r="B3950" s="171">
        <v>41038</v>
      </c>
      <c r="C3950" s="60">
        <v>1373.5</v>
      </c>
    </row>
    <row r="3951" spans="2:3" x14ac:dyDescent="0.3">
      <c r="B3951" s="171">
        <v>41037</v>
      </c>
      <c r="C3951" s="60">
        <v>1404.6</v>
      </c>
    </row>
    <row r="3952" spans="2:3" x14ac:dyDescent="0.3">
      <c r="B3952" s="171">
        <v>41036</v>
      </c>
      <c r="C3952" s="60">
        <v>1413.2</v>
      </c>
    </row>
    <row r="3953" spans="2:3" x14ac:dyDescent="0.3">
      <c r="B3953" s="171">
        <v>41033</v>
      </c>
      <c r="C3953" s="60">
        <v>1364.85</v>
      </c>
    </row>
    <row r="3954" spans="2:3" x14ac:dyDescent="0.3">
      <c r="B3954" s="171">
        <v>41032</v>
      </c>
      <c r="C3954" s="60">
        <v>1416.2</v>
      </c>
    </row>
    <row r="3955" spans="2:3" x14ac:dyDescent="0.3">
      <c r="B3955" s="171">
        <v>41031</v>
      </c>
      <c r="C3955" s="60">
        <v>1422.7</v>
      </c>
    </row>
    <row r="3956" spans="2:3" x14ac:dyDescent="0.3">
      <c r="B3956" s="171">
        <v>41029</v>
      </c>
      <c r="C3956" s="60">
        <v>1424.9</v>
      </c>
    </row>
    <row r="3957" spans="2:3" x14ac:dyDescent="0.3">
      <c r="B3957" s="171">
        <v>41026</v>
      </c>
      <c r="C3957" s="60">
        <v>1418.8</v>
      </c>
    </row>
    <row r="3958" spans="2:3" x14ac:dyDescent="0.3">
      <c r="B3958" s="171">
        <v>41025</v>
      </c>
      <c r="C3958" s="60">
        <v>1429.2</v>
      </c>
    </row>
    <row r="3959" spans="2:3" x14ac:dyDescent="0.3">
      <c r="B3959" s="171">
        <v>41024</v>
      </c>
      <c r="C3959" s="60">
        <v>1413</v>
      </c>
    </row>
    <row r="3960" spans="2:3" x14ac:dyDescent="0.3">
      <c r="B3960" s="171">
        <v>41023</v>
      </c>
      <c r="C3960" s="60">
        <v>1415.85</v>
      </c>
    </row>
    <row r="3961" spans="2:3" x14ac:dyDescent="0.3">
      <c r="B3961" s="171">
        <v>41022</v>
      </c>
      <c r="C3961" s="60">
        <v>1466.75</v>
      </c>
    </row>
    <row r="3962" spans="2:3" x14ac:dyDescent="0.3">
      <c r="B3962" s="171">
        <v>41019</v>
      </c>
      <c r="C3962" s="60">
        <v>1463</v>
      </c>
    </row>
    <row r="3963" spans="2:3" x14ac:dyDescent="0.3">
      <c r="B3963" s="171">
        <v>41018</v>
      </c>
      <c r="C3963" s="60">
        <v>1469.3</v>
      </c>
    </row>
    <row r="3964" spans="2:3" x14ac:dyDescent="0.3">
      <c r="B3964" s="171">
        <v>41017</v>
      </c>
      <c r="C3964" s="60">
        <v>1480</v>
      </c>
    </row>
    <row r="3965" spans="2:3" x14ac:dyDescent="0.3">
      <c r="B3965" s="171">
        <v>41016</v>
      </c>
      <c r="C3965" s="60">
        <v>1460.7</v>
      </c>
    </row>
    <row r="3966" spans="2:3" x14ac:dyDescent="0.3">
      <c r="B3966" s="171">
        <v>41015</v>
      </c>
      <c r="C3966" s="60">
        <v>1441.05</v>
      </c>
    </row>
    <row r="3967" spans="2:3" x14ac:dyDescent="0.3">
      <c r="B3967" s="171">
        <v>41012</v>
      </c>
      <c r="C3967" s="60">
        <v>1475.35</v>
      </c>
    </row>
    <row r="3968" spans="2:3" x14ac:dyDescent="0.3">
      <c r="B3968" s="171">
        <v>41011</v>
      </c>
      <c r="C3968" s="60">
        <v>1475.3</v>
      </c>
    </row>
    <row r="3969" spans="2:3" x14ac:dyDescent="0.3">
      <c r="B3969" s="171">
        <v>41010</v>
      </c>
      <c r="C3969" s="60">
        <v>1482.6</v>
      </c>
    </row>
    <row r="3970" spans="2:3" x14ac:dyDescent="0.3">
      <c r="B3970" s="171">
        <v>41009</v>
      </c>
      <c r="C3970" s="60">
        <v>1500.05</v>
      </c>
    </row>
    <row r="3971" spans="2:3" x14ac:dyDescent="0.3">
      <c r="B3971" s="171">
        <v>41008</v>
      </c>
      <c r="C3971" s="60">
        <v>1503</v>
      </c>
    </row>
    <row r="3972" spans="2:3" x14ac:dyDescent="0.3">
      <c r="B3972" s="171">
        <v>41003</v>
      </c>
      <c r="C3972" s="60">
        <v>1514.15</v>
      </c>
    </row>
    <row r="3973" spans="2:3" x14ac:dyDescent="0.3">
      <c r="B3973" s="171">
        <v>41002</v>
      </c>
      <c r="C3973" s="60">
        <v>1512.3</v>
      </c>
    </row>
    <row r="3974" spans="2:3" x14ac:dyDescent="0.3">
      <c r="B3974" s="171">
        <v>41001</v>
      </c>
      <c r="C3974" s="60">
        <v>1495</v>
      </c>
    </row>
    <row r="3975" spans="2:3" x14ac:dyDescent="0.3">
      <c r="B3975" s="171">
        <v>40998</v>
      </c>
      <c r="C3975" s="60">
        <v>1514.55</v>
      </c>
    </row>
    <row r="3976" spans="2:3" x14ac:dyDescent="0.3">
      <c r="B3976" s="171">
        <v>40997</v>
      </c>
      <c r="C3976" s="60">
        <v>1495.15</v>
      </c>
    </row>
    <row r="3977" spans="2:3" x14ac:dyDescent="0.3">
      <c r="B3977" s="171">
        <v>40996</v>
      </c>
      <c r="C3977" s="60">
        <v>1480.8</v>
      </c>
    </row>
    <row r="3978" spans="2:3" x14ac:dyDescent="0.3">
      <c r="B3978" s="171">
        <v>40995</v>
      </c>
      <c r="C3978" s="60">
        <v>1494.6</v>
      </c>
    </row>
    <row r="3979" spans="2:3" x14ac:dyDescent="0.3">
      <c r="B3979" s="171">
        <v>40994</v>
      </c>
      <c r="C3979" s="60">
        <v>1491</v>
      </c>
    </row>
    <row r="3980" spans="2:3" x14ac:dyDescent="0.3">
      <c r="B3980" s="171">
        <v>40991</v>
      </c>
      <c r="C3980" s="60">
        <v>1515</v>
      </c>
    </row>
    <row r="3981" spans="2:3" x14ac:dyDescent="0.3">
      <c r="B3981" s="171">
        <v>40990</v>
      </c>
      <c r="C3981" s="60">
        <v>1497.25</v>
      </c>
    </row>
    <row r="3982" spans="2:3" x14ac:dyDescent="0.3">
      <c r="B3982" s="171">
        <v>40989</v>
      </c>
      <c r="C3982" s="60">
        <v>1529.75</v>
      </c>
    </row>
    <row r="3983" spans="2:3" x14ac:dyDescent="0.3">
      <c r="B3983" s="171">
        <v>40988</v>
      </c>
      <c r="C3983" s="60">
        <v>1508.4</v>
      </c>
    </row>
    <row r="3984" spans="2:3" x14ac:dyDescent="0.3">
      <c r="B3984" s="171">
        <v>40987</v>
      </c>
      <c r="C3984" s="60">
        <v>1481.9</v>
      </c>
    </row>
    <row r="3985" spans="2:3" x14ac:dyDescent="0.3">
      <c r="B3985" s="171">
        <v>40984</v>
      </c>
      <c r="C3985" s="60">
        <v>1480.3</v>
      </c>
    </row>
    <row r="3986" spans="2:3" x14ac:dyDescent="0.3">
      <c r="B3986" s="171">
        <v>40983</v>
      </c>
      <c r="C3986" s="60">
        <v>1483.1</v>
      </c>
    </row>
    <row r="3987" spans="2:3" x14ac:dyDescent="0.3">
      <c r="B3987" s="171">
        <v>40982</v>
      </c>
      <c r="C3987" s="60">
        <v>1508.2</v>
      </c>
    </row>
    <row r="3988" spans="2:3" x14ac:dyDescent="0.3">
      <c r="B3988" s="171">
        <v>40981</v>
      </c>
      <c r="C3988" s="60">
        <v>1500.5</v>
      </c>
    </row>
    <row r="3989" spans="2:3" x14ac:dyDescent="0.3">
      <c r="B3989" s="171">
        <v>40980</v>
      </c>
      <c r="C3989" s="60">
        <v>1476.05</v>
      </c>
    </row>
    <row r="3990" spans="2:3" x14ac:dyDescent="0.3">
      <c r="B3990" s="171">
        <v>40977</v>
      </c>
      <c r="C3990" s="60">
        <v>1472.7</v>
      </c>
    </row>
    <row r="3991" spans="2:3" x14ac:dyDescent="0.3">
      <c r="B3991" s="171">
        <v>40975</v>
      </c>
      <c r="C3991" s="60">
        <v>1422.7</v>
      </c>
    </row>
    <row r="3992" spans="2:3" x14ac:dyDescent="0.3">
      <c r="B3992" s="171">
        <v>40974</v>
      </c>
      <c r="C3992" s="60">
        <v>1405.6</v>
      </c>
    </row>
    <row r="3993" spans="2:3" x14ac:dyDescent="0.3">
      <c r="B3993" s="171">
        <v>40973</v>
      </c>
      <c r="C3993" s="60">
        <v>1390.25</v>
      </c>
    </row>
    <row r="3994" spans="2:3" x14ac:dyDescent="0.3">
      <c r="B3994" s="171">
        <v>40970</v>
      </c>
      <c r="C3994" s="60">
        <v>1424.55</v>
      </c>
    </row>
    <row r="3995" spans="2:3" x14ac:dyDescent="0.3">
      <c r="B3995" s="171">
        <v>40969</v>
      </c>
      <c r="C3995" s="60">
        <v>1416.85</v>
      </c>
    </row>
    <row r="3996" spans="2:3" x14ac:dyDescent="0.3">
      <c r="B3996" s="171">
        <v>40968</v>
      </c>
      <c r="C3996" s="60">
        <v>1406.4</v>
      </c>
    </row>
    <row r="3997" spans="2:3" x14ac:dyDescent="0.3">
      <c r="B3997" s="171">
        <v>40967</v>
      </c>
      <c r="C3997" s="60">
        <v>1404.95</v>
      </c>
    </row>
    <row r="3998" spans="2:3" x14ac:dyDescent="0.3">
      <c r="B3998" s="171">
        <v>40966</v>
      </c>
      <c r="C3998" s="60">
        <v>1399.05</v>
      </c>
    </row>
    <row r="3999" spans="2:3" x14ac:dyDescent="0.3">
      <c r="B3999" s="171">
        <v>40963</v>
      </c>
      <c r="C3999" s="60">
        <v>1402.4</v>
      </c>
    </row>
    <row r="4000" spans="2:3" x14ac:dyDescent="0.3">
      <c r="B4000" s="171">
        <v>40962</v>
      </c>
      <c r="C4000" s="60">
        <v>1446</v>
      </c>
    </row>
    <row r="4001" spans="2:3" x14ac:dyDescent="0.3">
      <c r="B4001" s="171">
        <v>40961</v>
      </c>
      <c r="C4001" s="60">
        <v>1480.55</v>
      </c>
    </row>
    <row r="4002" spans="2:3" x14ac:dyDescent="0.3">
      <c r="B4002" s="171">
        <v>40960</v>
      </c>
      <c r="C4002" s="60">
        <v>1480.4</v>
      </c>
    </row>
    <row r="4003" spans="2:3" x14ac:dyDescent="0.3">
      <c r="B4003" s="171">
        <v>40956</v>
      </c>
      <c r="C4003" s="60">
        <v>1476.3</v>
      </c>
    </row>
    <row r="4004" spans="2:3" x14ac:dyDescent="0.3">
      <c r="B4004" s="171">
        <v>40955</v>
      </c>
      <c r="C4004" s="60">
        <v>1472.3</v>
      </c>
    </row>
    <row r="4005" spans="2:3" x14ac:dyDescent="0.3">
      <c r="B4005" s="171">
        <v>40954</v>
      </c>
      <c r="C4005" s="60">
        <v>1439.25</v>
      </c>
    </row>
    <row r="4006" spans="2:3" x14ac:dyDescent="0.3">
      <c r="B4006" s="171">
        <v>40953</v>
      </c>
      <c r="C4006" s="60">
        <v>1408.55</v>
      </c>
    </row>
    <row r="4007" spans="2:3" x14ac:dyDescent="0.3">
      <c r="B4007" s="171">
        <v>40952</v>
      </c>
      <c r="C4007" s="60">
        <v>1396.5</v>
      </c>
    </row>
    <row r="4008" spans="2:3" x14ac:dyDescent="0.3">
      <c r="B4008" s="171">
        <v>40949</v>
      </c>
      <c r="C4008" s="60">
        <v>1382.85</v>
      </c>
    </row>
    <row r="4009" spans="2:3" x14ac:dyDescent="0.3">
      <c r="B4009" s="171">
        <v>40948</v>
      </c>
      <c r="C4009" s="60">
        <v>1400.65</v>
      </c>
    </row>
    <row r="4010" spans="2:3" x14ac:dyDescent="0.3">
      <c r="B4010" s="171">
        <v>40947</v>
      </c>
      <c r="C4010" s="60">
        <v>1387.05</v>
      </c>
    </row>
    <row r="4011" spans="2:3" x14ac:dyDescent="0.3">
      <c r="B4011" s="171">
        <v>40946</v>
      </c>
      <c r="C4011" s="60">
        <v>1360.7</v>
      </c>
    </row>
    <row r="4012" spans="2:3" x14ac:dyDescent="0.3">
      <c r="B4012" s="171">
        <v>40945</v>
      </c>
      <c r="C4012" s="60">
        <v>1363.75</v>
      </c>
    </row>
    <row r="4013" spans="2:3" x14ac:dyDescent="0.3">
      <c r="B4013" s="171">
        <v>40942</v>
      </c>
      <c r="C4013" s="60">
        <v>1275.8</v>
      </c>
    </row>
    <row r="4014" spans="2:3" x14ac:dyDescent="0.3">
      <c r="B4014" s="171">
        <v>40941</v>
      </c>
      <c r="C4014" s="60">
        <v>1263.25</v>
      </c>
    </row>
    <row r="4015" spans="2:3" x14ac:dyDescent="0.3">
      <c r="B4015" s="171">
        <v>40940</v>
      </c>
      <c r="C4015" s="60">
        <v>1239.1500000000001</v>
      </c>
    </row>
    <row r="4016" spans="2:3" x14ac:dyDescent="0.3">
      <c r="B4016" s="171">
        <v>40939</v>
      </c>
      <c r="C4016" s="60">
        <v>1214.75</v>
      </c>
    </row>
    <row r="4017" spans="2:3" x14ac:dyDescent="0.3">
      <c r="B4017" s="171">
        <v>40938</v>
      </c>
      <c r="C4017" s="60">
        <v>1190.05</v>
      </c>
    </row>
    <row r="4018" spans="2:3" x14ac:dyDescent="0.3">
      <c r="B4018" s="171">
        <v>40935</v>
      </c>
      <c r="C4018" s="60">
        <v>1229.8</v>
      </c>
    </row>
    <row r="4019" spans="2:3" x14ac:dyDescent="0.3">
      <c r="B4019" s="171">
        <v>40933</v>
      </c>
      <c r="C4019" s="60">
        <v>1239.7</v>
      </c>
    </row>
    <row r="4020" spans="2:3" x14ac:dyDescent="0.3">
      <c r="B4020" s="171">
        <v>40932</v>
      </c>
      <c r="C4020" s="60">
        <v>1217.8499999999999</v>
      </c>
    </row>
    <row r="4021" spans="2:3" x14ac:dyDescent="0.3">
      <c r="B4021" s="171">
        <v>40931</v>
      </c>
      <c r="C4021" s="60">
        <v>1218.45</v>
      </c>
    </row>
    <row r="4022" spans="2:3" x14ac:dyDescent="0.3">
      <c r="B4022" s="171">
        <v>40928</v>
      </c>
      <c r="C4022" s="60">
        <v>1213.75</v>
      </c>
    </row>
    <row r="4023" spans="2:3" x14ac:dyDescent="0.3">
      <c r="B4023" s="171">
        <v>40927</v>
      </c>
      <c r="C4023" s="60">
        <v>1199.75</v>
      </c>
    </row>
    <row r="4024" spans="2:3" x14ac:dyDescent="0.3">
      <c r="B4024" s="171">
        <v>40926</v>
      </c>
      <c r="C4024" s="60">
        <v>1182.55</v>
      </c>
    </row>
    <row r="4025" spans="2:3" x14ac:dyDescent="0.3">
      <c r="B4025" s="171">
        <v>40925</v>
      </c>
      <c r="C4025" s="60">
        <v>1179.7</v>
      </c>
    </row>
    <row r="4026" spans="2:3" x14ac:dyDescent="0.3">
      <c r="B4026" s="171">
        <v>40924</v>
      </c>
      <c r="C4026" s="60">
        <v>1159.3499999999999</v>
      </c>
    </row>
    <row r="4027" spans="2:3" x14ac:dyDescent="0.3">
      <c r="B4027" s="171">
        <v>40921</v>
      </c>
      <c r="C4027" s="60">
        <v>1164.45</v>
      </c>
    </row>
    <row r="4028" spans="2:3" x14ac:dyDescent="0.3">
      <c r="B4028" s="171">
        <v>40920</v>
      </c>
      <c r="C4028" s="60">
        <v>1146.9000000000001</v>
      </c>
    </row>
    <row r="4029" spans="2:3" x14ac:dyDescent="0.3">
      <c r="B4029" s="171">
        <v>40919</v>
      </c>
      <c r="C4029" s="60">
        <v>1137.75</v>
      </c>
    </row>
    <row r="4030" spans="2:3" x14ac:dyDescent="0.3">
      <c r="B4030" s="171">
        <v>40918</v>
      </c>
      <c r="C4030" s="60">
        <v>1164.95</v>
      </c>
    </row>
    <row r="4031" spans="2:3" x14ac:dyDescent="0.3">
      <c r="B4031" s="171">
        <v>40917</v>
      </c>
      <c r="C4031" s="60">
        <v>1151.75</v>
      </c>
    </row>
    <row r="4032" spans="2:3" x14ac:dyDescent="0.3">
      <c r="B4032" s="171">
        <v>40914</v>
      </c>
      <c r="C4032" s="60">
        <v>1150.5999999999999</v>
      </c>
    </row>
    <row r="4033" spans="2:3" x14ac:dyDescent="0.3">
      <c r="B4033" s="171">
        <v>40913</v>
      </c>
      <c r="C4033" s="60">
        <v>1150.0999999999999</v>
      </c>
    </row>
    <row r="4034" spans="2:3" x14ac:dyDescent="0.3">
      <c r="B4034" s="171">
        <v>40912</v>
      </c>
      <c r="C4034" s="60">
        <v>1141.9000000000001</v>
      </c>
    </row>
    <row r="4035" spans="2:3" x14ac:dyDescent="0.3">
      <c r="B4035" s="171">
        <v>40911</v>
      </c>
      <c r="C4035" s="60">
        <v>1175.6500000000001</v>
      </c>
    </row>
    <row r="4036" spans="2:3" x14ac:dyDescent="0.3">
      <c r="B4036" s="171">
        <v>40910</v>
      </c>
      <c r="C4036" s="60">
        <v>1154</v>
      </c>
    </row>
    <row r="4037" spans="2:3" x14ac:dyDescent="0.3">
      <c r="B4037" s="171">
        <v>40907</v>
      </c>
      <c r="C4037" s="60">
        <v>1166.5</v>
      </c>
    </row>
    <row r="4038" spans="2:3" x14ac:dyDescent="0.3">
      <c r="B4038" s="171">
        <v>40906</v>
      </c>
      <c r="C4038" s="60">
        <v>1157.6500000000001</v>
      </c>
    </row>
    <row r="4039" spans="2:3" x14ac:dyDescent="0.3">
      <c r="B4039" s="171">
        <v>40905</v>
      </c>
      <c r="C4039" s="60">
        <v>1175.5999999999999</v>
      </c>
    </row>
    <row r="4040" spans="2:3" x14ac:dyDescent="0.3">
      <c r="B4040" s="171">
        <v>40904</v>
      </c>
      <c r="C4040" s="60">
        <v>1190.8</v>
      </c>
    </row>
    <row r="4041" spans="2:3" x14ac:dyDescent="0.3">
      <c r="B4041" s="171">
        <v>40903</v>
      </c>
      <c r="C4041" s="60">
        <v>1190.6500000000001</v>
      </c>
    </row>
    <row r="4042" spans="2:3" x14ac:dyDescent="0.3">
      <c r="B4042" s="171">
        <v>40900</v>
      </c>
      <c r="C4042" s="60">
        <v>1180.95</v>
      </c>
    </row>
    <row r="4043" spans="2:3" x14ac:dyDescent="0.3">
      <c r="B4043" s="171">
        <v>40899</v>
      </c>
      <c r="C4043" s="60">
        <v>1166.9000000000001</v>
      </c>
    </row>
    <row r="4044" spans="2:3" x14ac:dyDescent="0.3">
      <c r="B4044" s="171">
        <v>40898</v>
      </c>
      <c r="C4044" s="60">
        <v>1121.7</v>
      </c>
    </row>
    <row r="4045" spans="2:3" x14ac:dyDescent="0.3">
      <c r="B4045" s="171">
        <v>40897</v>
      </c>
      <c r="C4045" s="60">
        <v>1120.75</v>
      </c>
    </row>
    <row r="4046" spans="2:3" x14ac:dyDescent="0.3">
      <c r="B4046" s="171">
        <v>40896</v>
      </c>
      <c r="C4046" s="60">
        <v>1131.5999999999999</v>
      </c>
    </row>
    <row r="4047" spans="2:3" x14ac:dyDescent="0.3">
      <c r="B4047" s="171">
        <v>40893</v>
      </c>
      <c r="C4047" s="60">
        <v>1138.1500000000001</v>
      </c>
    </row>
    <row r="4048" spans="2:3" x14ac:dyDescent="0.3">
      <c r="B4048" s="171">
        <v>40892</v>
      </c>
      <c r="C4048" s="60">
        <v>1147.4000000000001</v>
      </c>
    </row>
    <row r="4049" spans="2:3" x14ac:dyDescent="0.3">
      <c r="B4049" s="171">
        <v>40891</v>
      </c>
      <c r="C4049" s="60">
        <v>1150.3</v>
      </c>
    </row>
    <row r="4050" spans="2:3" x14ac:dyDescent="0.3">
      <c r="B4050" s="171">
        <v>40890</v>
      </c>
      <c r="C4050" s="60">
        <v>1142.5999999999999</v>
      </c>
    </row>
    <row r="4051" spans="2:3" x14ac:dyDescent="0.3">
      <c r="B4051" s="171">
        <v>40889</v>
      </c>
      <c r="C4051" s="60">
        <v>1148.25</v>
      </c>
    </row>
    <row r="4052" spans="2:3" x14ac:dyDescent="0.3">
      <c r="B4052" s="171">
        <v>40886</v>
      </c>
      <c r="C4052" s="60">
        <v>1208.1500000000001</v>
      </c>
    </row>
    <row r="4053" spans="2:3" x14ac:dyDescent="0.3">
      <c r="B4053" s="171">
        <v>40885</v>
      </c>
      <c r="C4053" s="60">
        <v>1217.05</v>
      </c>
    </row>
    <row r="4054" spans="2:3" x14ac:dyDescent="0.3">
      <c r="B4054" s="171">
        <v>40884</v>
      </c>
      <c r="C4054" s="60">
        <v>1220.3</v>
      </c>
    </row>
    <row r="4055" spans="2:3" x14ac:dyDescent="0.3">
      <c r="B4055" s="171">
        <v>40882</v>
      </c>
      <c r="C4055" s="60">
        <v>1189.9000000000001</v>
      </c>
    </row>
    <row r="4056" spans="2:3" x14ac:dyDescent="0.3">
      <c r="B4056" s="171">
        <v>40879</v>
      </c>
      <c r="C4056" s="60">
        <v>1176.7</v>
      </c>
    </row>
    <row r="4057" spans="2:3" x14ac:dyDescent="0.3">
      <c r="B4057" s="171">
        <v>40878</v>
      </c>
      <c r="C4057" s="60">
        <v>1165.2</v>
      </c>
    </row>
    <row r="4058" spans="2:3" x14ac:dyDescent="0.3">
      <c r="B4058" s="171">
        <v>40877</v>
      </c>
      <c r="C4058" s="60">
        <v>1148.7</v>
      </c>
    </row>
    <row r="4059" spans="2:3" x14ac:dyDescent="0.3">
      <c r="B4059" s="171">
        <v>40876</v>
      </c>
      <c r="C4059" s="60">
        <v>1148.3499999999999</v>
      </c>
    </row>
    <row r="4060" spans="2:3" x14ac:dyDescent="0.3">
      <c r="B4060" s="171">
        <v>40875</v>
      </c>
      <c r="C4060" s="60">
        <v>1169.4000000000001</v>
      </c>
    </row>
    <row r="4061" spans="2:3" x14ac:dyDescent="0.3">
      <c r="B4061" s="171">
        <v>40872</v>
      </c>
      <c r="C4061" s="60">
        <v>1118.45</v>
      </c>
    </row>
    <row r="4062" spans="2:3" x14ac:dyDescent="0.3">
      <c r="B4062" s="171">
        <v>40871</v>
      </c>
      <c r="C4062" s="60">
        <v>1122.55</v>
      </c>
    </row>
    <row r="4063" spans="2:3" x14ac:dyDescent="0.3">
      <c r="B4063" s="171">
        <v>40870</v>
      </c>
      <c r="C4063" s="60">
        <v>1108.2</v>
      </c>
    </row>
    <row r="4064" spans="2:3" x14ac:dyDescent="0.3">
      <c r="B4064" s="171">
        <v>40869</v>
      </c>
      <c r="C4064" s="60">
        <v>1129.7</v>
      </c>
    </row>
    <row r="4065" spans="2:3" x14ac:dyDescent="0.3">
      <c r="B4065" s="171">
        <v>40868</v>
      </c>
      <c r="C4065" s="60">
        <v>1109.8499999999999</v>
      </c>
    </row>
    <row r="4066" spans="2:3" x14ac:dyDescent="0.3">
      <c r="B4066" s="171">
        <v>40865</v>
      </c>
      <c r="C4066" s="60">
        <v>1135.5999999999999</v>
      </c>
    </row>
    <row r="4067" spans="2:3" x14ac:dyDescent="0.3">
      <c r="B4067" s="171">
        <v>40864</v>
      </c>
      <c r="C4067" s="60">
        <v>1147.5</v>
      </c>
    </row>
    <row r="4068" spans="2:3" x14ac:dyDescent="0.3">
      <c r="B4068" s="171">
        <v>40863</v>
      </c>
      <c r="C4068" s="60">
        <v>1156.5</v>
      </c>
    </row>
    <row r="4069" spans="2:3" x14ac:dyDescent="0.3">
      <c r="B4069" s="171">
        <v>40862</v>
      </c>
      <c r="C4069" s="60">
        <v>1148.55</v>
      </c>
    </row>
    <row r="4070" spans="2:3" x14ac:dyDescent="0.3">
      <c r="B4070" s="171">
        <v>40861</v>
      </c>
      <c r="C4070" s="60">
        <v>1172.5999999999999</v>
      </c>
    </row>
    <row r="4071" spans="2:3" x14ac:dyDescent="0.3">
      <c r="B4071" s="171">
        <v>40858</v>
      </c>
      <c r="C4071" s="60">
        <v>1176.4000000000001</v>
      </c>
    </row>
    <row r="4072" spans="2:3" x14ac:dyDescent="0.3">
      <c r="B4072" s="171">
        <v>40856</v>
      </c>
      <c r="C4072" s="60">
        <v>1164</v>
      </c>
    </row>
    <row r="4073" spans="2:3" x14ac:dyDescent="0.3">
      <c r="B4073" s="171">
        <v>40855</v>
      </c>
      <c r="C4073" s="60">
        <v>1157.95</v>
      </c>
    </row>
    <row r="4074" spans="2:3" x14ac:dyDescent="0.3">
      <c r="B4074" s="171">
        <v>40851</v>
      </c>
      <c r="C4074" s="60">
        <v>1150.05</v>
      </c>
    </row>
    <row r="4075" spans="2:3" x14ac:dyDescent="0.3">
      <c r="B4075" s="171">
        <v>40850</v>
      </c>
      <c r="C4075" s="60">
        <v>1148.05</v>
      </c>
    </row>
    <row r="4076" spans="2:3" x14ac:dyDescent="0.3">
      <c r="B4076" s="171">
        <v>40849</v>
      </c>
      <c r="C4076" s="60">
        <v>1144.9000000000001</v>
      </c>
    </row>
    <row r="4077" spans="2:3" x14ac:dyDescent="0.3">
      <c r="B4077" s="171">
        <v>40848</v>
      </c>
      <c r="C4077" s="60">
        <v>1143.1500000000001</v>
      </c>
    </row>
    <row r="4078" spans="2:3" x14ac:dyDescent="0.3">
      <c r="B4078" s="171">
        <v>40847</v>
      </c>
      <c r="C4078" s="60">
        <v>1152.5999999999999</v>
      </c>
    </row>
    <row r="4079" spans="2:3" x14ac:dyDescent="0.3">
      <c r="B4079" s="171">
        <v>40844</v>
      </c>
      <c r="C4079" s="60">
        <v>1164.4000000000001</v>
      </c>
    </row>
    <row r="4080" spans="2:3" x14ac:dyDescent="0.3">
      <c r="B4080" s="171">
        <v>40842</v>
      </c>
      <c r="C4080" s="60">
        <v>1133.3499999999999</v>
      </c>
    </row>
    <row r="4081" spans="2:3" x14ac:dyDescent="0.3">
      <c r="B4081" s="171">
        <v>40841</v>
      </c>
      <c r="C4081" s="60">
        <v>1134.3499999999999</v>
      </c>
    </row>
    <row r="4082" spans="2:3" x14ac:dyDescent="0.3">
      <c r="B4082" s="171">
        <v>40840</v>
      </c>
      <c r="C4082" s="60">
        <v>1129.5</v>
      </c>
    </row>
    <row r="4083" spans="2:3" x14ac:dyDescent="0.3">
      <c r="B4083" s="171">
        <v>40837</v>
      </c>
      <c r="C4083" s="60">
        <v>1120.75</v>
      </c>
    </row>
    <row r="4084" spans="2:3" x14ac:dyDescent="0.3">
      <c r="B4084" s="171">
        <v>40836</v>
      </c>
      <c r="C4084" s="60">
        <v>1119.05</v>
      </c>
    </row>
    <row r="4085" spans="2:3" x14ac:dyDescent="0.3">
      <c r="B4085" s="171">
        <v>40835</v>
      </c>
      <c r="C4085" s="60">
        <v>1124</v>
      </c>
    </row>
    <row r="4086" spans="2:3" x14ac:dyDescent="0.3">
      <c r="B4086" s="171">
        <v>40834</v>
      </c>
      <c r="C4086" s="60">
        <v>1123.95</v>
      </c>
    </row>
    <row r="4087" spans="2:3" x14ac:dyDescent="0.3">
      <c r="B4087" s="171">
        <v>40833</v>
      </c>
      <c r="C4087" s="60">
        <v>1123.6500000000001</v>
      </c>
    </row>
    <row r="4088" spans="2:3" x14ac:dyDescent="0.3">
      <c r="B4088" s="171">
        <v>40830</v>
      </c>
      <c r="C4088" s="60">
        <v>1125.45</v>
      </c>
    </row>
    <row r="4089" spans="2:3" x14ac:dyDescent="0.3">
      <c r="B4089" s="171">
        <v>40829</v>
      </c>
      <c r="C4089" s="60">
        <v>1131</v>
      </c>
    </row>
    <row r="4090" spans="2:3" x14ac:dyDescent="0.3">
      <c r="B4090" s="171">
        <v>40828</v>
      </c>
      <c r="C4090" s="60">
        <v>1110.6500000000001</v>
      </c>
    </row>
    <row r="4091" spans="2:3" x14ac:dyDescent="0.3">
      <c r="B4091" s="171">
        <v>40827</v>
      </c>
      <c r="C4091" s="60">
        <v>1084.8499999999999</v>
      </c>
    </row>
    <row r="4092" spans="2:3" x14ac:dyDescent="0.3">
      <c r="B4092" s="171">
        <v>40826</v>
      </c>
      <c r="C4092" s="60">
        <v>1085.05</v>
      </c>
    </row>
    <row r="4093" spans="2:3" x14ac:dyDescent="0.3">
      <c r="B4093" s="171">
        <v>40823</v>
      </c>
      <c r="C4093" s="60">
        <v>1095.55</v>
      </c>
    </row>
    <row r="4094" spans="2:3" x14ac:dyDescent="0.3">
      <c r="B4094" s="171">
        <v>40821</v>
      </c>
      <c r="C4094" s="60">
        <v>1106</v>
      </c>
    </row>
    <row r="4095" spans="2:3" x14ac:dyDescent="0.3">
      <c r="B4095" s="171">
        <v>40820</v>
      </c>
      <c r="C4095" s="60">
        <v>1100.5</v>
      </c>
    </row>
    <row r="4096" spans="2:3" x14ac:dyDescent="0.3">
      <c r="B4096" s="171">
        <v>40819</v>
      </c>
      <c r="C4096" s="60">
        <v>1100.55</v>
      </c>
    </row>
    <row r="4097" spans="2:3" x14ac:dyDescent="0.3">
      <c r="B4097" s="171">
        <v>40816</v>
      </c>
      <c r="C4097" s="60">
        <v>1141.5999999999999</v>
      </c>
    </row>
    <row r="4098" spans="2:3" x14ac:dyDescent="0.3">
      <c r="B4098" s="171">
        <v>40815</v>
      </c>
      <c r="C4098" s="60">
        <v>1137.3</v>
      </c>
    </row>
    <row r="4099" spans="2:3" x14ac:dyDescent="0.3">
      <c r="B4099" s="171">
        <v>40814</v>
      </c>
      <c r="C4099" s="60">
        <v>1148.7</v>
      </c>
    </row>
    <row r="4100" spans="2:3" x14ac:dyDescent="0.3">
      <c r="B4100" s="171">
        <v>40813</v>
      </c>
      <c r="C4100" s="60">
        <v>1134.6500000000001</v>
      </c>
    </row>
    <row r="4101" spans="2:3" x14ac:dyDescent="0.3">
      <c r="B4101" s="171">
        <v>40812</v>
      </c>
      <c r="C4101" s="60">
        <v>1137.5999999999999</v>
      </c>
    </row>
    <row r="4102" spans="2:3" x14ac:dyDescent="0.3">
      <c r="B4102" s="171">
        <v>40809</v>
      </c>
      <c r="C4102" s="60">
        <v>1162</v>
      </c>
    </row>
    <row r="4103" spans="2:3" x14ac:dyDescent="0.3">
      <c r="B4103" s="171">
        <v>40808</v>
      </c>
      <c r="C4103" s="60">
        <v>1155.55</v>
      </c>
    </row>
    <row r="4104" spans="2:3" x14ac:dyDescent="0.3">
      <c r="B4104" s="171">
        <v>40807</v>
      </c>
      <c r="C4104" s="60">
        <v>1168.45</v>
      </c>
    </row>
    <row r="4105" spans="2:3" x14ac:dyDescent="0.3">
      <c r="B4105" s="171">
        <v>40806</v>
      </c>
      <c r="C4105" s="60">
        <v>1144.25</v>
      </c>
    </row>
    <row r="4106" spans="2:3" x14ac:dyDescent="0.3">
      <c r="B4106" s="171">
        <v>40805</v>
      </c>
      <c r="C4106" s="60">
        <v>1136.3499999999999</v>
      </c>
    </row>
    <row r="4107" spans="2:3" x14ac:dyDescent="0.3">
      <c r="B4107" s="171">
        <v>40802</v>
      </c>
      <c r="C4107" s="60">
        <v>1126</v>
      </c>
    </row>
    <row r="4108" spans="2:3" x14ac:dyDescent="0.3">
      <c r="B4108" s="171">
        <v>40801</v>
      </c>
      <c r="C4108" s="60">
        <v>1146.55</v>
      </c>
    </row>
    <row r="4109" spans="2:3" x14ac:dyDescent="0.3">
      <c r="B4109" s="171">
        <v>40800</v>
      </c>
      <c r="C4109" s="60">
        <v>1102.3</v>
      </c>
    </row>
    <row r="4110" spans="2:3" x14ac:dyDescent="0.3">
      <c r="B4110" s="171">
        <v>40799</v>
      </c>
      <c r="C4110" s="60">
        <v>1112.7</v>
      </c>
    </row>
    <row r="4111" spans="2:3" x14ac:dyDescent="0.3">
      <c r="B4111" s="171">
        <v>40798</v>
      </c>
      <c r="C4111" s="60">
        <v>1100.25</v>
      </c>
    </row>
    <row r="4112" spans="2:3" x14ac:dyDescent="0.3">
      <c r="B4112" s="171">
        <v>40795</v>
      </c>
      <c r="C4112" s="60">
        <v>1088.95</v>
      </c>
    </row>
    <row r="4113" spans="2:3" x14ac:dyDescent="0.3">
      <c r="B4113" s="171">
        <v>40794</v>
      </c>
      <c r="C4113" s="60">
        <v>1117.7</v>
      </c>
    </row>
    <row r="4114" spans="2:3" x14ac:dyDescent="0.3">
      <c r="B4114" s="171">
        <v>40793</v>
      </c>
      <c r="C4114" s="60">
        <v>1117.1500000000001</v>
      </c>
    </row>
    <row r="4115" spans="2:3" x14ac:dyDescent="0.3">
      <c r="B4115" s="171">
        <v>40792</v>
      </c>
      <c r="C4115" s="60">
        <v>1102</v>
      </c>
    </row>
    <row r="4116" spans="2:3" x14ac:dyDescent="0.3">
      <c r="B4116" s="171">
        <v>40791</v>
      </c>
      <c r="C4116" s="60">
        <v>1104.2</v>
      </c>
    </row>
    <row r="4117" spans="2:3" x14ac:dyDescent="0.3">
      <c r="B4117" s="171">
        <v>40788</v>
      </c>
      <c r="C4117" s="60">
        <v>1100.05</v>
      </c>
    </row>
    <row r="4118" spans="2:3" x14ac:dyDescent="0.3">
      <c r="B4118" s="171">
        <v>40785</v>
      </c>
      <c r="C4118" s="60">
        <v>1070.2</v>
      </c>
    </row>
    <row r="4119" spans="2:3" x14ac:dyDescent="0.3">
      <c r="B4119" s="171">
        <v>40784</v>
      </c>
      <c r="C4119" s="60">
        <v>1067.4000000000001</v>
      </c>
    </row>
    <row r="4120" spans="2:3" x14ac:dyDescent="0.3">
      <c r="B4120" s="171">
        <v>40781</v>
      </c>
      <c r="C4120" s="60">
        <v>1059.55</v>
      </c>
    </row>
    <row r="4121" spans="2:3" x14ac:dyDescent="0.3">
      <c r="B4121" s="171">
        <v>40780</v>
      </c>
      <c r="C4121" s="60">
        <v>1068.2</v>
      </c>
    </row>
    <row r="4122" spans="2:3" x14ac:dyDescent="0.3">
      <c r="B4122" s="171">
        <v>40779</v>
      </c>
      <c r="C4122" s="60">
        <v>1067.6500000000001</v>
      </c>
    </row>
    <row r="4123" spans="2:3" x14ac:dyDescent="0.3">
      <c r="B4123" s="171">
        <v>40778</v>
      </c>
      <c r="C4123" s="60">
        <v>1060.5999999999999</v>
      </c>
    </row>
    <row r="4124" spans="2:3" x14ac:dyDescent="0.3">
      <c r="B4124" s="171">
        <v>40777</v>
      </c>
      <c r="C4124" s="60">
        <v>1021.9</v>
      </c>
    </row>
    <row r="4125" spans="2:3" x14ac:dyDescent="0.3">
      <c r="B4125" s="171">
        <v>40774</v>
      </c>
      <c r="C4125" s="53">
        <v>987.95</v>
      </c>
    </row>
    <row r="4126" spans="2:3" x14ac:dyDescent="0.3">
      <c r="B4126" s="171">
        <v>40773</v>
      </c>
      <c r="C4126" s="53">
        <v>985.35</v>
      </c>
    </row>
    <row r="4127" spans="2:3" x14ac:dyDescent="0.3">
      <c r="B4127" s="171">
        <v>40772</v>
      </c>
      <c r="C4127" s="60">
        <v>1010.6</v>
      </c>
    </row>
    <row r="4128" spans="2:3" x14ac:dyDescent="0.3">
      <c r="B4128" s="171">
        <v>40771</v>
      </c>
      <c r="C4128" s="60">
        <v>1022.7</v>
      </c>
    </row>
    <row r="4129" spans="2:3" x14ac:dyDescent="0.3">
      <c r="B4129" s="171">
        <v>40767</v>
      </c>
      <c r="C4129" s="60">
        <v>1019.95</v>
      </c>
    </row>
    <row r="4130" spans="2:3" x14ac:dyDescent="0.3">
      <c r="B4130" s="171">
        <v>40766</v>
      </c>
      <c r="C4130" s="60">
        <v>1024.95</v>
      </c>
    </row>
    <row r="4131" spans="2:3" x14ac:dyDescent="0.3">
      <c r="B4131" s="171">
        <v>40765</v>
      </c>
      <c r="C4131" s="60">
        <v>1017.2</v>
      </c>
    </row>
    <row r="4132" spans="2:3" x14ac:dyDescent="0.3">
      <c r="B4132" s="171">
        <v>40764</v>
      </c>
      <c r="C4132" s="53">
        <v>987.45</v>
      </c>
    </row>
    <row r="4133" spans="2:3" x14ac:dyDescent="0.3">
      <c r="B4133" s="171">
        <v>40763</v>
      </c>
      <c r="C4133" s="53">
        <v>966.2</v>
      </c>
    </row>
    <row r="4134" spans="2:3" x14ac:dyDescent="0.3">
      <c r="B4134" s="171">
        <v>40760</v>
      </c>
      <c r="C4134" s="60">
        <v>1000.45</v>
      </c>
    </row>
    <row r="4135" spans="2:3" x14ac:dyDescent="0.3">
      <c r="B4135" s="171">
        <v>40759</v>
      </c>
      <c r="C4135" s="60">
        <v>1018.7</v>
      </c>
    </row>
    <row r="4136" spans="2:3" x14ac:dyDescent="0.3">
      <c r="B4136" s="171">
        <v>40758</v>
      </c>
      <c r="C4136" s="60">
        <v>1027.9000000000001</v>
      </c>
    </row>
    <row r="4137" spans="2:3" x14ac:dyDescent="0.3">
      <c r="B4137" s="171">
        <v>40757</v>
      </c>
      <c r="C4137" s="60">
        <v>1029.3</v>
      </c>
    </row>
    <row r="4138" spans="2:3" x14ac:dyDescent="0.3">
      <c r="B4138" s="171">
        <v>40756</v>
      </c>
      <c r="C4138" s="60">
        <v>1028.8499999999999</v>
      </c>
    </row>
    <row r="4139" spans="2:3" x14ac:dyDescent="0.3">
      <c r="B4139" s="171">
        <v>40753</v>
      </c>
      <c r="C4139" s="60">
        <v>1029.45</v>
      </c>
    </row>
    <row r="4140" spans="2:3" x14ac:dyDescent="0.3">
      <c r="B4140" s="171">
        <v>40752</v>
      </c>
      <c r="C4140" s="60">
        <v>1026</v>
      </c>
    </row>
    <row r="4141" spans="2:3" x14ac:dyDescent="0.3">
      <c r="B4141" s="171">
        <v>40751</v>
      </c>
      <c r="C4141" s="60">
        <v>1027</v>
      </c>
    </row>
    <row r="4142" spans="2:3" x14ac:dyDescent="0.3">
      <c r="B4142" s="171">
        <v>40750</v>
      </c>
      <c r="C4142" s="60">
        <v>1003.55</v>
      </c>
    </row>
    <row r="4143" spans="2:3" x14ac:dyDescent="0.3">
      <c r="B4143" s="171">
        <v>40749</v>
      </c>
      <c r="C4143" s="60">
        <v>1000.2</v>
      </c>
    </row>
    <row r="4144" spans="2:3" x14ac:dyDescent="0.3">
      <c r="B4144" s="171">
        <v>40746</v>
      </c>
      <c r="C4144" s="60">
        <v>1003.3</v>
      </c>
    </row>
    <row r="4145" spans="2:3" x14ac:dyDescent="0.3">
      <c r="B4145" s="171">
        <v>40745</v>
      </c>
      <c r="C4145" s="53">
        <v>973.1</v>
      </c>
    </row>
    <row r="4146" spans="2:3" x14ac:dyDescent="0.3">
      <c r="B4146" s="171">
        <v>40744</v>
      </c>
      <c r="C4146" s="53">
        <v>985.3</v>
      </c>
    </row>
    <row r="4147" spans="2:3" x14ac:dyDescent="0.3">
      <c r="B4147" s="171">
        <v>40743</v>
      </c>
      <c r="C4147" s="53">
        <v>997.1</v>
      </c>
    </row>
    <row r="4148" spans="2:3" x14ac:dyDescent="0.3">
      <c r="B4148" s="171">
        <v>40742</v>
      </c>
      <c r="C4148" s="53">
        <v>996.85</v>
      </c>
    </row>
    <row r="4149" spans="2:3" x14ac:dyDescent="0.3">
      <c r="B4149" s="171">
        <v>40739</v>
      </c>
      <c r="C4149" s="53">
        <v>998.45</v>
      </c>
    </row>
    <row r="4150" spans="2:3" x14ac:dyDescent="0.3">
      <c r="B4150" s="171">
        <v>40738</v>
      </c>
      <c r="C4150" s="53">
        <v>993</v>
      </c>
    </row>
    <row r="4151" spans="2:3" x14ac:dyDescent="0.3">
      <c r="B4151" s="171">
        <v>40737</v>
      </c>
      <c r="C4151" s="53">
        <v>991.85</v>
      </c>
    </row>
    <row r="4152" spans="2:3" x14ac:dyDescent="0.3">
      <c r="B4152" s="171">
        <v>40736</v>
      </c>
      <c r="C4152" s="53">
        <v>977.8</v>
      </c>
    </row>
    <row r="4153" spans="2:3" x14ac:dyDescent="0.3">
      <c r="B4153" s="171">
        <v>40735</v>
      </c>
      <c r="C4153" s="53">
        <v>978.55</v>
      </c>
    </row>
    <row r="4154" spans="2:3" x14ac:dyDescent="0.3">
      <c r="B4154" s="171">
        <v>40732</v>
      </c>
      <c r="C4154" s="53">
        <v>981.65</v>
      </c>
    </row>
    <row r="4155" spans="2:3" x14ac:dyDescent="0.3">
      <c r="B4155" s="171">
        <v>40731</v>
      </c>
      <c r="C4155" s="53">
        <v>984.8</v>
      </c>
    </row>
    <row r="4156" spans="2:3" x14ac:dyDescent="0.3">
      <c r="B4156" s="171">
        <v>40730</v>
      </c>
      <c r="C4156" s="53">
        <v>961.05</v>
      </c>
    </row>
    <row r="4157" spans="2:3" x14ac:dyDescent="0.3">
      <c r="B4157" s="171">
        <v>40729</v>
      </c>
      <c r="C4157" s="53">
        <v>963.2</v>
      </c>
    </row>
    <row r="4158" spans="2:3" x14ac:dyDescent="0.3">
      <c r="B4158" s="171">
        <v>40728</v>
      </c>
      <c r="C4158" s="53">
        <v>949.85</v>
      </c>
    </row>
    <row r="4159" spans="2:3" x14ac:dyDescent="0.3">
      <c r="B4159" s="171">
        <v>40725</v>
      </c>
      <c r="C4159" s="53">
        <v>936.05</v>
      </c>
    </row>
    <row r="4160" spans="2:3" x14ac:dyDescent="0.3">
      <c r="B4160" s="171">
        <v>40724</v>
      </c>
      <c r="C4160" s="53">
        <v>929.9</v>
      </c>
    </row>
    <row r="4161" spans="2:3" x14ac:dyDescent="0.3">
      <c r="B4161" s="171">
        <v>40723</v>
      </c>
      <c r="C4161" s="53">
        <v>956.7</v>
      </c>
    </row>
    <row r="4162" spans="2:3" x14ac:dyDescent="0.3">
      <c r="B4162" s="171">
        <v>40722</v>
      </c>
      <c r="C4162" s="53">
        <v>961.85</v>
      </c>
    </row>
    <row r="4163" spans="2:3" x14ac:dyDescent="0.3">
      <c r="B4163" s="171">
        <v>40721</v>
      </c>
      <c r="C4163" s="53">
        <v>961.9</v>
      </c>
    </row>
    <row r="4164" spans="2:3" x14ac:dyDescent="0.3">
      <c r="B4164" s="171">
        <v>40718</v>
      </c>
      <c r="C4164" s="53">
        <v>957.7</v>
      </c>
    </row>
    <row r="4165" spans="2:3" x14ac:dyDescent="0.3">
      <c r="B4165" s="171">
        <v>40717</v>
      </c>
      <c r="C4165" s="53">
        <v>956.95</v>
      </c>
    </row>
    <row r="4166" spans="2:3" x14ac:dyDescent="0.3">
      <c r="B4166" s="171">
        <v>40716</v>
      </c>
      <c r="C4166" s="53">
        <v>972.05</v>
      </c>
    </row>
    <row r="4167" spans="2:3" x14ac:dyDescent="0.3">
      <c r="B4167" s="171">
        <v>40715</v>
      </c>
      <c r="C4167" s="53">
        <v>967.85</v>
      </c>
    </row>
    <row r="4168" spans="2:3" x14ac:dyDescent="0.3">
      <c r="B4168" s="171">
        <v>40714</v>
      </c>
      <c r="C4168" s="53">
        <v>945.2</v>
      </c>
    </row>
    <row r="4169" spans="2:3" x14ac:dyDescent="0.3">
      <c r="B4169" s="171">
        <v>40711</v>
      </c>
      <c r="C4169" s="53">
        <v>963.85</v>
      </c>
    </row>
    <row r="4170" spans="2:3" x14ac:dyDescent="0.3">
      <c r="B4170" s="171">
        <v>40710</v>
      </c>
      <c r="C4170" s="60">
        <v>1006.95</v>
      </c>
    </row>
    <row r="4171" spans="2:3" x14ac:dyDescent="0.3">
      <c r="B4171" s="171">
        <v>40709</v>
      </c>
      <c r="C4171" s="60">
        <v>1033.2</v>
      </c>
    </row>
    <row r="4172" spans="2:3" x14ac:dyDescent="0.3">
      <c r="B4172" s="171">
        <v>40708</v>
      </c>
      <c r="C4172" s="60">
        <v>1048.4000000000001</v>
      </c>
    </row>
    <row r="4173" spans="2:3" x14ac:dyDescent="0.3">
      <c r="B4173" s="171">
        <v>40707</v>
      </c>
      <c r="C4173" s="60">
        <v>1026.6500000000001</v>
      </c>
    </row>
    <row r="4174" spans="2:3" x14ac:dyDescent="0.3">
      <c r="B4174" s="171">
        <v>40704</v>
      </c>
      <c r="C4174" s="60">
        <v>1023.4</v>
      </c>
    </row>
    <row r="4175" spans="2:3" x14ac:dyDescent="0.3">
      <c r="B4175" s="171">
        <v>40703</v>
      </c>
      <c r="C4175" s="60">
        <v>1040.2</v>
      </c>
    </row>
    <row r="4176" spans="2:3" x14ac:dyDescent="0.3">
      <c r="B4176" s="171">
        <v>40702</v>
      </c>
      <c r="C4176" s="60">
        <v>1030.3</v>
      </c>
    </row>
    <row r="4177" spans="2:3" x14ac:dyDescent="0.3">
      <c r="B4177" s="171">
        <v>40701</v>
      </c>
      <c r="C4177" s="60">
        <v>1019.8</v>
      </c>
    </row>
    <row r="4178" spans="2:3" x14ac:dyDescent="0.3">
      <c r="B4178" s="171">
        <v>40700</v>
      </c>
      <c r="C4178" s="60">
        <v>1014.2</v>
      </c>
    </row>
    <row r="4179" spans="2:3" x14ac:dyDescent="0.3">
      <c r="B4179" s="171">
        <v>40697</v>
      </c>
      <c r="C4179" s="60">
        <v>1029.95</v>
      </c>
    </row>
    <row r="4180" spans="2:3" x14ac:dyDescent="0.3">
      <c r="B4180" s="171">
        <v>40696</v>
      </c>
      <c r="C4180" s="60">
        <v>1041.3</v>
      </c>
    </row>
    <row r="4181" spans="2:3" x14ac:dyDescent="0.3">
      <c r="B4181" s="171">
        <v>40695</v>
      </c>
      <c r="C4181" s="60">
        <v>1035.7</v>
      </c>
    </row>
    <row r="4182" spans="2:3" x14ac:dyDescent="0.3">
      <c r="B4182" s="171">
        <v>40694</v>
      </c>
      <c r="C4182" s="60">
        <v>1025.5999999999999</v>
      </c>
    </row>
    <row r="4183" spans="2:3" x14ac:dyDescent="0.3">
      <c r="B4183" s="171">
        <v>40693</v>
      </c>
      <c r="C4183" s="60">
        <v>1018.15</v>
      </c>
    </row>
    <row r="4184" spans="2:3" x14ac:dyDescent="0.3">
      <c r="B4184" s="171">
        <v>40690</v>
      </c>
      <c r="C4184" s="60">
        <v>1034.55</v>
      </c>
    </row>
    <row r="4185" spans="2:3" x14ac:dyDescent="0.3">
      <c r="B4185" s="171">
        <v>40689</v>
      </c>
      <c r="C4185" s="60">
        <v>1025.55</v>
      </c>
    </row>
    <row r="4186" spans="2:3" x14ac:dyDescent="0.3">
      <c r="B4186" s="171">
        <v>40688</v>
      </c>
      <c r="C4186" s="60">
        <v>1023.25</v>
      </c>
    </row>
    <row r="4187" spans="2:3" x14ac:dyDescent="0.3">
      <c r="B4187" s="171">
        <v>40687</v>
      </c>
      <c r="C4187" s="60">
        <v>1026.3</v>
      </c>
    </row>
    <row r="4188" spans="2:3" x14ac:dyDescent="0.3">
      <c r="B4188" s="171">
        <v>40686</v>
      </c>
      <c r="C4188" s="60">
        <v>1033.3</v>
      </c>
    </row>
    <row r="4189" spans="2:3" x14ac:dyDescent="0.3">
      <c r="B4189" s="171">
        <v>40683</v>
      </c>
      <c r="C4189" s="60">
        <v>1033.9000000000001</v>
      </c>
    </row>
    <row r="4190" spans="2:3" x14ac:dyDescent="0.3">
      <c r="B4190" s="171">
        <v>40682</v>
      </c>
      <c r="C4190" s="60">
        <v>1025.3</v>
      </c>
    </row>
    <row r="4191" spans="2:3" x14ac:dyDescent="0.3">
      <c r="B4191" s="171">
        <v>40681</v>
      </c>
      <c r="C4191" s="60">
        <v>1036.0999999999999</v>
      </c>
    </row>
    <row r="4192" spans="2:3" x14ac:dyDescent="0.3">
      <c r="B4192" s="171">
        <v>40680</v>
      </c>
      <c r="C4192" s="60">
        <v>1038.95</v>
      </c>
    </row>
    <row r="4193" spans="2:3" x14ac:dyDescent="0.3">
      <c r="B4193" s="171">
        <v>40679</v>
      </c>
      <c r="C4193" s="60">
        <v>1047.9000000000001</v>
      </c>
    </row>
    <row r="4194" spans="2:3" x14ac:dyDescent="0.3">
      <c r="B4194" s="171">
        <v>40676</v>
      </c>
      <c r="C4194" s="60">
        <v>1050.8499999999999</v>
      </c>
    </row>
    <row r="4195" spans="2:3" x14ac:dyDescent="0.3">
      <c r="B4195" s="171">
        <v>40675</v>
      </c>
      <c r="C4195" s="60">
        <v>1032.3499999999999</v>
      </c>
    </row>
    <row r="4196" spans="2:3" x14ac:dyDescent="0.3">
      <c r="B4196" s="171">
        <v>40674</v>
      </c>
      <c r="C4196" s="60">
        <v>1048.7</v>
      </c>
    </row>
    <row r="4197" spans="2:3" x14ac:dyDescent="0.3">
      <c r="B4197" s="171">
        <v>40673</v>
      </c>
      <c r="C4197" s="60">
        <v>1049.8</v>
      </c>
    </row>
    <row r="4198" spans="2:3" x14ac:dyDescent="0.3">
      <c r="B4198" s="171">
        <v>40672</v>
      </c>
      <c r="C4198" s="60">
        <v>1038.6500000000001</v>
      </c>
    </row>
    <row r="4199" spans="2:3" x14ac:dyDescent="0.3">
      <c r="B4199" s="171">
        <v>40669</v>
      </c>
      <c r="C4199" s="60">
        <v>1045.5999999999999</v>
      </c>
    </row>
    <row r="4200" spans="2:3" x14ac:dyDescent="0.3">
      <c r="B4200" s="171">
        <v>40668</v>
      </c>
      <c r="C4200" s="60">
        <v>1007.6</v>
      </c>
    </row>
    <row r="4201" spans="2:3" x14ac:dyDescent="0.3">
      <c r="B4201" s="171">
        <v>40667</v>
      </c>
      <c r="C4201" s="60">
        <v>1015.1</v>
      </c>
    </row>
    <row r="4202" spans="2:3" x14ac:dyDescent="0.3">
      <c r="B4202" s="171">
        <v>40666</v>
      </c>
      <c r="C4202" s="60">
        <v>1033.1500000000001</v>
      </c>
    </row>
    <row r="4203" spans="2:3" x14ac:dyDescent="0.3">
      <c r="B4203" s="171">
        <v>40665</v>
      </c>
      <c r="C4203" s="60">
        <v>1064.05</v>
      </c>
    </row>
    <row r="4204" spans="2:3" x14ac:dyDescent="0.3">
      <c r="B4204" s="171">
        <v>40662</v>
      </c>
      <c r="C4204" s="60">
        <v>1089.1500000000001</v>
      </c>
    </row>
    <row r="4205" spans="2:3" x14ac:dyDescent="0.3">
      <c r="B4205" s="171">
        <v>40661</v>
      </c>
      <c r="C4205" s="60">
        <v>1065.6500000000001</v>
      </c>
    </row>
    <row r="4206" spans="2:3" x14ac:dyDescent="0.3">
      <c r="B4206" s="171">
        <v>40660</v>
      </c>
      <c r="C4206" s="60">
        <v>1060.1500000000001</v>
      </c>
    </row>
    <row r="4207" spans="2:3" x14ac:dyDescent="0.3">
      <c r="B4207" s="171">
        <v>40659</v>
      </c>
      <c r="C4207" s="60">
        <v>1058.75</v>
      </c>
    </row>
    <row r="4208" spans="2:3" x14ac:dyDescent="0.3">
      <c r="B4208" s="171">
        <v>40658</v>
      </c>
      <c r="C4208" s="60">
        <v>1035.8</v>
      </c>
    </row>
    <row r="4209" spans="2:3" x14ac:dyDescent="0.3">
      <c r="B4209" s="171">
        <v>40654</v>
      </c>
      <c r="C4209" s="60">
        <v>1011.65</v>
      </c>
    </row>
    <row r="4210" spans="2:3" x14ac:dyDescent="0.3">
      <c r="B4210" s="171">
        <v>40653</v>
      </c>
      <c r="C4210" s="60">
        <v>1019.35</v>
      </c>
    </row>
    <row r="4211" spans="2:3" x14ac:dyDescent="0.3">
      <c r="B4211" s="171">
        <v>40652</v>
      </c>
      <c r="C4211" s="60">
        <v>1032.5</v>
      </c>
    </row>
    <row r="4212" spans="2:3" x14ac:dyDescent="0.3">
      <c r="B4212" s="171">
        <v>40651</v>
      </c>
      <c r="C4212" s="60">
        <v>1045.7</v>
      </c>
    </row>
    <row r="4213" spans="2:3" x14ac:dyDescent="0.3">
      <c r="B4213" s="171">
        <v>40648</v>
      </c>
      <c r="C4213" s="60">
        <v>1070.55</v>
      </c>
    </row>
    <row r="4214" spans="2:3" x14ac:dyDescent="0.3">
      <c r="B4214" s="171">
        <v>40646</v>
      </c>
      <c r="C4214" s="60">
        <v>1086.45</v>
      </c>
    </row>
    <row r="4215" spans="2:3" x14ac:dyDescent="0.3">
      <c r="B4215" s="171">
        <v>40644</v>
      </c>
      <c r="C4215" s="60">
        <v>1079.5</v>
      </c>
    </row>
    <row r="4216" spans="2:3" x14ac:dyDescent="0.3">
      <c r="B4216" s="171">
        <v>40641</v>
      </c>
      <c r="C4216" s="60">
        <v>1091.8</v>
      </c>
    </row>
    <row r="4217" spans="2:3" x14ac:dyDescent="0.3">
      <c r="B4217" s="171">
        <v>40640</v>
      </c>
      <c r="C4217" s="60">
        <v>1100.5999999999999</v>
      </c>
    </row>
    <row r="4218" spans="2:3" x14ac:dyDescent="0.3">
      <c r="B4218" s="171">
        <v>40639</v>
      </c>
      <c r="C4218" s="60">
        <v>1118.1500000000001</v>
      </c>
    </row>
    <row r="4219" spans="2:3" x14ac:dyDescent="0.3">
      <c r="B4219" s="171">
        <v>40638</v>
      </c>
      <c r="C4219" s="60">
        <v>1133.75</v>
      </c>
    </row>
    <row r="4220" spans="2:3" x14ac:dyDescent="0.3">
      <c r="B4220" s="171">
        <v>40637</v>
      </c>
      <c r="C4220" s="60">
        <v>1119.5999999999999</v>
      </c>
    </row>
    <row r="4221" spans="2:3" x14ac:dyDescent="0.3">
      <c r="B4221" s="171">
        <v>40634</v>
      </c>
      <c r="C4221" s="60">
        <v>1111.25</v>
      </c>
    </row>
    <row r="4222" spans="2:3" x14ac:dyDescent="0.3">
      <c r="B4222" s="171">
        <v>40633</v>
      </c>
      <c r="C4222" s="60">
        <v>1131.5</v>
      </c>
    </row>
    <row r="4223" spans="2:3" x14ac:dyDescent="0.3">
      <c r="B4223" s="171">
        <v>40632</v>
      </c>
      <c r="C4223" s="60">
        <v>1125.7</v>
      </c>
    </row>
    <row r="4224" spans="2:3" x14ac:dyDescent="0.3">
      <c r="B4224" s="171">
        <v>40631</v>
      </c>
      <c r="C4224" s="60">
        <v>1088.9000000000001</v>
      </c>
    </row>
    <row r="4225" spans="2:3" x14ac:dyDescent="0.3">
      <c r="B4225" s="171">
        <v>40630</v>
      </c>
      <c r="C4225" s="60">
        <v>1069.6500000000001</v>
      </c>
    </row>
    <row r="4226" spans="2:3" x14ac:dyDescent="0.3">
      <c r="B4226" s="171">
        <v>40627</v>
      </c>
      <c r="C4226" s="60">
        <v>1050.45</v>
      </c>
    </row>
    <row r="4227" spans="2:3" x14ac:dyDescent="0.3">
      <c r="B4227" s="171">
        <v>40626</v>
      </c>
      <c r="C4227" s="60">
        <v>1032.8499999999999</v>
      </c>
    </row>
    <row r="4228" spans="2:3" x14ac:dyDescent="0.3">
      <c r="B4228" s="171">
        <v>40625</v>
      </c>
      <c r="C4228" s="60">
        <v>1021.55</v>
      </c>
    </row>
    <row r="4229" spans="2:3" x14ac:dyDescent="0.3">
      <c r="B4229" s="171">
        <v>40624</v>
      </c>
      <c r="C4229" s="60">
        <v>1022.05</v>
      </c>
    </row>
    <row r="4230" spans="2:3" x14ac:dyDescent="0.3">
      <c r="B4230" s="171">
        <v>40623</v>
      </c>
      <c r="C4230" s="60">
        <v>1017.2</v>
      </c>
    </row>
    <row r="4231" spans="2:3" x14ac:dyDescent="0.3">
      <c r="B4231" s="171">
        <v>40620</v>
      </c>
      <c r="C4231" s="60">
        <v>1036.75</v>
      </c>
    </row>
    <row r="4232" spans="2:3" x14ac:dyDescent="0.3">
      <c r="B4232" s="171">
        <v>40619</v>
      </c>
      <c r="C4232" s="60">
        <v>1023.6</v>
      </c>
    </row>
    <row r="4233" spans="2:3" x14ac:dyDescent="0.3">
      <c r="B4233" s="171">
        <v>40618</v>
      </c>
      <c r="C4233" s="60">
        <v>1027.1500000000001</v>
      </c>
    </row>
    <row r="4234" spans="2:3" x14ac:dyDescent="0.3">
      <c r="B4234" s="171">
        <v>40617</v>
      </c>
      <c r="C4234" s="60">
        <v>1019.5</v>
      </c>
    </row>
    <row r="4235" spans="2:3" x14ac:dyDescent="0.3">
      <c r="B4235" s="171">
        <v>40616</v>
      </c>
      <c r="C4235" s="60">
        <v>1030.4000000000001</v>
      </c>
    </row>
    <row r="4236" spans="2:3" x14ac:dyDescent="0.3">
      <c r="B4236" s="171">
        <v>40613</v>
      </c>
      <c r="C4236" s="60">
        <v>1014.75</v>
      </c>
    </row>
    <row r="4237" spans="2:3" x14ac:dyDescent="0.3">
      <c r="B4237" s="171">
        <v>40612</v>
      </c>
      <c r="C4237" s="60">
        <v>1017.65</v>
      </c>
    </row>
    <row r="4238" spans="2:3" x14ac:dyDescent="0.3">
      <c r="B4238" s="171">
        <v>40611</v>
      </c>
      <c r="C4238" s="60">
        <v>1020</v>
      </c>
    </row>
    <row r="4239" spans="2:3" x14ac:dyDescent="0.3">
      <c r="B4239" s="171">
        <v>40610</v>
      </c>
      <c r="C4239" s="60">
        <v>1025.05</v>
      </c>
    </row>
    <row r="4240" spans="2:3" x14ac:dyDescent="0.3">
      <c r="B4240" s="171">
        <v>40609</v>
      </c>
      <c r="C4240" s="60">
        <v>1008.7</v>
      </c>
    </row>
    <row r="4241" spans="2:3" x14ac:dyDescent="0.3">
      <c r="B4241" s="171">
        <v>40606</v>
      </c>
      <c r="C4241" s="60">
        <v>1009.75</v>
      </c>
    </row>
    <row r="4242" spans="2:3" x14ac:dyDescent="0.3">
      <c r="B4242" s="171">
        <v>40605</v>
      </c>
      <c r="C4242" s="53">
        <v>973.95</v>
      </c>
    </row>
    <row r="4243" spans="2:3" x14ac:dyDescent="0.3">
      <c r="B4243" s="171">
        <v>40603</v>
      </c>
      <c r="C4243" s="53">
        <v>955.85</v>
      </c>
    </row>
    <row r="4244" spans="2:3" x14ac:dyDescent="0.3">
      <c r="B4244" s="171">
        <v>40602</v>
      </c>
      <c r="C4244" s="53">
        <v>930.8</v>
      </c>
    </row>
    <row r="4245" spans="2:3" x14ac:dyDescent="0.3">
      <c r="B4245" s="171">
        <v>40599</v>
      </c>
      <c r="C4245" s="53">
        <v>959.2</v>
      </c>
    </row>
    <row r="4246" spans="2:3" x14ac:dyDescent="0.3">
      <c r="B4246" s="171">
        <v>40598</v>
      </c>
      <c r="C4246" s="53">
        <v>967.15</v>
      </c>
    </row>
    <row r="4247" spans="2:3" x14ac:dyDescent="0.3">
      <c r="B4247" s="171">
        <v>40597</v>
      </c>
      <c r="C4247" s="53">
        <v>968.9</v>
      </c>
    </row>
    <row r="4248" spans="2:3" x14ac:dyDescent="0.3">
      <c r="B4248" s="171">
        <v>40596</v>
      </c>
      <c r="C4248" s="53">
        <v>956.35</v>
      </c>
    </row>
    <row r="4249" spans="2:3" x14ac:dyDescent="0.3">
      <c r="B4249" s="171">
        <v>40595</v>
      </c>
      <c r="C4249" s="53">
        <v>961.25</v>
      </c>
    </row>
    <row r="4250" spans="2:3" x14ac:dyDescent="0.3">
      <c r="B4250" s="171">
        <v>40592</v>
      </c>
      <c r="C4250" s="53">
        <v>946.1</v>
      </c>
    </row>
    <row r="4251" spans="2:3" x14ac:dyDescent="0.3">
      <c r="B4251" s="171">
        <v>40591</v>
      </c>
      <c r="C4251" s="53">
        <v>939.85</v>
      </c>
    </row>
    <row r="4252" spans="2:3" x14ac:dyDescent="0.3">
      <c r="B4252" s="171">
        <v>40590</v>
      </c>
      <c r="C4252" s="53">
        <v>938.45</v>
      </c>
    </row>
    <row r="4253" spans="2:3" x14ac:dyDescent="0.3">
      <c r="B4253" s="171">
        <v>40589</v>
      </c>
      <c r="C4253" s="53">
        <v>946</v>
      </c>
    </row>
    <row r="4254" spans="2:3" x14ac:dyDescent="0.3">
      <c r="B4254" s="171">
        <v>40588</v>
      </c>
      <c r="C4254" s="53">
        <v>936.4</v>
      </c>
    </row>
    <row r="4255" spans="2:3" x14ac:dyDescent="0.3">
      <c r="B4255" s="171">
        <v>40585</v>
      </c>
      <c r="C4255" s="53">
        <v>914.8</v>
      </c>
    </row>
    <row r="4256" spans="2:3" x14ac:dyDescent="0.3">
      <c r="B4256" s="171">
        <v>40584</v>
      </c>
      <c r="C4256" s="53">
        <v>917.3</v>
      </c>
    </row>
    <row r="4257" spans="2:3" x14ac:dyDescent="0.3">
      <c r="B4257" s="171">
        <v>40583</v>
      </c>
      <c r="C4257" s="53">
        <v>897.25</v>
      </c>
    </row>
    <row r="4258" spans="2:3" x14ac:dyDescent="0.3">
      <c r="B4258" s="171">
        <v>40582</v>
      </c>
      <c r="C4258" s="53">
        <v>953.4</v>
      </c>
    </row>
    <row r="4259" spans="2:3" x14ac:dyDescent="0.3">
      <c r="B4259" s="171">
        <v>40581</v>
      </c>
      <c r="C4259" s="53">
        <v>993.35</v>
      </c>
    </row>
    <row r="4260" spans="2:3" x14ac:dyDescent="0.3">
      <c r="B4260" s="171">
        <v>40578</v>
      </c>
      <c r="C4260" s="60">
        <v>1006.85</v>
      </c>
    </row>
    <row r="4261" spans="2:3" x14ac:dyDescent="0.3">
      <c r="B4261" s="171">
        <v>40577</v>
      </c>
      <c r="C4261" s="60">
        <v>1005.3</v>
      </c>
    </row>
    <row r="4262" spans="2:3" x14ac:dyDescent="0.3">
      <c r="B4262" s="171">
        <v>40576</v>
      </c>
      <c r="C4262" s="53">
        <v>999.85</v>
      </c>
    </row>
    <row r="4263" spans="2:3" x14ac:dyDescent="0.3">
      <c r="B4263" s="171">
        <v>40575</v>
      </c>
      <c r="C4263" s="53">
        <v>996.1</v>
      </c>
    </row>
    <row r="4264" spans="2:3" x14ac:dyDescent="0.3">
      <c r="B4264" s="171">
        <v>40574</v>
      </c>
      <c r="C4264" s="60">
        <v>1002.8</v>
      </c>
    </row>
    <row r="4265" spans="2:3" x14ac:dyDescent="0.3">
      <c r="B4265" s="171">
        <v>40571</v>
      </c>
      <c r="C4265" s="53">
        <v>997.9</v>
      </c>
    </row>
    <row r="4266" spans="2:3" x14ac:dyDescent="0.3">
      <c r="B4266" s="171">
        <v>40570</v>
      </c>
      <c r="C4266" s="60">
        <v>1004.85</v>
      </c>
    </row>
    <row r="4267" spans="2:3" x14ac:dyDescent="0.3">
      <c r="B4267" s="171">
        <v>40568</v>
      </c>
      <c r="C4267" s="60">
        <v>1023.1</v>
      </c>
    </row>
    <row r="4268" spans="2:3" x14ac:dyDescent="0.3">
      <c r="B4268" s="171">
        <v>40567</v>
      </c>
      <c r="C4268" s="60">
        <v>1017.75</v>
      </c>
    </row>
    <row r="4269" spans="2:3" x14ac:dyDescent="0.3">
      <c r="B4269" s="171">
        <v>40564</v>
      </c>
      <c r="C4269" s="60">
        <v>1024</v>
      </c>
    </row>
    <row r="4270" spans="2:3" x14ac:dyDescent="0.3">
      <c r="B4270" s="171">
        <v>40563</v>
      </c>
      <c r="C4270" s="60">
        <v>1033.8</v>
      </c>
    </row>
    <row r="4271" spans="2:3" x14ac:dyDescent="0.3">
      <c r="B4271" s="171">
        <v>40562</v>
      </c>
      <c r="C4271" s="60">
        <v>1014.4</v>
      </c>
    </row>
    <row r="4272" spans="2:3" x14ac:dyDescent="0.3">
      <c r="B4272" s="171">
        <v>40561</v>
      </c>
      <c r="C4272" s="60">
        <v>1019.25</v>
      </c>
    </row>
    <row r="4273" spans="2:3" x14ac:dyDescent="0.3">
      <c r="B4273" s="171">
        <v>40560</v>
      </c>
      <c r="C4273" s="60">
        <v>1010.75</v>
      </c>
    </row>
    <row r="4274" spans="2:3" x14ac:dyDescent="0.3">
      <c r="B4274" s="171">
        <v>40557</v>
      </c>
      <c r="C4274" s="60">
        <v>1020.7</v>
      </c>
    </row>
    <row r="4275" spans="2:3" x14ac:dyDescent="0.3">
      <c r="B4275" s="171">
        <v>40556</v>
      </c>
      <c r="C4275" s="60">
        <v>1038.6500000000001</v>
      </c>
    </row>
    <row r="4276" spans="2:3" x14ac:dyDescent="0.3">
      <c r="B4276" s="171">
        <v>40555</v>
      </c>
      <c r="C4276" s="60">
        <v>1007.7</v>
      </c>
    </row>
    <row r="4277" spans="2:3" x14ac:dyDescent="0.3">
      <c r="B4277" s="171">
        <v>40554</v>
      </c>
      <c r="C4277" s="60">
        <v>1013.7</v>
      </c>
    </row>
    <row r="4278" spans="2:3" x14ac:dyDescent="0.3">
      <c r="B4278" s="171">
        <v>40553</v>
      </c>
      <c r="C4278" s="53">
        <v>995.45</v>
      </c>
    </row>
    <row r="4279" spans="2:3" x14ac:dyDescent="0.3">
      <c r="B4279" s="171">
        <v>40550</v>
      </c>
      <c r="C4279" s="53">
        <v>987.75</v>
      </c>
    </row>
    <row r="4280" spans="2:3" x14ac:dyDescent="0.3">
      <c r="B4280" s="171">
        <v>40549</v>
      </c>
      <c r="C4280" s="60">
        <v>1010.85</v>
      </c>
    </row>
    <row r="4281" spans="2:3" x14ac:dyDescent="0.3">
      <c r="B4281" s="171">
        <v>40548</v>
      </c>
      <c r="C4281" s="60">
        <v>1072.55</v>
      </c>
    </row>
    <row r="4282" spans="2:3" x14ac:dyDescent="0.3">
      <c r="B4282" s="171">
        <v>40547</v>
      </c>
      <c r="C4282" s="60">
        <v>1090.2</v>
      </c>
    </row>
    <row r="4283" spans="2:3" x14ac:dyDescent="0.3">
      <c r="B4283" s="171">
        <v>40546</v>
      </c>
      <c r="C4283" s="60">
        <v>1087.7</v>
      </c>
    </row>
    <row r="4284" spans="2:3" x14ac:dyDescent="0.3">
      <c r="B4284" s="171">
        <v>40543</v>
      </c>
      <c r="C4284" s="60">
        <v>1084.25</v>
      </c>
    </row>
    <row r="4285" spans="2:3" x14ac:dyDescent="0.3">
      <c r="B4285" s="171">
        <v>40542</v>
      </c>
      <c r="C4285" s="60">
        <v>1069.1500000000001</v>
      </c>
    </row>
    <row r="4286" spans="2:3" x14ac:dyDescent="0.3">
      <c r="B4286" s="171">
        <v>40541</v>
      </c>
      <c r="C4286" s="60">
        <v>1070.55</v>
      </c>
    </row>
    <row r="4287" spans="2:3" x14ac:dyDescent="0.3">
      <c r="B4287" s="171">
        <v>40540</v>
      </c>
      <c r="C4287" s="60">
        <v>1054.0999999999999</v>
      </c>
    </row>
    <row r="4288" spans="2:3" x14ac:dyDescent="0.3">
      <c r="B4288" s="171">
        <v>40539</v>
      </c>
      <c r="C4288" s="60">
        <v>1054.5999999999999</v>
      </c>
    </row>
    <row r="4289" spans="2:3" x14ac:dyDescent="0.3">
      <c r="B4289" s="171">
        <v>40536</v>
      </c>
      <c r="C4289" s="60">
        <v>1050.5</v>
      </c>
    </row>
    <row r="4290" spans="2:3" x14ac:dyDescent="0.3">
      <c r="B4290" s="171">
        <v>40535</v>
      </c>
      <c r="C4290" s="60">
        <v>1054.0999999999999</v>
      </c>
    </row>
    <row r="4291" spans="2:3" x14ac:dyDescent="0.3">
      <c r="B4291" s="171">
        <v>40534</v>
      </c>
      <c r="C4291" s="60">
        <v>1063.6500000000001</v>
      </c>
    </row>
    <row r="4292" spans="2:3" x14ac:dyDescent="0.3">
      <c r="B4292" s="171">
        <v>40533</v>
      </c>
      <c r="C4292" s="60">
        <v>1073</v>
      </c>
    </row>
    <row r="4293" spans="2:3" x14ac:dyDescent="0.3">
      <c r="B4293" s="171">
        <v>40532</v>
      </c>
      <c r="C4293" s="60">
        <v>1074.5999999999999</v>
      </c>
    </row>
    <row r="4294" spans="2:3" x14ac:dyDescent="0.3">
      <c r="B4294" s="171">
        <v>40528</v>
      </c>
      <c r="C4294" s="60">
        <v>1060.5</v>
      </c>
    </row>
    <row r="4295" spans="2:3" x14ac:dyDescent="0.3">
      <c r="B4295" s="171">
        <v>40527</v>
      </c>
      <c r="C4295" s="60">
        <v>1053.4000000000001</v>
      </c>
    </row>
    <row r="4296" spans="2:3" x14ac:dyDescent="0.3">
      <c r="B4296" s="171">
        <v>40526</v>
      </c>
      <c r="C4296" s="60">
        <v>1067.5999999999999</v>
      </c>
    </row>
    <row r="4297" spans="2:3" x14ac:dyDescent="0.3">
      <c r="B4297" s="171">
        <v>40525</v>
      </c>
      <c r="C4297" s="60">
        <v>1077.8</v>
      </c>
    </row>
    <row r="4298" spans="2:3" x14ac:dyDescent="0.3">
      <c r="B4298" s="171">
        <v>40522</v>
      </c>
      <c r="C4298" s="60">
        <v>1097.0999999999999</v>
      </c>
    </row>
    <row r="4299" spans="2:3" x14ac:dyDescent="0.3">
      <c r="B4299" s="171">
        <v>40521</v>
      </c>
      <c r="C4299" s="60">
        <v>1082.5</v>
      </c>
    </row>
    <row r="4300" spans="2:3" x14ac:dyDescent="0.3">
      <c r="B4300" s="171">
        <v>40520</v>
      </c>
      <c r="C4300" s="60">
        <v>1100.3</v>
      </c>
    </row>
    <row r="4301" spans="2:3" x14ac:dyDescent="0.3">
      <c r="B4301" s="171">
        <v>40519</v>
      </c>
      <c r="C4301" s="60">
        <v>1123.55</v>
      </c>
    </row>
    <row r="4302" spans="2:3" x14ac:dyDescent="0.3">
      <c r="B4302" s="171">
        <v>40518</v>
      </c>
      <c r="C4302" s="60">
        <v>1111.05</v>
      </c>
    </row>
    <row r="4303" spans="2:3" x14ac:dyDescent="0.3">
      <c r="B4303" s="171">
        <v>40515</v>
      </c>
      <c r="C4303" s="60">
        <v>1110.5</v>
      </c>
    </row>
    <row r="4304" spans="2:3" x14ac:dyDescent="0.3">
      <c r="B4304" s="171">
        <v>40514</v>
      </c>
      <c r="C4304" s="60">
        <v>1090.5</v>
      </c>
    </row>
    <row r="4305" spans="2:3" x14ac:dyDescent="0.3">
      <c r="B4305" s="171">
        <v>40513</v>
      </c>
      <c r="C4305" s="60">
        <v>1148.3</v>
      </c>
    </row>
    <row r="4306" spans="2:3" x14ac:dyDescent="0.3">
      <c r="B4306" s="171">
        <v>40512</v>
      </c>
      <c r="C4306" s="60">
        <v>1137.5999999999999</v>
      </c>
    </row>
    <row r="4307" spans="2:3" x14ac:dyDescent="0.3">
      <c r="B4307" s="171">
        <v>40511</v>
      </c>
      <c r="C4307" s="60">
        <v>1155.2</v>
      </c>
    </row>
    <row r="4308" spans="2:3" x14ac:dyDescent="0.3">
      <c r="B4308" s="171">
        <v>40508</v>
      </c>
      <c r="C4308" s="60">
        <v>1123.55</v>
      </c>
    </row>
    <row r="4309" spans="2:3" x14ac:dyDescent="0.3">
      <c r="B4309" s="171">
        <v>40507</v>
      </c>
      <c r="C4309" s="60">
        <v>1135.6500000000001</v>
      </c>
    </row>
    <row r="4310" spans="2:3" x14ac:dyDescent="0.3">
      <c r="B4310" s="171">
        <v>40506</v>
      </c>
      <c r="C4310" s="60">
        <v>1126.3</v>
      </c>
    </row>
    <row r="4311" spans="2:3" x14ac:dyDescent="0.3">
      <c r="B4311" s="171">
        <v>40505</v>
      </c>
      <c r="C4311" s="60">
        <v>1121.7</v>
      </c>
    </row>
    <row r="4312" spans="2:3" x14ac:dyDescent="0.3">
      <c r="B4312" s="171">
        <v>40504</v>
      </c>
      <c r="C4312" s="60">
        <v>1099.8499999999999</v>
      </c>
    </row>
    <row r="4313" spans="2:3" x14ac:dyDescent="0.3">
      <c r="B4313" s="171">
        <v>40501</v>
      </c>
      <c r="C4313" s="60">
        <v>1097.5999999999999</v>
      </c>
    </row>
    <row r="4314" spans="2:3" x14ac:dyDescent="0.3">
      <c r="B4314" s="171">
        <v>40500</v>
      </c>
      <c r="C4314" s="60">
        <v>1100.05</v>
      </c>
    </row>
    <row r="4315" spans="2:3" x14ac:dyDescent="0.3">
      <c r="B4315" s="171">
        <v>40498</v>
      </c>
      <c r="C4315" s="60">
        <v>1075.8499999999999</v>
      </c>
    </row>
    <row r="4316" spans="2:3" x14ac:dyDescent="0.3">
      <c r="B4316" s="171">
        <v>40497</v>
      </c>
      <c r="C4316" s="60">
        <v>1098.6500000000001</v>
      </c>
    </row>
    <row r="4317" spans="2:3" x14ac:dyDescent="0.3">
      <c r="B4317" s="171">
        <v>40494</v>
      </c>
      <c r="C4317" s="60">
        <v>1103.25</v>
      </c>
    </row>
    <row r="4318" spans="2:3" x14ac:dyDescent="0.3">
      <c r="B4318" s="171">
        <v>40493</v>
      </c>
      <c r="C4318" s="60">
        <v>1134.0999999999999</v>
      </c>
    </row>
    <row r="4319" spans="2:3" x14ac:dyDescent="0.3">
      <c r="B4319" s="171">
        <v>40492</v>
      </c>
      <c r="C4319" s="60">
        <v>1132.25</v>
      </c>
    </row>
    <row r="4320" spans="2:3" x14ac:dyDescent="0.3">
      <c r="B4320" s="171">
        <v>40491</v>
      </c>
      <c r="C4320" s="60">
        <v>1147.55</v>
      </c>
    </row>
    <row r="4321" spans="2:3" x14ac:dyDescent="0.3">
      <c r="B4321" s="171">
        <v>40490</v>
      </c>
      <c r="C4321" s="60">
        <v>1122.55</v>
      </c>
    </row>
    <row r="4322" spans="2:3" x14ac:dyDescent="0.3">
      <c r="B4322" s="171">
        <v>40487</v>
      </c>
      <c r="C4322" s="60">
        <v>1116.8499999999999</v>
      </c>
    </row>
    <row r="4323" spans="2:3" x14ac:dyDescent="0.3">
      <c r="B4323" s="171">
        <v>40486</v>
      </c>
      <c r="C4323" s="60">
        <v>1121.75</v>
      </c>
    </row>
    <row r="4324" spans="2:3" x14ac:dyDescent="0.3">
      <c r="B4324" s="171">
        <v>40485</v>
      </c>
      <c r="C4324" s="60">
        <v>1117.05</v>
      </c>
    </row>
    <row r="4325" spans="2:3" x14ac:dyDescent="0.3">
      <c r="B4325" s="171">
        <v>40484</v>
      </c>
      <c r="C4325" s="60">
        <v>1122.25</v>
      </c>
    </row>
    <row r="4326" spans="2:3" x14ac:dyDescent="0.3">
      <c r="B4326" s="171">
        <v>40483</v>
      </c>
      <c r="C4326" s="60">
        <v>1102.5</v>
      </c>
    </row>
    <row r="4327" spans="2:3" x14ac:dyDescent="0.3">
      <c r="B4327" s="171">
        <v>40480</v>
      </c>
      <c r="C4327" s="60">
        <v>1099.9000000000001</v>
      </c>
    </row>
    <row r="4328" spans="2:3" x14ac:dyDescent="0.3">
      <c r="B4328" s="171">
        <v>40479</v>
      </c>
      <c r="C4328" s="60">
        <v>1092.2</v>
      </c>
    </row>
    <row r="4329" spans="2:3" x14ac:dyDescent="0.3">
      <c r="B4329" s="171">
        <v>40478</v>
      </c>
      <c r="C4329" s="60">
        <v>1099.2</v>
      </c>
    </row>
    <row r="4330" spans="2:3" x14ac:dyDescent="0.3">
      <c r="B4330" s="171">
        <v>40477</v>
      </c>
      <c r="C4330" s="60">
        <v>1100.1500000000001</v>
      </c>
    </row>
    <row r="4331" spans="2:3" x14ac:dyDescent="0.3">
      <c r="B4331" s="171">
        <v>40476</v>
      </c>
      <c r="C4331" s="60">
        <v>1098</v>
      </c>
    </row>
    <row r="4332" spans="2:3" x14ac:dyDescent="0.3">
      <c r="B4332" s="171">
        <v>40473</v>
      </c>
      <c r="C4332" s="60">
        <v>1112.8</v>
      </c>
    </row>
    <row r="4333" spans="2:3" x14ac:dyDescent="0.3">
      <c r="B4333" s="171">
        <v>40472</v>
      </c>
      <c r="C4333" s="60">
        <v>1116</v>
      </c>
    </row>
    <row r="4334" spans="2:3" x14ac:dyDescent="0.3">
      <c r="B4334" s="171">
        <v>40471</v>
      </c>
      <c r="C4334" s="60">
        <v>1121</v>
      </c>
    </row>
    <row r="4335" spans="2:3" x14ac:dyDescent="0.3">
      <c r="B4335" s="171">
        <v>40470</v>
      </c>
      <c r="C4335" s="60">
        <v>1131.3</v>
      </c>
    </row>
    <row r="4336" spans="2:3" x14ac:dyDescent="0.3">
      <c r="B4336" s="171">
        <v>40469</v>
      </c>
      <c r="C4336" s="60">
        <v>1132.45</v>
      </c>
    </row>
    <row r="4337" spans="2:3" x14ac:dyDescent="0.3">
      <c r="B4337" s="171">
        <v>40466</v>
      </c>
      <c r="C4337" s="60">
        <v>1133.7</v>
      </c>
    </row>
    <row r="4338" spans="2:3" x14ac:dyDescent="0.3">
      <c r="B4338" s="171">
        <v>40465</v>
      </c>
      <c r="C4338" s="60">
        <v>1140.6500000000001</v>
      </c>
    </row>
    <row r="4339" spans="2:3" x14ac:dyDescent="0.3">
      <c r="B4339" s="171">
        <v>40464</v>
      </c>
      <c r="C4339" s="60">
        <v>1121.6500000000001</v>
      </c>
    </row>
    <row r="4340" spans="2:3" x14ac:dyDescent="0.3">
      <c r="B4340" s="171">
        <v>40463</v>
      </c>
      <c r="C4340" s="60">
        <v>1090.75</v>
      </c>
    </row>
    <row r="4341" spans="2:3" x14ac:dyDescent="0.3">
      <c r="B4341" s="171">
        <v>40462</v>
      </c>
      <c r="C4341" s="60">
        <v>1101.7</v>
      </c>
    </row>
    <row r="4342" spans="2:3" x14ac:dyDescent="0.3">
      <c r="B4342" s="171">
        <v>40459</v>
      </c>
      <c r="C4342" s="60">
        <v>1089.8499999999999</v>
      </c>
    </row>
    <row r="4343" spans="2:3" x14ac:dyDescent="0.3">
      <c r="B4343" s="171">
        <v>40458</v>
      </c>
      <c r="C4343" s="60">
        <v>1105.0999999999999</v>
      </c>
    </row>
    <row r="4344" spans="2:3" x14ac:dyDescent="0.3">
      <c r="B4344" s="171">
        <v>40457</v>
      </c>
      <c r="C4344" s="60">
        <v>1104.45</v>
      </c>
    </row>
    <row r="4345" spans="2:3" x14ac:dyDescent="0.3">
      <c r="B4345" s="171">
        <v>40456</v>
      </c>
      <c r="C4345" s="60">
        <v>1090</v>
      </c>
    </row>
    <row r="4346" spans="2:3" x14ac:dyDescent="0.3">
      <c r="B4346" s="171">
        <v>40455</v>
      </c>
      <c r="C4346" s="60">
        <v>1090.05</v>
      </c>
    </row>
    <row r="4347" spans="2:3" x14ac:dyDescent="0.3">
      <c r="B4347" s="171">
        <v>40452</v>
      </c>
      <c r="C4347" s="60">
        <v>1089.7</v>
      </c>
    </row>
    <row r="4348" spans="2:3" x14ac:dyDescent="0.3">
      <c r="B4348" s="171">
        <v>40451</v>
      </c>
      <c r="C4348" s="60">
        <v>1062.5999999999999</v>
      </c>
    </row>
    <row r="4349" spans="2:3" x14ac:dyDescent="0.3">
      <c r="B4349" s="171">
        <v>40450</v>
      </c>
      <c r="C4349" s="60">
        <v>1075.9000000000001</v>
      </c>
    </row>
    <row r="4350" spans="2:3" x14ac:dyDescent="0.3">
      <c r="B4350" s="171">
        <v>40449</v>
      </c>
      <c r="C4350" s="60">
        <v>1047.5</v>
      </c>
    </row>
    <row r="4351" spans="2:3" x14ac:dyDescent="0.3">
      <c r="B4351" s="171">
        <v>40448</v>
      </c>
      <c r="C4351" s="60">
        <v>1024.5</v>
      </c>
    </row>
    <row r="4352" spans="2:3" x14ac:dyDescent="0.3">
      <c r="B4352" s="171">
        <v>40445</v>
      </c>
      <c r="C4352" s="60">
        <v>1026.8</v>
      </c>
    </row>
    <row r="4353" spans="2:3" x14ac:dyDescent="0.3">
      <c r="B4353" s="171">
        <v>40444</v>
      </c>
      <c r="C4353" s="60">
        <v>1032.9000000000001</v>
      </c>
    </row>
    <row r="4354" spans="2:3" x14ac:dyDescent="0.3">
      <c r="B4354" s="171">
        <v>40443</v>
      </c>
      <c r="C4354" s="60">
        <v>1049.8499999999999</v>
      </c>
    </row>
    <row r="4355" spans="2:3" x14ac:dyDescent="0.3">
      <c r="B4355" s="171">
        <v>40442</v>
      </c>
      <c r="C4355" s="60">
        <v>1067.9000000000001</v>
      </c>
    </row>
    <row r="4356" spans="2:3" x14ac:dyDescent="0.3">
      <c r="B4356" s="171">
        <v>40441</v>
      </c>
      <c r="C4356" s="60">
        <v>1078.7</v>
      </c>
    </row>
    <row r="4357" spans="2:3" x14ac:dyDescent="0.3">
      <c r="B4357" s="171">
        <v>40438</v>
      </c>
      <c r="C4357" s="60">
        <v>1048.7</v>
      </c>
    </row>
    <row r="4358" spans="2:3" x14ac:dyDescent="0.3">
      <c r="B4358" s="171">
        <v>40437</v>
      </c>
      <c r="C4358" s="60">
        <v>1011.8</v>
      </c>
    </row>
    <row r="4359" spans="2:3" x14ac:dyDescent="0.3">
      <c r="B4359" s="171">
        <v>40436</v>
      </c>
      <c r="C4359" s="60">
        <v>1030.8</v>
      </c>
    </row>
    <row r="4360" spans="2:3" x14ac:dyDescent="0.3">
      <c r="B4360" s="171">
        <v>40435</v>
      </c>
      <c r="C4360" s="60">
        <v>1045.5</v>
      </c>
    </row>
    <row r="4361" spans="2:3" x14ac:dyDescent="0.3">
      <c r="B4361" s="171">
        <v>40434</v>
      </c>
      <c r="C4361" s="60">
        <v>1055.5</v>
      </c>
    </row>
    <row r="4362" spans="2:3" x14ac:dyDescent="0.3">
      <c r="B4362" s="171">
        <v>40430</v>
      </c>
      <c r="C4362" s="60">
        <v>1026.3</v>
      </c>
    </row>
    <row r="4363" spans="2:3" x14ac:dyDescent="0.3">
      <c r="B4363" s="171">
        <v>40429</v>
      </c>
      <c r="C4363" s="53">
        <v>993.05</v>
      </c>
    </row>
    <row r="4364" spans="2:3" x14ac:dyDescent="0.3">
      <c r="B4364" s="171">
        <v>40428</v>
      </c>
      <c r="C4364" s="53">
        <v>994.2</v>
      </c>
    </row>
    <row r="4365" spans="2:3" x14ac:dyDescent="0.3">
      <c r="B4365" s="171">
        <v>40427</v>
      </c>
      <c r="C4365" s="53">
        <v>923.7</v>
      </c>
    </row>
    <row r="4366" spans="2:3" x14ac:dyDescent="0.3">
      <c r="B4366" s="171">
        <v>40424</v>
      </c>
      <c r="C4366" s="53">
        <v>920.2</v>
      </c>
    </row>
    <row r="4367" spans="2:3" x14ac:dyDescent="0.3">
      <c r="B4367" s="171">
        <v>40423</v>
      </c>
      <c r="C4367" s="53">
        <v>928.25</v>
      </c>
    </row>
    <row r="4368" spans="2:3" x14ac:dyDescent="0.3">
      <c r="B4368" s="171">
        <v>40422</v>
      </c>
      <c r="C4368" s="53">
        <v>909.8</v>
      </c>
    </row>
    <row r="4369" spans="2:3" x14ac:dyDescent="0.3">
      <c r="B4369" s="171">
        <v>40421</v>
      </c>
      <c r="C4369" s="53">
        <v>902.5</v>
      </c>
    </row>
    <row r="4370" spans="2:3" x14ac:dyDescent="0.3">
      <c r="B4370" s="171">
        <v>40420</v>
      </c>
      <c r="C4370" s="53">
        <v>920</v>
      </c>
    </row>
    <row r="4371" spans="2:3" x14ac:dyDescent="0.3">
      <c r="B4371" s="171">
        <v>40417</v>
      </c>
      <c r="C4371" s="53">
        <v>918.95</v>
      </c>
    </row>
    <row r="4372" spans="2:3" x14ac:dyDescent="0.3">
      <c r="B4372" s="171">
        <v>40416</v>
      </c>
      <c r="C4372" s="53">
        <v>933.35</v>
      </c>
    </row>
    <row r="4373" spans="2:3" x14ac:dyDescent="0.3">
      <c r="B4373" s="171">
        <v>40415</v>
      </c>
      <c r="C4373" s="53">
        <v>920.55</v>
      </c>
    </row>
    <row r="4374" spans="2:3" x14ac:dyDescent="0.3">
      <c r="B4374" s="171">
        <v>40414</v>
      </c>
      <c r="C4374" s="53">
        <v>944.45</v>
      </c>
    </row>
    <row r="4375" spans="2:3" x14ac:dyDescent="0.3">
      <c r="B4375" s="171">
        <v>40413</v>
      </c>
      <c r="C4375" s="53">
        <v>936.9</v>
      </c>
    </row>
    <row r="4376" spans="2:3" x14ac:dyDescent="0.3">
      <c r="B4376" s="171">
        <v>40410</v>
      </c>
      <c r="C4376" s="53">
        <v>949.1</v>
      </c>
    </row>
    <row r="4377" spans="2:3" x14ac:dyDescent="0.3">
      <c r="B4377" s="171">
        <v>40409</v>
      </c>
      <c r="C4377" s="53">
        <v>928</v>
      </c>
    </row>
    <row r="4378" spans="2:3" x14ac:dyDescent="0.3">
      <c r="B4378" s="171">
        <v>40408</v>
      </c>
      <c r="C4378" s="53">
        <v>896.2</v>
      </c>
    </row>
    <row r="4379" spans="2:3" x14ac:dyDescent="0.3">
      <c r="B4379" s="171">
        <v>40407</v>
      </c>
      <c r="C4379" s="53">
        <v>895.55</v>
      </c>
    </row>
    <row r="4380" spans="2:3" x14ac:dyDescent="0.3">
      <c r="B4380" s="171">
        <v>40406</v>
      </c>
      <c r="C4380" s="53">
        <v>897.25</v>
      </c>
    </row>
    <row r="4381" spans="2:3" x14ac:dyDescent="0.3">
      <c r="B4381" s="171">
        <v>40403</v>
      </c>
      <c r="C4381" s="53">
        <v>892.4</v>
      </c>
    </row>
    <row r="4382" spans="2:3" x14ac:dyDescent="0.3">
      <c r="B4382" s="171">
        <v>40402</v>
      </c>
      <c r="C4382" s="53">
        <v>876.8</v>
      </c>
    </row>
    <row r="4383" spans="2:3" x14ac:dyDescent="0.3">
      <c r="B4383" s="171">
        <v>40401</v>
      </c>
      <c r="C4383" s="53">
        <v>878.7</v>
      </c>
    </row>
    <row r="4384" spans="2:3" x14ac:dyDescent="0.3">
      <c r="B4384" s="171">
        <v>40400</v>
      </c>
      <c r="C4384" s="53">
        <v>885.35</v>
      </c>
    </row>
    <row r="4385" spans="2:3" x14ac:dyDescent="0.3">
      <c r="B4385" s="171">
        <v>40399</v>
      </c>
      <c r="C4385" s="53">
        <v>899.5</v>
      </c>
    </row>
    <row r="4386" spans="2:3" x14ac:dyDescent="0.3">
      <c r="B4386" s="171">
        <v>40396</v>
      </c>
      <c r="C4386" s="53">
        <v>871.55</v>
      </c>
    </row>
    <row r="4387" spans="2:3" x14ac:dyDescent="0.3">
      <c r="B4387" s="171">
        <v>40395</v>
      </c>
      <c r="C4387" s="53">
        <v>860.2</v>
      </c>
    </row>
    <row r="4388" spans="2:3" x14ac:dyDescent="0.3">
      <c r="B4388" s="171">
        <v>40394</v>
      </c>
      <c r="C4388" s="53">
        <v>859.15</v>
      </c>
    </row>
    <row r="4389" spans="2:3" x14ac:dyDescent="0.3">
      <c r="B4389" s="171">
        <v>40393</v>
      </c>
      <c r="C4389" s="53">
        <v>862.3</v>
      </c>
    </row>
    <row r="4390" spans="2:3" x14ac:dyDescent="0.3">
      <c r="B4390" s="171">
        <v>40392</v>
      </c>
      <c r="C4390" s="53">
        <v>858.3</v>
      </c>
    </row>
    <row r="4391" spans="2:3" x14ac:dyDescent="0.3">
      <c r="B4391" s="171">
        <v>40389</v>
      </c>
      <c r="C4391" s="53">
        <v>863.9</v>
      </c>
    </row>
    <row r="4392" spans="2:3" x14ac:dyDescent="0.3">
      <c r="B4392" s="171">
        <v>40388</v>
      </c>
      <c r="C4392" s="53">
        <v>869.8</v>
      </c>
    </row>
    <row r="4393" spans="2:3" x14ac:dyDescent="0.3">
      <c r="B4393" s="171">
        <v>40387</v>
      </c>
      <c r="C4393" s="53">
        <v>856.75</v>
      </c>
    </row>
    <row r="4394" spans="2:3" x14ac:dyDescent="0.3">
      <c r="B4394" s="171">
        <v>40386</v>
      </c>
      <c r="C4394" s="53">
        <v>845.65</v>
      </c>
    </row>
    <row r="4395" spans="2:3" x14ac:dyDescent="0.3">
      <c r="B4395" s="171">
        <v>40385</v>
      </c>
      <c r="C4395" s="53">
        <v>829.15</v>
      </c>
    </row>
    <row r="4396" spans="2:3" x14ac:dyDescent="0.3">
      <c r="B4396" s="171">
        <v>40382</v>
      </c>
      <c r="C4396" s="53">
        <v>829.35</v>
      </c>
    </row>
    <row r="4397" spans="2:3" x14ac:dyDescent="0.3">
      <c r="B4397" s="171">
        <v>40381</v>
      </c>
      <c r="C4397" s="53">
        <v>844.05</v>
      </c>
    </row>
    <row r="4398" spans="2:3" x14ac:dyDescent="0.3">
      <c r="B4398" s="171">
        <v>40380</v>
      </c>
      <c r="C4398" s="53">
        <v>849.4</v>
      </c>
    </row>
    <row r="4399" spans="2:3" x14ac:dyDescent="0.3">
      <c r="B4399" s="171">
        <v>40379</v>
      </c>
      <c r="C4399" s="53">
        <v>843.6</v>
      </c>
    </row>
    <row r="4400" spans="2:3" x14ac:dyDescent="0.3">
      <c r="B4400" s="171">
        <v>40378</v>
      </c>
      <c r="C4400" s="53">
        <v>840.8</v>
      </c>
    </row>
    <row r="4401" spans="2:3" x14ac:dyDescent="0.3">
      <c r="B4401" s="171">
        <v>40375</v>
      </c>
      <c r="C4401" s="53">
        <v>845.1</v>
      </c>
    </row>
    <row r="4402" spans="2:3" x14ac:dyDescent="0.3">
      <c r="B4402" s="171">
        <v>40374</v>
      </c>
      <c r="C4402" s="53">
        <v>844.7</v>
      </c>
    </row>
    <row r="4403" spans="2:3" x14ac:dyDescent="0.3">
      <c r="B4403" s="171">
        <v>40373</v>
      </c>
      <c r="C4403" s="53">
        <v>854.95</v>
      </c>
    </row>
    <row r="4404" spans="2:3" x14ac:dyDescent="0.3">
      <c r="B4404" s="171">
        <v>40372</v>
      </c>
      <c r="C4404" s="53">
        <v>857.2</v>
      </c>
    </row>
    <row r="4405" spans="2:3" x14ac:dyDescent="0.3">
      <c r="B4405" s="171">
        <v>40371</v>
      </c>
      <c r="C4405" s="53">
        <v>854.8</v>
      </c>
    </row>
    <row r="4406" spans="2:3" x14ac:dyDescent="0.3">
      <c r="B4406" s="171">
        <v>40368</v>
      </c>
      <c r="C4406" s="53">
        <v>858.25</v>
      </c>
    </row>
    <row r="4407" spans="2:3" x14ac:dyDescent="0.3">
      <c r="B4407" s="171">
        <v>40367</v>
      </c>
      <c r="C4407" s="53">
        <v>862.35</v>
      </c>
    </row>
    <row r="4408" spans="2:3" x14ac:dyDescent="0.3">
      <c r="B4408" s="171">
        <v>40366</v>
      </c>
      <c r="C4408" s="53">
        <v>865.1</v>
      </c>
    </row>
    <row r="4409" spans="2:3" x14ac:dyDescent="0.3">
      <c r="B4409" s="171">
        <v>40365</v>
      </c>
      <c r="C4409" s="53">
        <v>863.15</v>
      </c>
    </row>
    <row r="4410" spans="2:3" x14ac:dyDescent="0.3">
      <c r="B4410" s="171">
        <v>40364</v>
      </c>
      <c r="C4410" s="53">
        <v>867</v>
      </c>
    </row>
    <row r="4411" spans="2:3" x14ac:dyDescent="0.3">
      <c r="B4411" s="171">
        <v>40361</v>
      </c>
      <c r="C4411" s="53">
        <v>870.55</v>
      </c>
    </row>
    <row r="4412" spans="2:3" x14ac:dyDescent="0.3">
      <c r="B4412" s="171">
        <v>40360</v>
      </c>
      <c r="C4412" s="53">
        <v>866.6</v>
      </c>
    </row>
    <row r="4413" spans="2:3" x14ac:dyDescent="0.3">
      <c r="B4413" s="171">
        <v>40359</v>
      </c>
      <c r="C4413" s="53">
        <v>879.3</v>
      </c>
    </row>
    <row r="4414" spans="2:3" x14ac:dyDescent="0.3">
      <c r="B4414" s="171">
        <v>40358</v>
      </c>
      <c r="C4414" s="53">
        <v>878.7</v>
      </c>
    </row>
    <row r="4415" spans="2:3" x14ac:dyDescent="0.3">
      <c r="B4415" s="171">
        <v>40357</v>
      </c>
      <c r="C4415" s="53">
        <v>923.8</v>
      </c>
    </row>
    <row r="4416" spans="2:3" x14ac:dyDescent="0.3">
      <c r="B4416" s="171">
        <v>40354</v>
      </c>
      <c r="C4416" s="53">
        <v>931.65</v>
      </c>
    </row>
    <row r="4417" spans="2:3" x14ac:dyDescent="0.3">
      <c r="B4417" s="171">
        <v>40353</v>
      </c>
      <c r="C4417" s="53">
        <v>945.75</v>
      </c>
    </row>
    <row r="4418" spans="2:3" x14ac:dyDescent="0.3">
      <c r="B4418" s="171">
        <v>40352</v>
      </c>
      <c r="C4418" s="53">
        <v>955.8</v>
      </c>
    </row>
    <row r="4419" spans="2:3" x14ac:dyDescent="0.3">
      <c r="B4419" s="171">
        <v>40351</v>
      </c>
      <c r="C4419" s="53">
        <v>957.4</v>
      </c>
    </row>
    <row r="4420" spans="2:3" x14ac:dyDescent="0.3">
      <c r="B4420" s="171">
        <v>40350</v>
      </c>
      <c r="C4420" s="53">
        <v>969.5</v>
      </c>
    </row>
    <row r="4421" spans="2:3" x14ac:dyDescent="0.3">
      <c r="B4421" s="171">
        <v>40347</v>
      </c>
      <c r="C4421" s="53">
        <v>960.1</v>
      </c>
    </row>
    <row r="4422" spans="2:3" x14ac:dyDescent="0.3">
      <c r="B4422" s="171">
        <v>40346</v>
      </c>
      <c r="C4422" s="53">
        <v>982.85</v>
      </c>
    </row>
    <row r="4423" spans="2:3" x14ac:dyDescent="0.3">
      <c r="B4423" s="171">
        <v>40345</v>
      </c>
      <c r="C4423" s="53">
        <v>981</v>
      </c>
    </row>
    <row r="4424" spans="2:3" x14ac:dyDescent="0.3">
      <c r="B4424" s="171">
        <v>40344</v>
      </c>
      <c r="C4424" s="53">
        <v>984.05</v>
      </c>
    </row>
    <row r="4425" spans="2:3" x14ac:dyDescent="0.3">
      <c r="B4425" s="171">
        <v>40343</v>
      </c>
      <c r="C4425" s="53">
        <v>979.25</v>
      </c>
    </row>
    <row r="4426" spans="2:3" x14ac:dyDescent="0.3">
      <c r="B4426" s="171">
        <v>40340</v>
      </c>
      <c r="C4426" s="53">
        <v>974.6</v>
      </c>
    </row>
    <row r="4427" spans="2:3" x14ac:dyDescent="0.3">
      <c r="B4427" s="171">
        <v>40339</v>
      </c>
      <c r="C4427" s="53">
        <v>981.8</v>
      </c>
    </row>
    <row r="4428" spans="2:3" x14ac:dyDescent="0.3">
      <c r="B4428" s="171">
        <v>40338</v>
      </c>
      <c r="C4428" s="53">
        <v>944.9</v>
      </c>
    </row>
    <row r="4429" spans="2:3" x14ac:dyDescent="0.3">
      <c r="B4429" s="171">
        <v>40337</v>
      </c>
      <c r="C4429" s="53">
        <v>947.55</v>
      </c>
    </row>
    <row r="4430" spans="2:3" x14ac:dyDescent="0.3">
      <c r="B4430" s="171">
        <v>40336</v>
      </c>
      <c r="C4430" s="53">
        <v>948.6</v>
      </c>
    </row>
    <row r="4431" spans="2:3" x14ac:dyDescent="0.3">
      <c r="B4431" s="171">
        <v>40333</v>
      </c>
      <c r="C4431" s="53">
        <v>952.7</v>
      </c>
    </row>
    <row r="4432" spans="2:3" x14ac:dyDescent="0.3">
      <c r="B4432" s="171">
        <v>40332</v>
      </c>
      <c r="C4432" s="53">
        <v>946.05</v>
      </c>
    </row>
    <row r="4433" spans="2:3" x14ac:dyDescent="0.3">
      <c r="B4433" s="171">
        <v>40331</v>
      </c>
      <c r="C4433" s="53">
        <v>948.65</v>
      </c>
    </row>
    <row r="4434" spans="2:3" x14ac:dyDescent="0.3">
      <c r="B4434" s="171">
        <v>40330</v>
      </c>
      <c r="C4434" s="53">
        <v>918.4</v>
      </c>
    </row>
    <row r="4435" spans="2:3" x14ac:dyDescent="0.3">
      <c r="B4435" s="171">
        <v>40329</v>
      </c>
      <c r="C4435" s="53">
        <v>921.75</v>
      </c>
    </row>
    <row r="4436" spans="2:3" x14ac:dyDescent="0.3">
      <c r="B4436" s="171">
        <v>40326</v>
      </c>
      <c r="C4436" s="53">
        <v>938.4</v>
      </c>
    </row>
    <row r="4437" spans="2:3" x14ac:dyDescent="0.3">
      <c r="B4437" s="171">
        <v>40325</v>
      </c>
      <c r="C4437" s="53">
        <v>937.25</v>
      </c>
    </row>
    <row r="4438" spans="2:3" x14ac:dyDescent="0.3">
      <c r="B4438" s="171">
        <v>40324</v>
      </c>
      <c r="C4438" s="53">
        <v>932.35</v>
      </c>
    </row>
    <row r="4439" spans="2:3" x14ac:dyDescent="0.3">
      <c r="B4439" s="171">
        <v>40323</v>
      </c>
      <c r="C4439" s="53">
        <v>924.65</v>
      </c>
    </row>
    <row r="4440" spans="2:3" x14ac:dyDescent="0.3">
      <c r="B4440" s="171">
        <v>40322</v>
      </c>
      <c r="C4440" s="53">
        <v>956.1</v>
      </c>
    </row>
    <row r="4441" spans="2:3" x14ac:dyDescent="0.3">
      <c r="B4441" s="171">
        <v>40319</v>
      </c>
      <c r="C4441" s="53">
        <v>949.55</v>
      </c>
    </row>
    <row r="4442" spans="2:3" x14ac:dyDescent="0.3">
      <c r="B4442" s="171">
        <v>40318</v>
      </c>
      <c r="C4442" s="53">
        <v>950.35</v>
      </c>
    </row>
    <row r="4443" spans="2:3" x14ac:dyDescent="0.3">
      <c r="B4443" s="171">
        <v>40317</v>
      </c>
      <c r="C4443" s="53">
        <v>951</v>
      </c>
    </row>
    <row r="4444" spans="2:3" x14ac:dyDescent="0.3">
      <c r="B4444" s="171">
        <v>40316</v>
      </c>
      <c r="C4444" s="53">
        <v>954.45</v>
      </c>
    </row>
    <row r="4445" spans="2:3" x14ac:dyDescent="0.3">
      <c r="B4445" s="171">
        <v>40315</v>
      </c>
      <c r="C4445" s="53">
        <v>945.4</v>
      </c>
    </row>
    <row r="4446" spans="2:3" x14ac:dyDescent="0.3">
      <c r="B4446" s="171">
        <v>40312</v>
      </c>
      <c r="C4446" s="53">
        <v>939.2</v>
      </c>
    </row>
    <row r="4447" spans="2:3" x14ac:dyDescent="0.3">
      <c r="B4447" s="171">
        <v>40311</v>
      </c>
      <c r="C4447" s="53">
        <v>962.5</v>
      </c>
    </row>
    <row r="4448" spans="2:3" x14ac:dyDescent="0.3">
      <c r="B4448" s="171">
        <v>40310</v>
      </c>
      <c r="C4448" s="53">
        <v>967.55</v>
      </c>
    </row>
    <row r="4449" spans="2:3" x14ac:dyDescent="0.3">
      <c r="B4449" s="171">
        <v>40309</v>
      </c>
      <c r="C4449" s="53">
        <v>951.6</v>
      </c>
    </row>
    <row r="4450" spans="2:3" x14ac:dyDescent="0.3">
      <c r="B4450" s="171">
        <v>40308</v>
      </c>
      <c r="C4450" s="53">
        <v>947.05</v>
      </c>
    </row>
    <row r="4451" spans="2:3" x14ac:dyDescent="0.3">
      <c r="B4451" s="171">
        <v>40305</v>
      </c>
      <c r="C4451" s="53">
        <v>945.45</v>
      </c>
    </row>
    <row r="4452" spans="2:3" x14ac:dyDescent="0.3">
      <c r="B4452" s="171">
        <v>40304</v>
      </c>
      <c r="C4452" s="53">
        <v>950.6</v>
      </c>
    </row>
    <row r="4453" spans="2:3" x14ac:dyDescent="0.3">
      <c r="B4453" s="171">
        <v>40303</v>
      </c>
      <c r="C4453" s="53">
        <v>968.4</v>
      </c>
    </row>
    <row r="4454" spans="2:3" x14ac:dyDescent="0.3">
      <c r="B4454" s="171">
        <v>40302</v>
      </c>
      <c r="C4454" s="53">
        <v>926.85</v>
      </c>
    </row>
    <row r="4455" spans="2:3" x14ac:dyDescent="0.3">
      <c r="B4455" s="171">
        <v>40301</v>
      </c>
      <c r="C4455" s="53">
        <v>955.5</v>
      </c>
    </row>
    <row r="4456" spans="2:3" x14ac:dyDescent="0.3">
      <c r="B4456" s="171">
        <v>40298</v>
      </c>
      <c r="C4456" s="53">
        <v>972.75</v>
      </c>
    </row>
    <row r="4457" spans="2:3" x14ac:dyDescent="0.3">
      <c r="B4457" s="171">
        <v>40297</v>
      </c>
      <c r="C4457" s="60">
        <v>1015.35</v>
      </c>
    </row>
    <row r="4458" spans="2:3" x14ac:dyDescent="0.3">
      <c r="B4458" s="171">
        <v>40296</v>
      </c>
      <c r="C4458" s="60">
        <v>1078.25</v>
      </c>
    </row>
    <row r="4459" spans="2:3" x14ac:dyDescent="0.3">
      <c r="B4459" s="171">
        <v>40295</v>
      </c>
      <c r="C4459" s="60">
        <v>1094.8499999999999</v>
      </c>
    </row>
    <row r="4460" spans="2:3" x14ac:dyDescent="0.3">
      <c r="B4460" s="171">
        <v>40294</v>
      </c>
      <c r="C4460" s="60">
        <v>1098.0999999999999</v>
      </c>
    </row>
    <row r="4461" spans="2:3" x14ac:dyDescent="0.3">
      <c r="B4461" s="171">
        <v>40291</v>
      </c>
      <c r="C4461" s="60">
        <v>1094.75</v>
      </c>
    </row>
    <row r="4462" spans="2:3" x14ac:dyDescent="0.3">
      <c r="B4462" s="171">
        <v>40290</v>
      </c>
      <c r="C4462" s="60">
        <v>1119.45</v>
      </c>
    </row>
    <row r="4463" spans="2:3" x14ac:dyDescent="0.3">
      <c r="B4463" s="171">
        <v>40289</v>
      </c>
      <c r="C4463" s="60">
        <v>1105.3</v>
      </c>
    </row>
    <row r="4464" spans="2:3" x14ac:dyDescent="0.3">
      <c r="B4464" s="171">
        <v>40288</v>
      </c>
      <c r="C4464" s="60">
        <v>1104.9000000000001</v>
      </c>
    </row>
    <row r="4465" spans="2:3" x14ac:dyDescent="0.3">
      <c r="B4465" s="171">
        <v>40287</v>
      </c>
      <c r="C4465" s="60">
        <v>1100.75</v>
      </c>
    </row>
    <row r="4466" spans="2:3" x14ac:dyDescent="0.3">
      <c r="B4466" s="171">
        <v>40284</v>
      </c>
      <c r="C4466" s="60">
        <v>1104.05</v>
      </c>
    </row>
    <row r="4467" spans="2:3" x14ac:dyDescent="0.3">
      <c r="B4467" s="171">
        <v>40283</v>
      </c>
      <c r="C4467" s="60">
        <v>1129.8499999999999</v>
      </c>
    </row>
    <row r="4468" spans="2:3" x14ac:dyDescent="0.3">
      <c r="B4468" s="171">
        <v>40281</v>
      </c>
      <c r="C4468" s="60">
        <v>1138.55</v>
      </c>
    </row>
    <row r="4469" spans="2:3" x14ac:dyDescent="0.3">
      <c r="B4469" s="171">
        <v>40280</v>
      </c>
      <c r="C4469" s="60">
        <v>1133.8</v>
      </c>
    </row>
    <row r="4470" spans="2:3" x14ac:dyDescent="0.3">
      <c r="B4470" s="171">
        <v>40277</v>
      </c>
      <c r="C4470" s="60">
        <v>1159.9000000000001</v>
      </c>
    </row>
    <row r="4471" spans="2:3" x14ac:dyDescent="0.3">
      <c r="B4471" s="171">
        <v>40276</v>
      </c>
      <c r="C4471" s="60">
        <v>1163.0999999999999</v>
      </c>
    </row>
    <row r="4472" spans="2:3" x14ac:dyDescent="0.3">
      <c r="B4472" s="171">
        <v>40275</v>
      </c>
      <c r="C4472" s="60">
        <v>1149.95</v>
      </c>
    </row>
    <row r="4473" spans="2:3" x14ac:dyDescent="0.3">
      <c r="B4473" s="171">
        <v>40274</v>
      </c>
      <c r="C4473" s="60">
        <v>1146.6500000000001</v>
      </c>
    </row>
    <row r="4474" spans="2:3" x14ac:dyDescent="0.3">
      <c r="B4474" s="171">
        <v>40273</v>
      </c>
      <c r="C4474" s="60">
        <v>1147.05</v>
      </c>
    </row>
    <row r="4475" spans="2:3" x14ac:dyDescent="0.3">
      <c r="B4475" s="171">
        <v>40269</v>
      </c>
      <c r="C4475" s="60">
        <v>1144.25</v>
      </c>
    </row>
    <row r="4476" spans="2:3" x14ac:dyDescent="0.3">
      <c r="B4476" s="171">
        <v>40268</v>
      </c>
      <c r="C4476" s="60">
        <v>1154.8499999999999</v>
      </c>
    </row>
    <row r="4477" spans="2:3" x14ac:dyDescent="0.3">
      <c r="B4477" s="171">
        <v>40267</v>
      </c>
      <c r="C4477" s="60">
        <v>1145.2</v>
      </c>
    </row>
    <row r="4478" spans="2:3" x14ac:dyDescent="0.3">
      <c r="B4478" s="171">
        <v>40266</v>
      </c>
      <c r="C4478" s="60">
        <v>1141</v>
      </c>
    </row>
    <row r="4479" spans="2:3" x14ac:dyDescent="0.3">
      <c r="B4479" s="171">
        <v>40263</v>
      </c>
      <c r="C4479" s="60">
        <v>1115.95</v>
      </c>
    </row>
    <row r="4480" spans="2:3" x14ac:dyDescent="0.3">
      <c r="B4480" s="171">
        <v>40262</v>
      </c>
      <c r="C4480" s="60">
        <v>1086.3499999999999</v>
      </c>
    </row>
    <row r="4481" spans="2:3" x14ac:dyDescent="0.3">
      <c r="B4481" s="171">
        <v>40260</v>
      </c>
      <c r="C4481" s="60">
        <v>1111</v>
      </c>
    </row>
    <row r="4482" spans="2:3" x14ac:dyDescent="0.3">
      <c r="B4482" s="171">
        <v>40259</v>
      </c>
      <c r="C4482" s="60">
        <v>1123.7</v>
      </c>
    </row>
    <row r="4483" spans="2:3" x14ac:dyDescent="0.3">
      <c r="B4483" s="171">
        <v>40256</v>
      </c>
      <c r="C4483" s="60">
        <v>1122.45</v>
      </c>
    </row>
    <row r="4484" spans="2:3" x14ac:dyDescent="0.3">
      <c r="B4484" s="171">
        <v>40255</v>
      </c>
      <c r="C4484" s="60">
        <v>1106.05</v>
      </c>
    </row>
    <row r="4485" spans="2:3" x14ac:dyDescent="0.3">
      <c r="B4485" s="171">
        <v>40254</v>
      </c>
      <c r="C4485" s="60">
        <v>1099</v>
      </c>
    </row>
    <row r="4486" spans="2:3" x14ac:dyDescent="0.3">
      <c r="B4486" s="171">
        <v>40253</v>
      </c>
      <c r="C4486" s="60">
        <v>1117.95</v>
      </c>
    </row>
    <row r="4487" spans="2:3" x14ac:dyDescent="0.3">
      <c r="B4487" s="171">
        <v>40252</v>
      </c>
      <c r="C4487" s="60">
        <v>1113.05</v>
      </c>
    </row>
    <row r="4488" spans="2:3" x14ac:dyDescent="0.3">
      <c r="B4488" s="171">
        <v>40249</v>
      </c>
      <c r="C4488" s="60">
        <v>1106.7</v>
      </c>
    </row>
    <row r="4489" spans="2:3" x14ac:dyDescent="0.3">
      <c r="B4489" s="171">
        <v>40248</v>
      </c>
      <c r="C4489" s="60">
        <v>1112.05</v>
      </c>
    </row>
    <row r="4490" spans="2:3" x14ac:dyDescent="0.3">
      <c r="B4490" s="171">
        <v>40247</v>
      </c>
      <c r="C4490" s="60">
        <v>1108.95</v>
      </c>
    </row>
    <row r="4491" spans="2:3" x14ac:dyDescent="0.3">
      <c r="B4491" s="171">
        <v>40246</v>
      </c>
      <c r="C4491" s="60">
        <v>1092.5999999999999</v>
      </c>
    </row>
    <row r="4492" spans="2:3" x14ac:dyDescent="0.3">
      <c r="B4492" s="171">
        <v>40245</v>
      </c>
      <c r="C4492" s="60">
        <v>1111.6500000000001</v>
      </c>
    </row>
    <row r="4493" spans="2:3" x14ac:dyDescent="0.3">
      <c r="B4493" s="171">
        <v>40242</v>
      </c>
      <c r="C4493" s="60">
        <v>1097.75</v>
      </c>
    </row>
    <row r="4494" spans="2:3" x14ac:dyDescent="0.3">
      <c r="B4494" s="171">
        <v>40241</v>
      </c>
      <c r="C4494" s="60">
        <v>1091.45</v>
      </c>
    </row>
    <row r="4495" spans="2:3" x14ac:dyDescent="0.3">
      <c r="B4495" s="171">
        <v>40240</v>
      </c>
      <c r="C4495" s="60">
        <v>1079.75</v>
      </c>
    </row>
    <row r="4496" spans="2:3" x14ac:dyDescent="0.3">
      <c r="B4496" s="171">
        <v>40239</v>
      </c>
      <c r="C4496" s="60">
        <v>1074.6500000000001</v>
      </c>
    </row>
    <row r="4497" spans="2:3" x14ac:dyDescent="0.3">
      <c r="B4497" s="171">
        <v>40235</v>
      </c>
      <c r="C4497" s="60">
        <v>1040.05</v>
      </c>
    </row>
    <row r="4498" spans="2:3" x14ac:dyDescent="0.3">
      <c r="B4498" s="171">
        <v>40234</v>
      </c>
      <c r="C4498" s="60">
        <v>1033.5999999999999</v>
      </c>
    </row>
    <row r="4499" spans="2:3" x14ac:dyDescent="0.3">
      <c r="B4499" s="171">
        <v>40233</v>
      </c>
      <c r="C4499" s="60">
        <v>1022.8</v>
      </c>
    </row>
    <row r="4500" spans="2:3" x14ac:dyDescent="0.3">
      <c r="B4500" s="171">
        <v>40232</v>
      </c>
      <c r="C4500" s="60">
        <v>1024.8</v>
      </c>
    </row>
    <row r="4501" spans="2:3" x14ac:dyDescent="0.3">
      <c r="B4501" s="171">
        <v>40231</v>
      </c>
      <c r="C4501" s="60">
        <v>1035.8</v>
      </c>
    </row>
    <row r="4502" spans="2:3" x14ac:dyDescent="0.3">
      <c r="B4502" s="171">
        <v>40228</v>
      </c>
      <c r="C4502" s="60">
        <v>1027.3499999999999</v>
      </c>
    </row>
    <row r="4503" spans="2:3" x14ac:dyDescent="0.3">
      <c r="B4503" s="171">
        <v>40227</v>
      </c>
      <c r="C4503" s="60">
        <v>1025</v>
      </c>
    </row>
    <row r="4504" spans="2:3" x14ac:dyDescent="0.3">
      <c r="B4504" s="171">
        <v>40226</v>
      </c>
      <c r="C4504" s="60">
        <v>1047.45</v>
      </c>
    </row>
    <row r="4505" spans="2:3" x14ac:dyDescent="0.3">
      <c r="B4505" s="171">
        <v>40225</v>
      </c>
      <c r="C4505" s="60">
        <v>1043.2</v>
      </c>
    </row>
    <row r="4506" spans="2:3" x14ac:dyDescent="0.3">
      <c r="B4506" s="171">
        <v>40224</v>
      </c>
      <c r="C4506" s="60">
        <v>1000.2</v>
      </c>
    </row>
    <row r="4507" spans="2:3" x14ac:dyDescent="0.3">
      <c r="B4507" s="171">
        <v>40220</v>
      </c>
      <c r="C4507" s="60">
        <v>1000.9</v>
      </c>
    </row>
    <row r="4508" spans="2:3" x14ac:dyDescent="0.3">
      <c r="B4508" s="171">
        <v>40219</v>
      </c>
      <c r="C4508" s="53">
        <v>984.8</v>
      </c>
    </row>
    <row r="4509" spans="2:3" x14ac:dyDescent="0.3">
      <c r="B4509" s="171">
        <v>40218</v>
      </c>
      <c r="C4509" s="53">
        <v>956.95</v>
      </c>
    </row>
    <row r="4510" spans="2:3" x14ac:dyDescent="0.3">
      <c r="B4510" s="171">
        <v>40217</v>
      </c>
      <c r="C4510" s="53">
        <v>929.85</v>
      </c>
    </row>
    <row r="4511" spans="2:3" x14ac:dyDescent="0.3">
      <c r="B4511" s="171">
        <v>40215</v>
      </c>
      <c r="C4511" s="53">
        <v>933.95</v>
      </c>
    </row>
    <row r="4512" spans="2:3" x14ac:dyDescent="0.3">
      <c r="B4512" s="171">
        <v>40214</v>
      </c>
      <c r="C4512" s="53">
        <v>932.55</v>
      </c>
    </row>
    <row r="4513" spans="2:3" x14ac:dyDescent="0.3">
      <c r="B4513" s="171">
        <v>40213</v>
      </c>
      <c r="C4513" s="53">
        <v>962.1</v>
      </c>
    </row>
    <row r="4514" spans="2:3" x14ac:dyDescent="0.3">
      <c r="B4514" s="171">
        <v>40212</v>
      </c>
      <c r="C4514" s="53">
        <v>971.7</v>
      </c>
    </row>
    <row r="4515" spans="2:3" x14ac:dyDescent="0.3">
      <c r="B4515" s="171">
        <v>40211</v>
      </c>
      <c r="C4515" s="53">
        <v>960.75</v>
      </c>
    </row>
    <row r="4516" spans="2:3" x14ac:dyDescent="0.3">
      <c r="B4516" s="171">
        <v>40210</v>
      </c>
      <c r="C4516" s="53">
        <v>931.7</v>
      </c>
    </row>
    <row r="4517" spans="2:3" x14ac:dyDescent="0.3">
      <c r="B4517" s="171">
        <v>40207</v>
      </c>
      <c r="C4517" s="53">
        <v>930</v>
      </c>
    </row>
    <row r="4518" spans="2:3" x14ac:dyDescent="0.3">
      <c r="B4518" s="171">
        <v>40206</v>
      </c>
      <c r="C4518" s="53">
        <v>922.2</v>
      </c>
    </row>
    <row r="4519" spans="2:3" x14ac:dyDescent="0.3">
      <c r="B4519" s="171">
        <v>40205</v>
      </c>
      <c r="C4519" s="53">
        <v>910.15</v>
      </c>
    </row>
    <row r="4520" spans="2:3" x14ac:dyDescent="0.3">
      <c r="B4520" s="171">
        <v>40203</v>
      </c>
      <c r="C4520" s="53">
        <v>905.75</v>
      </c>
    </row>
    <row r="4521" spans="2:3" x14ac:dyDescent="0.3">
      <c r="B4521" s="171">
        <v>40200</v>
      </c>
      <c r="C4521" s="53">
        <v>912.65</v>
      </c>
    </row>
    <row r="4522" spans="2:3" x14ac:dyDescent="0.3">
      <c r="B4522" s="171">
        <v>40199</v>
      </c>
      <c r="C4522" s="53">
        <v>945.4</v>
      </c>
    </row>
    <row r="4523" spans="2:3" x14ac:dyDescent="0.3">
      <c r="B4523" s="171">
        <v>40198</v>
      </c>
      <c r="C4523" s="53">
        <v>977.5</v>
      </c>
    </row>
    <row r="4524" spans="2:3" x14ac:dyDescent="0.3">
      <c r="B4524" s="171">
        <v>40197</v>
      </c>
      <c r="C4524" s="53">
        <v>999.5</v>
      </c>
    </row>
    <row r="4525" spans="2:3" x14ac:dyDescent="0.3">
      <c r="B4525" s="171">
        <v>40196</v>
      </c>
      <c r="C4525" s="60">
        <v>1002.7</v>
      </c>
    </row>
    <row r="4526" spans="2:3" x14ac:dyDescent="0.3">
      <c r="B4526" s="171">
        <v>40193</v>
      </c>
      <c r="C4526" s="60">
        <v>1036.95</v>
      </c>
    </row>
    <row r="4527" spans="2:3" x14ac:dyDescent="0.3">
      <c r="B4527" s="171">
        <v>40192</v>
      </c>
      <c r="C4527" s="60">
        <v>1044</v>
      </c>
    </row>
    <row r="4528" spans="2:3" x14ac:dyDescent="0.3">
      <c r="B4528" s="171">
        <v>40191</v>
      </c>
      <c r="C4528" s="60">
        <v>1032.4000000000001</v>
      </c>
    </row>
    <row r="4529" spans="2:3" x14ac:dyDescent="0.3">
      <c r="B4529" s="171">
        <v>40190</v>
      </c>
      <c r="C4529" s="53">
        <v>984.6</v>
      </c>
    </row>
    <row r="4530" spans="2:3" x14ac:dyDescent="0.3">
      <c r="B4530" s="171">
        <v>40189</v>
      </c>
      <c r="C4530" s="53">
        <v>991.55</v>
      </c>
    </row>
    <row r="4531" spans="2:3" x14ac:dyDescent="0.3">
      <c r="B4531" s="171">
        <v>40186</v>
      </c>
      <c r="C4531" s="53">
        <v>990.3</v>
      </c>
    </row>
    <row r="4532" spans="2:3" x14ac:dyDescent="0.3">
      <c r="B4532" s="171">
        <v>40185</v>
      </c>
      <c r="C4532" s="53">
        <v>978.35</v>
      </c>
    </row>
    <row r="4533" spans="2:3" x14ac:dyDescent="0.3">
      <c r="B4533" s="171">
        <v>40184</v>
      </c>
      <c r="C4533" s="53">
        <v>987.3</v>
      </c>
    </row>
    <row r="4534" spans="2:3" x14ac:dyDescent="0.3">
      <c r="B4534" s="171">
        <v>40183</v>
      </c>
      <c r="C4534" s="53">
        <v>986.1</v>
      </c>
    </row>
    <row r="4535" spans="2:3" x14ac:dyDescent="0.3">
      <c r="B4535" s="171">
        <v>40182</v>
      </c>
      <c r="C4535" s="53">
        <v>966.1</v>
      </c>
    </row>
    <row r="4536" spans="2:3" x14ac:dyDescent="0.3">
      <c r="B4536" s="171">
        <v>40178</v>
      </c>
      <c r="C4536" s="53">
        <v>914.2</v>
      </c>
    </row>
    <row r="4537" spans="2:3" x14ac:dyDescent="0.3">
      <c r="B4537" s="171">
        <v>40177</v>
      </c>
      <c r="C4537" s="53">
        <v>905.2</v>
      </c>
    </row>
    <row r="4538" spans="2:3" x14ac:dyDescent="0.3">
      <c r="B4538" s="171">
        <v>40176</v>
      </c>
      <c r="C4538" s="53">
        <v>900.1</v>
      </c>
    </row>
    <row r="4539" spans="2:3" x14ac:dyDescent="0.3">
      <c r="B4539" s="171">
        <v>40171</v>
      </c>
      <c r="C4539" s="53">
        <v>898.8</v>
      </c>
    </row>
    <row r="4540" spans="2:3" x14ac:dyDescent="0.3">
      <c r="B4540" s="171">
        <v>40170</v>
      </c>
      <c r="C4540" s="53">
        <v>900.6</v>
      </c>
    </row>
    <row r="4541" spans="2:3" x14ac:dyDescent="0.3">
      <c r="B4541" s="171">
        <v>40169</v>
      </c>
      <c r="C4541" s="53">
        <v>877</v>
      </c>
    </row>
    <row r="4542" spans="2:3" x14ac:dyDescent="0.3">
      <c r="B4542" s="171">
        <v>40168</v>
      </c>
      <c r="C4542" s="53">
        <v>892.95</v>
      </c>
    </row>
    <row r="4543" spans="2:3" x14ac:dyDescent="0.3">
      <c r="B4543" s="171">
        <v>40165</v>
      </c>
      <c r="C4543" s="53">
        <v>899.2</v>
      </c>
    </row>
    <row r="4544" spans="2:3" x14ac:dyDescent="0.3">
      <c r="B4544" s="171">
        <v>40164</v>
      </c>
      <c r="C4544" s="53">
        <v>913.75</v>
      </c>
    </row>
    <row r="4545" spans="2:3" x14ac:dyDescent="0.3">
      <c r="B4545" s="171">
        <v>40163</v>
      </c>
      <c r="C4545" s="53">
        <v>908.4</v>
      </c>
    </row>
    <row r="4546" spans="2:3" x14ac:dyDescent="0.3">
      <c r="B4546" s="171">
        <v>40162</v>
      </c>
      <c r="C4546" s="53">
        <v>887.45</v>
      </c>
    </row>
    <row r="4547" spans="2:3" x14ac:dyDescent="0.3">
      <c r="B4547" s="171">
        <v>40161</v>
      </c>
      <c r="C4547" s="53">
        <v>899.15</v>
      </c>
    </row>
    <row r="4548" spans="2:3" x14ac:dyDescent="0.3">
      <c r="B4548" s="171">
        <v>40158</v>
      </c>
      <c r="C4548" s="53">
        <v>860.1</v>
      </c>
    </row>
    <row r="4549" spans="2:3" x14ac:dyDescent="0.3">
      <c r="B4549" s="171">
        <v>40157</v>
      </c>
      <c r="C4549" s="53">
        <v>851.65</v>
      </c>
    </row>
    <row r="4550" spans="2:3" x14ac:dyDescent="0.3">
      <c r="B4550" s="171">
        <v>40156</v>
      </c>
      <c r="C4550" s="53">
        <v>852.8</v>
      </c>
    </row>
    <row r="4551" spans="2:3" x14ac:dyDescent="0.3">
      <c r="B4551" s="171">
        <v>40155</v>
      </c>
      <c r="C4551" s="53">
        <v>847.4</v>
      </c>
    </row>
    <row r="4552" spans="2:3" x14ac:dyDescent="0.3">
      <c r="B4552" s="171">
        <v>40154</v>
      </c>
      <c r="C4552" s="53">
        <v>834.5</v>
      </c>
    </row>
    <row r="4553" spans="2:3" x14ac:dyDescent="0.3">
      <c r="B4553" s="171">
        <v>40151</v>
      </c>
      <c r="C4553" s="53">
        <v>836.3</v>
      </c>
    </row>
    <row r="4554" spans="2:3" x14ac:dyDescent="0.3">
      <c r="B4554" s="171">
        <v>40150</v>
      </c>
      <c r="C4554" s="53">
        <v>845.75</v>
      </c>
    </row>
    <row r="4555" spans="2:3" x14ac:dyDescent="0.3">
      <c r="B4555" s="171">
        <v>40149</v>
      </c>
      <c r="C4555" s="53">
        <v>834.65</v>
      </c>
    </row>
    <row r="4556" spans="2:3" x14ac:dyDescent="0.3">
      <c r="B4556" s="171">
        <v>40148</v>
      </c>
      <c r="C4556" s="53">
        <v>840.95</v>
      </c>
    </row>
    <row r="4557" spans="2:3" x14ac:dyDescent="0.3">
      <c r="B4557" s="171">
        <v>40147</v>
      </c>
      <c r="C4557" s="53">
        <v>836.65</v>
      </c>
    </row>
    <row r="4558" spans="2:3" x14ac:dyDescent="0.3">
      <c r="B4558" s="171">
        <v>40144</v>
      </c>
      <c r="C4558" s="53">
        <v>818.1</v>
      </c>
    </row>
    <row r="4559" spans="2:3" x14ac:dyDescent="0.3">
      <c r="B4559" s="171">
        <v>40143</v>
      </c>
      <c r="C4559" s="53">
        <v>824.8</v>
      </c>
    </row>
    <row r="4560" spans="2:3" x14ac:dyDescent="0.3">
      <c r="B4560" s="171">
        <v>40142</v>
      </c>
      <c r="C4560" s="53">
        <v>829.9</v>
      </c>
    </row>
    <row r="4561" spans="2:3" x14ac:dyDescent="0.3">
      <c r="B4561" s="171">
        <v>40141</v>
      </c>
      <c r="C4561" s="53">
        <v>818.75</v>
      </c>
    </row>
    <row r="4562" spans="2:3" x14ac:dyDescent="0.3">
      <c r="B4562" s="171">
        <v>40140</v>
      </c>
      <c r="C4562" s="53">
        <v>816.3</v>
      </c>
    </row>
    <row r="4563" spans="2:3" x14ac:dyDescent="0.3">
      <c r="B4563" s="171">
        <v>40137</v>
      </c>
      <c r="C4563" s="53">
        <v>791.45</v>
      </c>
    </row>
    <row r="4564" spans="2:3" x14ac:dyDescent="0.3">
      <c r="B4564" s="171">
        <v>40136</v>
      </c>
      <c r="C4564" s="53">
        <v>762.7</v>
      </c>
    </row>
    <row r="4565" spans="2:3" x14ac:dyDescent="0.3">
      <c r="B4565" s="171">
        <v>40135</v>
      </c>
      <c r="C4565" s="53">
        <v>757.4</v>
      </c>
    </row>
    <row r="4566" spans="2:3" x14ac:dyDescent="0.3">
      <c r="B4566" s="171">
        <v>40134</v>
      </c>
      <c r="C4566" s="53">
        <v>748.85</v>
      </c>
    </row>
    <row r="4567" spans="2:3" x14ac:dyDescent="0.3">
      <c r="B4567" s="171">
        <v>40133</v>
      </c>
      <c r="C4567" s="53">
        <v>738.65</v>
      </c>
    </row>
    <row r="4568" spans="2:3" x14ac:dyDescent="0.3">
      <c r="B4568" s="171">
        <v>40130</v>
      </c>
      <c r="C4568" s="53">
        <v>729.95</v>
      </c>
    </row>
    <row r="4569" spans="2:3" x14ac:dyDescent="0.3">
      <c r="B4569" s="171">
        <v>40129</v>
      </c>
      <c r="C4569" s="53">
        <v>728.55</v>
      </c>
    </row>
    <row r="4570" spans="2:3" x14ac:dyDescent="0.3">
      <c r="B4570" s="171">
        <v>40128</v>
      </c>
      <c r="C4570" s="53">
        <v>747.7</v>
      </c>
    </row>
    <row r="4571" spans="2:3" x14ac:dyDescent="0.3">
      <c r="B4571" s="171">
        <v>40127</v>
      </c>
      <c r="C4571" s="53">
        <v>740</v>
      </c>
    </row>
    <row r="4572" spans="2:3" x14ac:dyDescent="0.3">
      <c r="B4572" s="171">
        <v>40126</v>
      </c>
      <c r="C4572" s="53">
        <v>745.45</v>
      </c>
    </row>
    <row r="4573" spans="2:3" x14ac:dyDescent="0.3">
      <c r="B4573" s="171">
        <v>40123</v>
      </c>
      <c r="C4573" s="53">
        <v>735.55</v>
      </c>
    </row>
    <row r="4574" spans="2:3" x14ac:dyDescent="0.3">
      <c r="B4574" s="171">
        <v>40122</v>
      </c>
      <c r="C4574" s="53">
        <v>737</v>
      </c>
    </row>
    <row r="4575" spans="2:3" x14ac:dyDescent="0.3">
      <c r="B4575" s="171">
        <v>40121</v>
      </c>
      <c r="C4575" s="53">
        <v>733.95</v>
      </c>
    </row>
    <row r="4576" spans="2:3" x14ac:dyDescent="0.3">
      <c r="B4576" s="171">
        <v>40120</v>
      </c>
      <c r="C4576" s="53">
        <v>740.6</v>
      </c>
    </row>
    <row r="4577" spans="2:3" x14ac:dyDescent="0.3">
      <c r="B4577" s="171">
        <v>40116</v>
      </c>
      <c r="C4577" s="53">
        <v>767.95</v>
      </c>
    </row>
    <row r="4578" spans="2:3" x14ac:dyDescent="0.3">
      <c r="B4578" s="171">
        <v>40115</v>
      </c>
      <c r="C4578" s="53">
        <v>759.05</v>
      </c>
    </row>
    <row r="4579" spans="2:3" x14ac:dyDescent="0.3">
      <c r="B4579" s="171">
        <v>40114</v>
      </c>
      <c r="C4579" s="53">
        <v>766.7</v>
      </c>
    </row>
    <row r="4580" spans="2:3" x14ac:dyDescent="0.3">
      <c r="B4580" s="171">
        <v>40113</v>
      </c>
      <c r="C4580" s="53">
        <v>775.3</v>
      </c>
    </row>
    <row r="4581" spans="2:3" x14ac:dyDescent="0.3">
      <c r="B4581" s="171">
        <v>40112</v>
      </c>
      <c r="C4581" s="53">
        <v>779.7</v>
      </c>
    </row>
    <row r="4582" spans="2:3" x14ac:dyDescent="0.3">
      <c r="B4582" s="171">
        <v>40109</v>
      </c>
      <c r="C4582" s="53">
        <v>772.5</v>
      </c>
    </row>
    <row r="4583" spans="2:3" x14ac:dyDescent="0.3">
      <c r="B4583" s="171">
        <v>40108</v>
      </c>
      <c r="C4583" s="53">
        <v>777.35</v>
      </c>
    </row>
    <row r="4584" spans="2:3" x14ac:dyDescent="0.3">
      <c r="B4584" s="171">
        <v>40107</v>
      </c>
      <c r="C4584" s="53">
        <v>805.3</v>
      </c>
    </row>
    <row r="4585" spans="2:3" x14ac:dyDescent="0.3">
      <c r="B4585" s="171">
        <v>40106</v>
      </c>
      <c r="C4585" s="53">
        <v>824.45</v>
      </c>
    </row>
    <row r="4586" spans="2:3" x14ac:dyDescent="0.3">
      <c r="B4586" s="171">
        <v>40103</v>
      </c>
      <c r="C4586" s="53">
        <v>839.6</v>
      </c>
    </row>
    <row r="4587" spans="2:3" x14ac:dyDescent="0.3">
      <c r="B4587" s="171">
        <v>40102</v>
      </c>
      <c r="C4587" s="53">
        <v>823.55</v>
      </c>
    </row>
    <row r="4588" spans="2:3" x14ac:dyDescent="0.3">
      <c r="B4588" s="171">
        <v>40101</v>
      </c>
      <c r="C4588" s="53">
        <v>844.3</v>
      </c>
    </row>
    <row r="4589" spans="2:3" x14ac:dyDescent="0.3">
      <c r="B4589" s="171">
        <v>40100</v>
      </c>
      <c r="C4589" s="53">
        <v>811.75</v>
      </c>
    </row>
    <row r="4590" spans="2:3" x14ac:dyDescent="0.3">
      <c r="B4590" s="171">
        <v>40098</v>
      </c>
      <c r="C4590" s="53">
        <v>847.95</v>
      </c>
    </row>
    <row r="4591" spans="2:3" x14ac:dyDescent="0.3">
      <c r="B4591" s="171">
        <v>40095</v>
      </c>
      <c r="C4591" s="53">
        <v>870.15</v>
      </c>
    </row>
    <row r="4592" spans="2:3" x14ac:dyDescent="0.3">
      <c r="B4592" s="171">
        <v>40094</v>
      </c>
      <c r="C4592" s="53">
        <v>838.85</v>
      </c>
    </row>
    <row r="4593" spans="2:3" x14ac:dyDescent="0.3">
      <c r="B4593" s="171">
        <v>40093</v>
      </c>
      <c r="C4593" s="53">
        <v>822.25</v>
      </c>
    </row>
    <row r="4594" spans="2:3" x14ac:dyDescent="0.3">
      <c r="B4594" s="171">
        <v>40092</v>
      </c>
      <c r="C4594" s="53">
        <v>814.25</v>
      </c>
    </row>
    <row r="4595" spans="2:3" x14ac:dyDescent="0.3">
      <c r="B4595" s="171">
        <v>40091</v>
      </c>
      <c r="C4595" s="53">
        <v>805</v>
      </c>
    </row>
    <row r="4596" spans="2:3" x14ac:dyDescent="0.3">
      <c r="B4596" s="171">
        <v>40087</v>
      </c>
      <c r="C4596" s="53">
        <v>848.95</v>
      </c>
    </row>
    <row r="4597" spans="2:3" x14ac:dyDescent="0.3">
      <c r="B4597" s="171">
        <v>40086</v>
      </c>
      <c r="C4597" s="53">
        <v>799.6</v>
      </c>
    </row>
    <row r="4598" spans="2:3" x14ac:dyDescent="0.3">
      <c r="B4598" s="171">
        <v>40085</v>
      </c>
      <c r="C4598" s="53">
        <v>774.3</v>
      </c>
    </row>
    <row r="4599" spans="2:3" x14ac:dyDescent="0.3">
      <c r="B4599" s="171">
        <v>40081</v>
      </c>
      <c r="C4599" s="53">
        <v>751.45</v>
      </c>
    </row>
    <row r="4600" spans="2:3" x14ac:dyDescent="0.3">
      <c r="B4600" s="171">
        <v>40080</v>
      </c>
      <c r="C4600" s="53">
        <v>759.05</v>
      </c>
    </row>
    <row r="4601" spans="2:3" x14ac:dyDescent="0.3">
      <c r="B4601" s="171">
        <v>40079</v>
      </c>
      <c r="C4601" s="53">
        <v>768.8</v>
      </c>
    </row>
    <row r="4602" spans="2:3" x14ac:dyDescent="0.3">
      <c r="B4602" s="171">
        <v>40078</v>
      </c>
      <c r="C4602" s="53">
        <v>783.8</v>
      </c>
    </row>
    <row r="4603" spans="2:3" x14ac:dyDescent="0.3">
      <c r="B4603" s="171">
        <v>40074</v>
      </c>
      <c r="C4603" s="53">
        <v>785.5</v>
      </c>
    </row>
    <row r="4604" spans="2:3" x14ac:dyDescent="0.3">
      <c r="B4604" s="171">
        <v>40073</v>
      </c>
      <c r="C4604" s="53">
        <v>758.25</v>
      </c>
    </row>
    <row r="4605" spans="2:3" x14ac:dyDescent="0.3">
      <c r="B4605" s="171">
        <v>40072</v>
      </c>
      <c r="C4605" s="53">
        <v>757.75</v>
      </c>
    </row>
    <row r="4606" spans="2:3" x14ac:dyDescent="0.3">
      <c r="B4606" s="171">
        <v>40071</v>
      </c>
      <c r="C4606" s="53">
        <v>730.35</v>
      </c>
    </row>
    <row r="4607" spans="2:3" x14ac:dyDescent="0.3">
      <c r="B4607" s="171">
        <v>40070</v>
      </c>
      <c r="C4607" s="53">
        <v>730.8</v>
      </c>
    </row>
    <row r="4608" spans="2:3" x14ac:dyDescent="0.3">
      <c r="B4608" s="171">
        <v>40067</v>
      </c>
      <c r="C4608" s="53">
        <v>735.3</v>
      </c>
    </row>
    <row r="4609" spans="2:3" x14ac:dyDescent="0.3">
      <c r="B4609" s="171">
        <v>40066</v>
      </c>
      <c r="C4609" s="53">
        <v>745.05</v>
      </c>
    </row>
    <row r="4610" spans="2:3" x14ac:dyDescent="0.3">
      <c r="B4610" s="171">
        <v>40065</v>
      </c>
      <c r="C4610" s="53">
        <v>760.5</v>
      </c>
    </row>
    <row r="4611" spans="2:3" x14ac:dyDescent="0.3">
      <c r="B4611" s="171">
        <v>40064</v>
      </c>
      <c r="C4611" s="53">
        <v>757.7</v>
      </c>
    </row>
    <row r="4612" spans="2:3" x14ac:dyDescent="0.3">
      <c r="B4612" s="171">
        <v>40063</v>
      </c>
      <c r="C4612" s="53">
        <v>759.1</v>
      </c>
    </row>
    <row r="4613" spans="2:3" x14ac:dyDescent="0.3">
      <c r="B4613" s="171">
        <v>40060</v>
      </c>
      <c r="C4613" s="53">
        <v>751.85</v>
      </c>
    </row>
    <row r="4614" spans="2:3" x14ac:dyDescent="0.3">
      <c r="B4614" s="171">
        <v>40059</v>
      </c>
      <c r="C4614" s="53">
        <v>741.2</v>
      </c>
    </row>
    <row r="4615" spans="2:3" x14ac:dyDescent="0.3">
      <c r="B4615" s="171">
        <v>40058</v>
      </c>
      <c r="C4615" s="53">
        <v>738.5</v>
      </c>
    </row>
    <row r="4616" spans="2:3" x14ac:dyDescent="0.3">
      <c r="B4616" s="171">
        <v>40057</v>
      </c>
      <c r="C4616" s="53">
        <v>753.7</v>
      </c>
    </row>
    <row r="4617" spans="2:3" x14ac:dyDescent="0.3">
      <c r="B4617" s="171">
        <v>40056</v>
      </c>
      <c r="C4617" s="53">
        <v>761.8</v>
      </c>
    </row>
    <row r="4618" spans="2:3" x14ac:dyDescent="0.3">
      <c r="B4618" s="171">
        <v>40053</v>
      </c>
      <c r="C4618" s="53">
        <v>759.75</v>
      </c>
    </row>
    <row r="4619" spans="2:3" x14ac:dyDescent="0.3">
      <c r="B4619" s="171">
        <v>40052</v>
      </c>
      <c r="C4619" s="53">
        <v>731.8</v>
      </c>
    </row>
    <row r="4620" spans="2:3" x14ac:dyDescent="0.3">
      <c r="B4620" s="171">
        <v>40051</v>
      </c>
      <c r="C4620" s="53">
        <v>750.25</v>
      </c>
    </row>
    <row r="4621" spans="2:3" x14ac:dyDescent="0.3">
      <c r="B4621" s="171">
        <v>40050</v>
      </c>
      <c r="C4621" s="53">
        <v>741.3</v>
      </c>
    </row>
    <row r="4622" spans="2:3" x14ac:dyDescent="0.3">
      <c r="B4622" s="171">
        <v>40049</v>
      </c>
      <c r="C4622" s="53">
        <v>730.85</v>
      </c>
    </row>
    <row r="4623" spans="2:3" x14ac:dyDescent="0.3">
      <c r="B4623" s="171">
        <v>40046</v>
      </c>
      <c r="C4623" s="53">
        <v>709.95</v>
      </c>
    </row>
    <row r="4624" spans="2:3" x14ac:dyDescent="0.3">
      <c r="B4624" s="171">
        <v>40045</v>
      </c>
      <c r="C4624" s="53">
        <v>710.05</v>
      </c>
    </row>
    <row r="4625" spans="2:3" x14ac:dyDescent="0.3">
      <c r="B4625" s="171">
        <v>40044</v>
      </c>
      <c r="C4625" s="53">
        <v>702.65</v>
      </c>
    </row>
    <row r="4626" spans="2:3" x14ac:dyDescent="0.3">
      <c r="B4626" s="171">
        <v>40043</v>
      </c>
      <c r="C4626" s="53">
        <v>714.4</v>
      </c>
    </row>
    <row r="4627" spans="2:3" x14ac:dyDescent="0.3">
      <c r="B4627" s="171">
        <v>40042</v>
      </c>
      <c r="C4627" s="53">
        <v>719.95</v>
      </c>
    </row>
    <row r="4628" spans="2:3" x14ac:dyDescent="0.3">
      <c r="B4628" s="171">
        <v>40039</v>
      </c>
      <c r="C4628" s="53">
        <v>745</v>
      </c>
    </row>
    <row r="4629" spans="2:3" x14ac:dyDescent="0.3">
      <c r="B4629" s="171">
        <v>40038</v>
      </c>
      <c r="C4629" s="53">
        <v>752.85</v>
      </c>
    </row>
    <row r="4630" spans="2:3" x14ac:dyDescent="0.3">
      <c r="B4630" s="171">
        <v>40037</v>
      </c>
      <c r="C4630" s="53">
        <v>718.6</v>
      </c>
    </row>
    <row r="4631" spans="2:3" x14ac:dyDescent="0.3">
      <c r="B4631" s="171">
        <v>40036</v>
      </c>
      <c r="C4631" s="53">
        <v>717.3</v>
      </c>
    </row>
    <row r="4632" spans="2:3" x14ac:dyDescent="0.3">
      <c r="B4632" s="171">
        <v>40035</v>
      </c>
      <c r="C4632" s="53">
        <v>717.65</v>
      </c>
    </row>
    <row r="4633" spans="2:3" x14ac:dyDescent="0.3">
      <c r="B4633" s="171">
        <v>40032</v>
      </c>
      <c r="C4633" s="53">
        <v>769.25</v>
      </c>
    </row>
    <row r="4634" spans="2:3" x14ac:dyDescent="0.3">
      <c r="B4634" s="171">
        <v>40031</v>
      </c>
      <c r="C4634" s="53">
        <v>793</v>
      </c>
    </row>
    <row r="4635" spans="2:3" x14ac:dyDescent="0.3">
      <c r="B4635" s="171">
        <v>40030</v>
      </c>
      <c r="C4635" s="53">
        <v>798.8</v>
      </c>
    </row>
    <row r="4636" spans="2:3" x14ac:dyDescent="0.3">
      <c r="B4636" s="171">
        <v>40029</v>
      </c>
      <c r="C4636" s="53">
        <v>802.95</v>
      </c>
    </row>
    <row r="4637" spans="2:3" x14ac:dyDescent="0.3">
      <c r="B4637" s="171">
        <v>40028</v>
      </c>
      <c r="C4637" s="53">
        <v>801.5</v>
      </c>
    </row>
    <row r="4638" spans="2:3" x14ac:dyDescent="0.3">
      <c r="B4638" s="171">
        <v>40025</v>
      </c>
      <c r="C4638" s="53">
        <v>799</v>
      </c>
    </row>
    <row r="4639" spans="2:3" x14ac:dyDescent="0.3">
      <c r="B4639" s="171">
        <v>40024</v>
      </c>
      <c r="C4639" s="53">
        <v>796.9</v>
      </c>
    </row>
    <row r="4640" spans="2:3" x14ac:dyDescent="0.3">
      <c r="B4640" s="171">
        <v>40023</v>
      </c>
      <c r="C4640" s="53">
        <v>790.05</v>
      </c>
    </row>
    <row r="4641" spans="2:3" x14ac:dyDescent="0.3">
      <c r="B4641" s="171">
        <v>40022</v>
      </c>
      <c r="C4641" s="53">
        <v>808.7</v>
      </c>
    </row>
    <row r="4642" spans="2:3" x14ac:dyDescent="0.3">
      <c r="B4642" s="171">
        <v>40021</v>
      </c>
      <c r="C4642" s="53">
        <v>797.7</v>
      </c>
    </row>
    <row r="4643" spans="2:3" x14ac:dyDescent="0.3">
      <c r="B4643" s="171">
        <v>40018</v>
      </c>
      <c r="C4643" s="53">
        <v>775.1</v>
      </c>
    </row>
    <row r="4644" spans="2:3" x14ac:dyDescent="0.3">
      <c r="B4644" s="171">
        <v>40017</v>
      </c>
      <c r="C4644" s="53">
        <v>764.7</v>
      </c>
    </row>
    <row r="4645" spans="2:3" x14ac:dyDescent="0.3">
      <c r="B4645" s="171">
        <v>40016</v>
      </c>
      <c r="C4645" s="53">
        <v>751.35</v>
      </c>
    </row>
    <row r="4646" spans="2:3" x14ac:dyDescent="0.3">
      <c r="B4646" s="171">
        <v>40015</v>
      </c>
      <c r="C4646" s="53">
        <v>775.65</v>
      </c>
    </row>
    <row r="4647" spans="2:3" x14ac:dyDescent="0.3">
      <c r="B4647" s="171">
        <v>40014</v>
      </c>
      <c r="C4647" s="53">
        <v>772.15</v>
      </c>
    </row>
    <row r="4648" spans="2:3" x14ac:dyDescent="0.3">
      <c r="B4648" s="171">
        <v>40011</v>
      </c>
      <c r="C4648" s="53">
        <v>745.7</v>
      </c>
    </row>
    <row r="4649" spans="2:3" x14ac:dyDescent="0.3">
      <c r="B4649" s="171">
        <v>40010</v>
      </c>
      <c r="C4649" s="53">
        <v>741</v>
      </c>
    </row>
    <row r="4650" spans="2:3" x14ac:dyDescent="0.3">
      <c r="B4650" s="171">
        <v>40009</v>
      </c>
      <c r="C4650" s="53">
        <v>739.3</v>
      </c>
    </row>
    <row r="4651" spans="2:3" x14ac:dyDescent="0.3">
      <c r="B4651" s="171">
        <v>40008</v>
      </c>
      <c r="C4651" s="53">
        <v>725.4</v>
      </c>
    </row>
    <row r="4652" spans="2:3" x14ac:dyDescent="0.3">
      <c r="B4652" s="171">
        <v>40007</v>
      </c>
      <c r="C4652" s="53">
        <v>721.85</v>
      </c>
    </row>
    <row r="4653" spans="2:3" x14ac:dyDescent="0.3">
      <c r="B4653" s="171">
        <v>40004</v>
      </c>
      <c r="C4653" s="53">
        <v>730.25</v>
      </c>
    </row>
    <row r="4654" spans="2:3" x14ac:dyDescent="0.3">
      <c r="B4654" s="171">
        <v>40003</v>
      </c>
      <c r="C4654" s="53">
        <v>732.25</v>
      </c>
    </row>
    <row r="4655" spans="2:3" x14ac:dyDescent="0.3">
      <c r="B4655" s="171">
        <v>40002</v>
      </c>
      <c r="C4655" s="53">
        <v>722.4</v>
      </c>
    </row>
    <row r="4656" spans="2:3" x14ac:dyDescent="0.3">
      <c r="B4656" s="171">
        <v>40001</v>
      </c>
      <c r="C4656" s="53">
        <v>720</v>
      </c>
    </row>
    <row r="4657" spans="2:3" x14ac:dyDescent="0.3">
      <c r="B4657" s="171">
        <v>40000</v>
      </c>
      <c r="C4657" s="53">
        <v>689.4</v>
      </c>
    </row>
    <row r="4658" spans="2:3" x14ac:dyDescent="0.3">
      <c r="B4658" s="171">
        <v>39997</v>
      </c>
      <c r="C4658" s="53">
        <v>707.2</v>
      </c>
    </row>
    <row r="4659" spans="2:3" x14ac:dyDescent="0.3">
      <c r="B4659" s="171">
        <v>39996</v>
      </c>
      <c r="C4659" s="53">
        <v>681.25</v>
      </c>
    </row>
    <row r="4660" spans="2:3" x14ac:dyDescent="0.3">
      <c r="B4660" s="171">
        <v>39995</v>
      </c>
      <c r="C4660" s="53">
        <v>681.95</v>
      </c>
    </row>
    <row r="4661" spans="2:3" x14ac:dyDescent="0.3">
      <c r="B4661" s="171">
        <v>39994</v>
      </c>
      <c r="C4661" s="53">
        <v>689.6</v>
      </c>
    </row>
    <row r="4662" spans="2:3" x14ac:dyDescent="0.3">
      <c r="B4662" s="171">
        <v>39993</v>
      </c>
      <c r="C4662" s="53">
        <v>706.9</v>
      </c>
    </row>
    <row r="4663" spans="2:3" x14ac:dyDescent="0.3">
      <c r="B4663" s="171">
        <v>39990</v>
      </c>
      <c r="C4663" s="53">
        <v>714.25</v>
      </c>
    </row>
    <row r="4664" spans="2:3" x14ac:dyDescent="0.3">
      <c r="B4664" s="171">
        <v>39989</v>
      </c>
      <c r="C4664" s="53">
        <v>709.1</v>
      </c>
    </row>
    <row r="4665" spans="2:3" x14ac:dyDescent="0.3">
      <c r="B4665" s="171">
        <v>39988</v>
      </c>
      <c r="C4665" s="53">
        <v>689.65</v>
      </c>
    </row>
    <row r="4666" spans="2:3" x14ac:dyDescent="0.3">
      <c r="B4666" s="171">
        <v>39987</v>
      </c>
      <c r="C4666" s="53">
        <v>655.29999999999995</v>
      </c>
    </row>
    <row r="4667" spans="2:3" x14ac:dyDescent="0.3">
      <c r="B4667" s="171">
        <v>39986</v>
      </c>
      <c r="C4667" s="53">
        <v>656.95</v>
      </c>
    </row>
    <row r="4668" spans="2:3" x14ac:dyDescent="0.3">
      <c r="B4668" s="171">
        <v>39983</v>
      </c>
      <c r="C4668" s="53">
        <v>670.65</v>
      </c>
    </row>
    <row r="4669" spans="2:3" x14ac:dyDescent="0.3">
      <c r="B4669" s="171">
        <v>39982</v>
      </c>
      <c r="C4669" s="53">
        <v>675.75</v>
      </c>
    </row>
    <row r="4670" spans="2:3" x14ac:dyDescent="0.3">
      <c r="B4670" s="171">
        <v>39981</v>
      </c>
      <c r="C4670" s="53">
        <v>714.7</v>
      </c>
    </row>
    <row r="4671" spans="2:3" x14ac:dyDescent="0.3">
      <c r="B4671" s="171">
        <v>39980</v>
      </c>
      <c r="C4671" s="53">
        <v>711.35</v>
      </c>
    </row>
    <row r="4672" spans="2:3" x14ac:dyDescent="0.3">
      <c r="B4672" s="171">
        <v>39979</v>
      </c>
      <c r="C4672" s="53">
        <v>728.35</v>
      </c>
    </row>
    <row r="4673" spans="2:3" x14ac:dyDescent="0.3">
      <c r="B4673" s="171">
        <v>39976</v>
      </c>
      <c r="C4673" s="53">
        <v>732.1</v>
      </c>
    </row>
    <row r="4674" spans="2:3" x14ac:dyDescent="0.3">
      <c r="B4674" s="171">
        <v>39975</v>
      </c>
      <c r="C4674" s="53">
        <v>732.15</v>
      </c>
    </row>
    <row r="4675" spans="2:3" x14ac:dyDescent="0.3">
      <c r="B4675" s="171">
        <v>39974</v>
      </c>
      <c r="C4675" s="53">
        <v>762.8</v>
      </c>
    </row>
    <row r="4676" spans="2:3" x14ac:dyDescent="0.3">
      <c r="B4676" s="171">
        <v>39973</v>
      </c>
      <c r="C4676" s="53">
        <v>731.95</v>
      </c>
    </row>
    <row r="4677" spans="2:3" x14ac:dyDescent="0.3">
      <c r="B4677" s="171">
        <v>39972</v>
      </c>
      <c r="C4677" s="53">
        <v>717.45</v>
      </c>
    </row>
    <row r="4678" spans="2:3" x14ac:dyDescent="0.3">
      <c r="B4678" s="171">
        <v>39969</v>
      </c>
      <c r="C4678" s="53">
        <v>741.6</v>
      </c>
    </row>
    <row r="4679" spans="2:3" x14ac:dyDescent="0.3">
      <c r="B4679" s="171">
        <v>39968</v>
      </c>
      <c r="C4679" s="53">
        <v>781.4</v>
      </c>
    </row>
    <row r="4680" spans="2:3" x14ac:dyDescent="0.3">
      <c r="B4680" s="171">
        <v>39967</v>
      </c>
      <c r="C4680" s="53">
        <v>727</v>
      </c>
    </row>
    <row r="4681" spans="2:3" x14ac:dyDescent="0.3">
      <c r="B4681" s="171">
        <v>39966</v>
      </c>
      <c r="C4681" s="53">
        <v>739.7</v>
      </c>
    </row>
    <row r="4682" spans="2:3" x14ac:dyDescent="0.3">
      <c r="B4682" s="171">
        <v>39965</v>
      </c>
      <c r="C4682" s="53">
        <v>752.6</v>
      </c>
    </row>
    <row r="4683" spans="2:3" x14ac:dyDescent="0.3">
      <c r="B4683" s="171">
        <v>39962</v>
      </c>
      <c r="C4683" s="53">
        <v>717.8</v>
      </c>
    </row>
    <row r="4684" spans="2:3" x14ac:dyDescent="0.3">
      <c r="B4684" s="171">
        <v>39961</v>
      </c>
      <c r="C4684" s="53">
        <v>691.25</v>
      </c>
    </row>
    <row r="4685" spans="2:3" x14ac:dyDescent="0.3">
      <c r="B4685" s="171">
        <v>39960</v>
      </c>
      <c r="C4685" s="53">
        <v>689.25</v>
      </c>
    </row>
    <row r="4686" spans="2:3" x14ac:dyDescent="0.3">
      <c r="B4686" s="171">
        <v>39959</v>
      </c>
      <c r="C4686" s="53">
        <v>690.25</v>
      </c>
    </row>
    <row r="4687" spans="2:3" x14ac:dyDescent="0.3">
      <c r="B4687" s="171">
        <v>39958</v>
      </c>
      <c r="C4687" s="53">
        <v>674.95</v>
      </c>
    </row>
    <row r="4688" spans="2:3" x14ac:dyDescent="0.3">
      <c r="B4688" s="171">
        <v>39955</v>
      </c>
      <c r="C4688" s="53">
        <v>659.95</v>
      </c>
    </row>
    <row r="4689" spans="2:3" x14ac:dyDescent="0.3">
      <c r="B4689" s="171">
        <v>39954</v>
      </c>
      <c r="C4689" s="53">
        <v>689.2</v>
      </c>
    </row>
    <row r="4690" spans="2:3" x14ac:dyDescent="0.3">
      <c r="B4690" s="171">
        <v>39953</v>
      </c>
      <c r="C4690" s="53">
        <v>659.25</v>
      </c>
    </row>
    <row r="4691" spans="2:3" x14ac:dyDescent="0.3">
      <c r="B4691" s="171">
        <v>39952</v>
      </c>
      <c r="C4691" s="53">
        <v>639.85</v>
      </c>
    </row>
    <row r="4692" spans="2:3" x14ac:dyDescent="0.3">
      <c r="B4692" s="171">
        <v>39951</v>
      </c>
      <c r="C4692" s="53">
        <v>650.65</v>
      </c>
    </row>
    <row r="4693" spans="2:3" x14ac:dyDescent="0.3">
      <c r="B4693" s="171">
        <v>39948</v>
      </c>
      <c r="C4693" s="53">
        <v>567.54999999999995</v>
      </c>
    </row>
    <row r="4694" spans="2:3" x14ac:dyDescent="0.3">
      <c r="B4694" s="171">
        <v>39947</v>
      </c>
      <c r="C4694" s="53">
        <v>573.85</v>
      </c>
    </row>
    <row r="4695" spans="2:3" x14ac:dyDescent="0.3">
      <c r="B4695" s="171">
        <v>39946</v>
      </c>
      <c r="C4695" s="53">
        <v>574.25</v>
      </c>
    </row>
    <row r="4696" spans="2:3" x14ac:dyDescent="0.3">
      <c r="B4696" s="171">
        <v>39945</v>
      </c>
      <c r="C4696" s="53">
        <v>569.54999999999995</v>
      </c>
    </row>
    <row r="4697" spans="2:3" x14ac:dyDescent="0.3">
      <c r="B4697" s="171">
        <v>39944</v>
      </c>
      <c r="C4697" s="53">
        <v>558.85</v>
      </c>
    </row>
    <row r="4698" spans="2:3" x14ac:dyDescent="0.3">
      <c r="B4698" s="171">
        <v>39941</v>
      </c>
      <c r="C4698" s="53">
        <v>558.85</v>
      </c>
    </row>
    <row r="4699" spans="2:3" x14ac:dyDescent="0.3">
      <c r="B4699" s="171">
        <v>39940</v>
      </c>
      <c r="C4699" s="53">
        <v>559.65</v>
      </c>
    </row>
    <row r="4700" spans="2:3" x14ac:dyDescent="0.3">
      <c r="B4700" s="171">
        <v>39939</v>
      </c>
      <c r="C4700" s="53">
        <v>568.04999999999995</v>
      </c>
    </row>
    <row r="4701" spans="2:3" x14ac:dyDescent="0.3">
      <c r="B4701" s="171">
        <v>39938</v>
      </c>
      <c r="C4701" s="53">
        <v>587.1</v>
      </c>
    </row>
    <row r="4702" spans="2:3" x14ac:dyDescent="0.3">
      <c r="B4702" s="171">
        <v>39937</v>
      </c>
      <c r="C4702" s="53">
        <v>593.45000000000005</v>
      </c>
    </row>
    <row r="4703" spans="2:3" x14ac:dyDescent="0.3">
      <c r="B4703" s="171">
        <v>39932</v>
      </c>
      <c r="C4703" s="53">
        <v>570.20000000000005</v>
      </c>
    </row>
    <row r="4704" spans="2:3" x14ac:dyDescent="0.3">
      <c r="B4704" s="171">
        <v>39931</v>
      </c>
      <c r="C4704" s="53">
        <v>572.54999999999995</v>
      </c>
    </row>
    <row r="4705" spans="2:3" x14ac:dyDescent="0.3">
      <c r="B4705" s="171">
        <v>39930</v>
      </c>
      <c r="C4705" s="53">
        <v>570.54999999999995</v>
      </c>
    </row>
    <row r="4706" spans="2:3" x14ac:dyDescent="0.3">
      <c r="B4706" s="171">
        <v>39927</v>
      </c>
      <c r="C4706" s="53">
        <v>568.5</v>
      </c>
    </row>
    <row r="4707" spans="2:3" x14ac:dyDescent="0.3">
      <c r="B4707" s="171">
        <v>39926</v>
      </c>
      <c r="C4707" s="53">
        <v>560.1</v>
      </c>
    </row>
    <row r="4708" spans="2:3" x14ac:dyDescent="0.3">
      <c r="B4708" s="171">
        <v>39925</v>
      </c>
      <c r="C4708" s="53">
        <v>567.15</v>
      </c>
    </row>
    <row r="4709" spans="2:3" x14ac:dyDescent="0.3">
      <c r="B4709" s="171">
        <v>39924</v>
      </c>
      <c r="C4709" s="53">
        <v>566.5</v>
      </c>
    </row>
    <row r="4710" spans="2:3" x14ac:dyDescent="0.3">
      <c r="B4710" s="171">
        <v>39923</v>
      </c>
      <c r="C4710" s="53">
        <v>571.6</v>
      </c>
    </row>
    <row r="4711" spans="2:3" x14ac:dyDescent="0.3">
      <c r="B4711" s="171">
        <v>39920</v>
      </c>
      <c r="C4711" s="53">
        <v>566.04999999999995</v>
      </c>
    </row>
    <row r="4712" spans="2:3" x14ac:dyDescent="0.3">
      <c r="B4712" s="171">
        <v>39919</v>
      </c>
      <c r="C4712" s="53">
        <v>546.54999999999995</v>
      </c>
    </row>
    <row r="4713" spans="2:3" x14ac:dyDescent="0.3">
      <c r="B4713" s="171">
        <v>39918</v>
      </c>
      <c r="C4713" s="53">
        <v>561.20000000000005</v>
      </c>
    </row>
    <row r="4714" spans="2:3" x14ac:dyDescent="0.3">
      <c r="B4714" s="171">
        <v>39916</v>
      </c>
      <c r="C4714" s="53">
        <v>533.85</v>
      </c>
    </row>
    <row r="4715" spans="2:3" x14ac:dyDescent="0.3">
      <c r="B4715" s="171">
        <v>39912</v>
      </c>
      <c r="C4715" s="53">
        <v>529.4</v>
      </c>
    </row>
    <row r="4716" spans="2:3" x14ac:dyDescent="0.3">
      <c r="B4716" s="171">
        <v>39911</v>
      </c>
      <c r="C4716" s="53">
        <v>542.25</v>
      </c>
    </row>
    <row r="4717" spans="2:3" x14ac:dyDescent="0.3">
      <c r="B4717" s="171">
        <v>39909</v>
      </c>
      <c r="C4717" s="53">
        <v>537.95000000000005</v>
      </c>
    </row>
    <row r="4718" spans="2:3" x14ac:dyDescent="0.3">
      <c r="B4718" s="171">
        <v>39905</v>
      </c>
      <c r="C4718" s="53">
        <v>549.15</v>
      </c>
    </row>
    <row r="4719" spans="2:3" x14ac:dyDescent="0.3">
      <c r="B4719" s="171">
        <v>39904</v>
      </c>
      <c r="C4719" s="53">
        <v>535.20000000000005</v>
      </c>
    </row>
    <row r="4720" spans="2:3" x14ac:dyDescent="0.3">
      <c r="B4720" s="171">
        <v>39903</v>
      </c>
      <c r="C4720" s="53">
        <v>551.35</v>
      </c>
    </row>
    <row r="4721" spans="2:3" x14ac:dyDescent="0.3">
      <c r="B4721" s="171">
        <v>39902</v>
      </c>
      <c r="C4721" s="53">
        <v>530.95000000000005</v>
      </c>
    </row>
    <row r="4722" spans="2:3" x14ac:dyDescent="0.3">
      <c r="B4722" s="171">
        <v>39899</v>
      </c>
      <c r="C4722" s="53">
        <v>529.20000000000005</v>
      </c>
    </row>
    <row r="4723" spans="2:3" x14ac:dyDescent="0.3">
      <c r="B4723" s="171">
        <v>39898</v>
      </c>
      <c r="C4723" s="53">
        <v>519.95000000000005</v>
      </c>
    </row>
    <row r="4724" spans="2:3" x14ac:dyDescent="0.3">
      <c r="B4724" s="171">
        <v>39897</v>
      </c>
      <c r="C4724" s="53">
        <v>512.75</v>
      </c>
    </row>
    <row r="4725" spans="2:3" x14ac:dyDescent="0.3">
      <c r="B4725" s="171">
        <v>39896</v>
      </c>
      <c r="C4725" s="53">
        <v>512.45000000000005</v>
      </c>
    </row>
    <row r="4726" spans="2:3" x14ac:dyDescent="0.3">
      <c r="B4726" s="171">
        <v>39895</v>
      </c>
      <c r="C4726" s="53">
        <v>509.85</v>
      </c>
    </row>
    <row r="4727" spans="2:3" x14ac:dyDescent="0.3">
      <c r="B4727" s="171">
        <v>39892</v>
      </c>
      <c r="C4727" s="53">
        <v>471.65</v>
      </c>
    </row>
    <row r="4728" spans="2:3" x14ac:dyDescent="0.3">
      <c r="B4728" s="171">
        <v>39891</v>
      </c>
      <c r="C4728" s="53">
        <v>473.1</v>
      </c>
    </row>
    <row r="4729" spans="2:3" x14ac:dyDescent="0.3">
      <c r="B4729" s="171">
        <v>39890</v>
      </c>
      <c r="C4729" s="53">
        <v>464.25</v>
      </c>
    </row>
    <row r="4730" spans="2:3" x14ac:dyDescent="0.3">
      <c r="B4730" s="171">
        <v>39889</v>
      </c>
      <c r="C4730" s="53">
        <v>478.4</v>
      </c>
    </row>
    <row r="4731" spans="2:3" x14ac:dyDescent="0.3">
      <c r="B4731" s="171">
        <v>39888</v>
      </c>
      <c r="C4731" s="53">
        <v>482.5</v>
      </c>
    </row>
    <row r="4732" spans="2:3" x14ac:dyDescent="0.3">
      <c r="B4732" s="171">
        <v>39885</v>
      </c>
      <c r="C4732" s="53">
        <v>471</v>
      </c>
    </row>
    <row r="4733" spans="2:3" x14ac:dyDescent="0.3">
      <c r="B4733" s="171">
        <v>39884</v>
      </c>
      <c r="C4733" s="53">
        <v>454.6</v>
      </c>
    </row>
    <row r="4734" spans="2:3" x14ac:dyDescent="0.3">
      <c r="B4734" s="171">
        <v>39881</v>
      </c>
      <c r="C4734" s="53">
        <v>467.55</v>
      </c>
    </row>
    <row r="4735" spans="2:3" x14ac:dyDescent="0.3">
      <c r="B4735" s="171">
        <v>39878</v>
      </c>
      <c r="C4735" s="53">
        <v>497.5</v>
      </c>
    </row>
    <row r="4736" spans="2:3" x14ac:dyDescent="0.3">
      <c r="B4736" s="171">
        <v>39877</v>
      </c>
      <c r="C4736" s="53">
        <v>477.4</v>
      </c>
    </row>
    <row r="4737" spans="2:3" x14ac:dyDescent="0.3">
      <c r="B4737" s="171">
        <v>39876</v>
      </c>
      <c r="C4737" s="53">
        <v>475.3</v>
      </c>
    </row>
    <row r="4738" spans="2:3" x14ac:dyDescent="0.3">
      <c r="B4738" s="171">
        <v>39875</v>
      </c>
      <c r="C4738" s="53">
        <v>457.95</v>
      </c>
    </row>
    <row r="4739" spans="2:3" x14ac:dyDescent="0.3">
      <c r="B4739" s="171">
        <v>39874</v>
      </c>
      <c r="C4739" s="53">
        <v>452.05</v>
      </c>
    </row>
    <row r="4740" spans="2:3" x14ac:dyDescent="0.3">
      <c r="B4740" s="171">
        <v>39871</v>
      </c>
      <c r="C4740" s="53">
        <v>470.1</v>
      </c>
    </row>
    <row r="4741" spans="2:3" x14ac:dyDescent="0.3">
      <c r="B4741" s="171">
        <v>39870</v>
      </c>
      <c r="C4741" s="53">
        <v>476</v>
      </c>
    </row>
    <row r="4742" spans="2:3" x14ac:dyDescent="0.3">
      <c r="B4742" s="171">
        <v>39869</v>
      </c>
      <c r="C4742" s="53">
        <v>440.65</v>
      </c>
    </row>
    <row r="4743" spans="2:3" x14ac:dyDescent="0.3">
      <c r="B4743" s="171">
        <v>39868</v>
      </c>
      <c r="C4743" s="53">
        <v>424.15</v>
      </c>
    </row>
    <row r="4744" spans="2:3" x14ac:dyDescent="0.3">
      <c r="B4744" s="171">
        <v>39864</v>
      </c>
      <c r="C4744" s="53">
        <v>416.95</v>
      </c>
    </row>
    <row r="4745" spans="2:3" x14ac:dyDescent="0.3">
      <c r="B4745" s="171">
        <v>39863</v>
      </c>
      <c r="C4745" s="53">
        <v>419.15</v>
      </c>
    </row>
    <row r="4746" spans="2:3" x14ac:dyDescent="0.3">
      <c r="B4746" s="171">
        <v>39862</v>
      </c>
      <c r="C4746" s="53">
        <v>420.2</v>
      </c>
    </row>
    <row r="4747" spans="2:3" x14ac:dyDescent="0.3">
      <c r="B4747" s="171">
        <v>39861</v>
      </c>
      <c r="C4747" s="53">
        <v>409.85</v>
      </c>
    </row>
    <row r="4748" spans="2:3" x14ac:dyDescent="0.3">
      <c r="B4748" s="171">
        <v>39860</v>
      </c>
      <c r="C4748" s="53">
        <v>422.35</v>
      </c>
    </row>
    <row r="4749" spans="2:3" x14ac:dyDescent="0.3">
      <c r="B4749" s="171">
        <v>39857</v>
      </c>
      <c r="C4749" s="53">
        <v>420.7</v>
      </c>
    </row>
    <row r="4750" spans="2:3" x14ac:dyDescent="0.3">
      <c r="B4750" s="171">
        <v>39856</v>
      </c>
      <c r="C4750" s="53">
        <v>412.05</v>
      </c>
    </row>
    <row r="4751" spans="2:3" x14ac:dyDescent="0.3">
      <c r="B4751" s="171">
        <v>39855</v>
      </c>
      <c r="C4751" s="53">
        <v>420.6</v>
      </c>
    </row>
    <row r="4752" spans="2:3" x14ac:dyDescent="0.3">
      <c r="B4752" s="171">
        <v>39854</v>
      </c>
      <c r="C4752" s="53">
        <v>418.9</v>
      </c>
    </row>
    <row r="4753" spans="2:3" x14ac:dyDescent="0.3">
      <c r="B4753" s="171">
        <v>39853</v>
      </c>
      <c r="C4753" s="53">
        <v>413.05</v>
      </c>
    </row>
    <row r="4754" spans="2:3" x14ac:dyDescent="0.3">
      <c r="B4754" s="171">
        <v>39850</v>
      </c>
      <c r="C4754" s="53">
        <v>416.05</v>
      </c>
    </row>
    <row r="4755" spans="2:3" x14ac:dyDescent="0.3">
      <c r="B4755" s="171">
        <v>39849</v>
      </c>
      <c r="C4755" s="53">
        <v>412.1</v>
      </c>
    </row>
    <row r="4756" spans="2:3" x14ac:dyDescent="0.3">
      <c r="B4756" s="171">
        <v>39848</v>
      </c>
      <c r="C4756" s="53">
        <v>412.8</v>
      </c>
    </row>
    <row r="4757" spans="2:3" x14ac:dyDescent="0.3">
      <c r="B4757" s="171">
        <v>39847</v>
      </c>
      <c r="C4757" s="53">
        <v>412.95</v>
      </c>
    </row>
    <row r="4758" spans="2:3" x14ac:dyDescent="0.3">
      <c r="B4758" s="171">
        <v>39846</v>
      </c>
      <c r="C4758" s="53">
        <v>388.45</v>
      </c>
    </row>
    <row r="4759" spans="2:3" x14ac:dyDescent="0.3">
      <c r="B4759" s="171">
        <v>39843</v>
      </c>
      <c r="C4759" s="53">
        <v>395.95</v>
      </c>
    </row>
    <row r="4760" spans="2:3" x14ac:dyDescent="0.3">
      <c r="B4760" s="171">
        <v>39842</v>
      </c>
      <c r="C4760" s="53">
        <v>415.2</v>
      </c>
    </row>
    <row r="4761" spans="2:3" x14ac:dyDescent="0.3">
      <c r="B4761" s="171">
        <v>39841</v>
      </c>
      <c r="C4761" s="53">
        <v>412.15</v>
      </c>
    </row>
    <row r="4762" spans="2:3" x14ac:dyDescent="0.3">
      <c r="B4762" s="171">
        <v>39840</v>
      </c>
      <c r="C4762" s="53">
        <v>391</v>
      </c>
    </row>
    <row r="4763" spans="2:3" x14ac:dyDescent="0.3">
      <c r="B4763" s="171">
        <v>39836</v>
      </c>
      <c r="C4763" s="53">
        <v>395.8</v>
      </c>
    </row>
    <row r="4764" spans="2:3" x14ac:dyDescent="0.3">
      <c r="B4764" s="171">
        <v>39835</v>
      </c>
      <c r="C4764" s="53">
        <v>388.9</v>
      </c>
    </row>
    <row r="4765" spans="2:3" x14ac:dyDescent="0.3">
      <c r="B4765" s="171">
        <v>39834</v>
      </c>
      <c r="C4765" s="53">
        <v>389.7</v>
      </c>
    </row>
    <row r="4766" spans="2:3" x14ac:dyDescent="0.3">
      <c r="B4766" s="171">
        <v>39833</v>
      </c>
      <c r="C4766" s="53">
        <v>388.95</v>
      </c>
    </row>
    <row r="4767" spans="2:3" x14ac:dyDescent="0.3">
      <c r="B4767" s="171">
        <v>39832</v>
      </c>
      <c r="C4767" s="53">
        <v>380.7</v>
      </c>
    </row>
    <row r="4768" spans="2:3" x14ac:dyDescent="0.3">
      <c r="B4768" s="171">
        <v>39829</v>
      </c>
      <c r="C4768" s="53">
        <v>370.65</v>
      </c>
    </row>
    <row r="4769" spans="2:3" x14ac:dyDescent="0.3">
      <c r="B4769" s="171">
        <v>39828</v>
      </c>
      <c r="C4769" s="53">
        <v>358.8</v>
      </c>
    </row>
    <row r="4770" spans="2:3" x14ac:dyDescent="0.3">
      <c r="B4770" s="171">
        <v>39827</v>
      </c>
      <c r="C4770" s="53">
        <v>359.55</v>
      </c>
    </row>
    <row r="4771" spans="2:3" x14ac:dyDescent="0.3">
      <c r="B4771" s="171">
        <v>39826</v>
      </c>
      <c r="C4771" s="53">
        <v>365.15</v>
      </c>
    </row>
    <row r="4772" spans="2:3" x14ac:dyDescent="0.3">
      <c r="B4772" s="171">
        <v>39825</v>
      </c>
      <c r="C4772" s="53">
        <v>379.35</v>
      </c>
    </row>
    <row r="4773" spans="2:3" x14ac:dyDescent="0.3">
      <c r="B4773" s="171">
        <v>39822</v>
      </c>
      <c r="C4773" s="53">
        <v>396.75</v>
      </c>
    </row>
    <row r="4774" spans="2:3" x14ac:dyDescent="0.3">
      <c r="B4774" s="171">
        <v>39820</v>
      </c>
      <c r="C4774" s="53">
        <v>409.4</v>
      </c>
    </row>
    <row r="4775" spans="2:3" x14ac:dyDescent="0.3">
      <c r="B4775" s="171">
        <v>39819</v>
      </c>
      <c r="C4775" s="53">
        <v>429.2</v>
      </c>
    </row>
    <row r="4776" spans="2:3" x14ac:dyDescent="0.3">
      <c r="B4776" s="171">
        <v>39818</v>
      </c>
      <c r="C4776" s="53">
        <v>384.85</v>
      </c>
    </row>
    <row r="4777" spans="2:3" x14ac:dyDescent="0.3">
      <c r="B4777" s="171">
        <v>39815</v>
      </c>
      <c r="C4777" s="53">
        <v>386.3</v>
      </c>
    </row>
    <row r="4778" spans="2:3" x14ac:dyDescent="0.3">
      <c r="B4778" s="171">
        <v>39814</v>
      </c>
      <c r="C4778" s="53">
        <v>395.5</v>
      </c>
    </row>
    <row r="4779" spans="2:3" x14ac:dyDescent="0.3">
      <c r="B4779" s="171">
        <v>39813</v>
      </c>
      <c r="C4779" s="53">
        <v>385.5</v>
      </c>
    </row>
    <row r="4780" spans="2:3" x14ac:dyDescent="0.3">
      <c r="B4780" s="171">
        <v>39812</v>
      </c>
      <c r="C4780" s="53">
        <v>383.3</v>
      </c>
    </row>
    <row r="4781" spans="2:3" x14ac:dyDescent="0.3">
      <c r="B4781" s="171">
        <v>39811</v>
      </c>
      <c r="C4781" s="53">
        <v>373.75</v>
      </c>
    </row>
    <row r="4782" spans="2:3" x14ac:dyDescent="0.3">
      <c r="B4782" s="171">
        <v>39808</v>
      </c>
      <c r="C4782" s="53">
        <v>360.8</v>
      </c>
    </row>
    <row r="4783" spans="2:3" x14ac:dyDescent="0.3">
      <c r="B4783" s="171">
        <v>39806</v>
      </c>
      <c r="C4783" s="53">
        <v>358.25</v>
      </c>
    </row>
    <row r="4784" spans="2:3" x14ac:dyDescent="0.3">
      <c r="B4784" s="171">
        <v>39805</v>
      </c>
      <c r="C4784" s="53">
        <v>358.45</v>
      </c>
    </row>
    <row r="4785" spans="2:3" x14ac:dyDescent="0.3">
      <c r="B4785" s="171">
        <v>39804</v>
      </c>
      <c r="C4785" s="53">
        <v>359.75</v>
      </c>
    </row>
    <row r="4786" spans="2:3" x14ac:dyDescent="0.3">
      <c r="B4786" s="171">
        <v>39801</v>
      </c>
      <c r="C4786" s="53">
        <v>360.15</v>
      </c>
    </row>
    <row r="4787" spans="2:3" x14ac:dyDescent="0.3">
      <c r="B4787" s="171">
        <v>39800</v>
      </c>
      <c r="C4787" s="53">
        <v>358.9</v>
      </c>
    </row>
    <row r="4788" spans="2:3" x14ac:dyDescent="0.3">
      <c r="B4788" s="171">
        <v>39799</v>
      </c>
      <c r="C4788" s="53">
        <v>367.35</v>
      </c>
    </row>
    <row r="4789" spans="2:3" x14ac:dyDescent="0.3">
      <c r="B4789" s="171">
        <v>39798</v>
      </c>
      <c r="C4789" s="53">
        <v>369.9</v>
      </c>
    </row>
    <row r="4790" spans="2:3" x14ac:dyDescent="0.3">
      <c r="B4790" s="171">
        <v>39797</v>
      </c>
      <c r="C4790" s="53">
        <v>347.4</v>
      </c>
    </row>
    <row r="4791" spans="2:3" x14ac:dyDescent="0.3">
      <c r="B4791" s="171">
        <v>39794</v>
      </c>
      <c r="C4791" s="53">
        <v>340.05</v>
      </c>
    </row>
    <row r="4792" spans="2:3" x14ac:dyDescent="0.3">
      <c r="B4792" s="171">
        <v>39793</v>
      </c>
      <c r="C4792" s="53">
        <v>341.15</v>
      </c>
    </row>
    <row r="4793" spans="2:3" x14ac:dyDescent="0.3">
      <c r="B4793" s="171">
        <v>39792</v>
      </c>
      <c r="C4793" s="53">
        <v>328.4</v>
      </c>
    </row>
    <row r="4794" spans="2:3" x14ac:dyDescent="0.3">
      <c r="B4794" s="171">
        <v>39790</v>
      </c>
      <c r="C4794" s="53">
        <v>299.14999999999998</v>
      </c>
    </row>
    <row r="4795" spans="2:3" x14ac:dyDescent="0.3">
      <c r="B4795" s="171">
        <v>39787</v>
      </c>
      <c r="C4795" s="53">
        <v>289.95</v>
      </c>
    </row>
    <row r="4796" spans="2:3" x14ac:dyDescent="0.3">
      <c r="B4796" s="171">
        <v>39786</v>
      </c>
      <c r="C4796" s="53">
        <v>280</v>
      </c>
    </row>
    <row r="4797" spans="2:3" x14ac:dyDescent="0.3">
      <c r="B4797" s="171">
        <v>39785</v>
      </c>
      <c r="C4797" s="53">
        <v>276.5</v>
      </c>
    </row>
    <row r="4798" spans="2:3" x14ac:dyDescent="0.3">
      <c r="B4798" s="171">
        <v>39784</v>
      </c>
      <c r="C4798" s="53">
        <v>264.60000000000002</v>
      </c>
    </row>
    <row r="4799" spans="2:3" x14ac:dyDescent="0.3">
      <c r="B4799" s="171">
        <v>39783</v>
      </c>
      <c r="C4799" s="53">
        <v>270.45</v>
      </c>
    </row>
    <row r="4800" spans="2:3" x14ac:dyDescent="0.3">
      <c r="B4800" s="171">
        <v>39780</v>
      </c>
      <c r="C4800" s="53">
        <v>269</v>
      </c>
    </row>
    <row r="4801" spans="2:3" x14ac:dyDescent="0.3">
      <c r="B4801" s="171">
        <v>39778</v>
      </c>
      <c r="C4801" s="53">
        <v>280.2</v>
      </c>
    </row>
    <row r="4802" spans="2:3" x14ac:dyDescent="0.3">
      <c r="B4802" s="171">
        <v>39777</v>
      </c>
      <c r="C4802" s="53">
        <v>258.89999999999998</v>
      </c>
    </row>
    <row r="4803" spans="2:3" x14ac:dyDescent="0.3">
      <c r="B4803" s="171">
        <v>39776</v>
      </c>
      <c r="C4803" s="53">
        <v>265.45</v>
      </c>
    </row>
    <row r="4804" spans="2:3" x14ac:dyDescent="0.3">
      <c r="B4804" s="171">
        <v>39773</v>
      </c>
      <c r="C4804" s="53">
        <v>289.95</v>
      </c>
    </row>
    <row r="4805" spans="2:3" x14ac:dyDescent="0.3">
      <c r="B4805" s="171">
        <v>39772</v>
      </c>
      <c r="C4805" s="53">
        <v>315.7</v>
      </c>
    </row>
    <row r="4806" spans="2:3" x14ac:dyDescent="0.3">
      <c r="B4806" s="171">
        <v>39771</v>
      </c>
      <c r="C4806" s="53">
        <v>310.3</v>
      </c>
    </row>
    <row r="4807" spans="2:3" x14ac:dyDescent="0.3">
      <c r="B4807" s="171">
        <v>39770</v>
      </c>
      <c r="C4807" s="53">
        <v>324.05</v>
      </c>
    </row>
    <row r="4808" spans="2:3" x14ac:dyDescent="0.3">
      <c r="B4808" s="171">
        <v>39769</v>
      </c>
      <c r="C4808" s="53">
        <v>326</v>
      </c>
    </row>
    <row r="4809" spans="2:3" x14ac:dyDescent="0.3">
      <c r="B4809" s="171">
        <v>39766</v>
      </c>
      <c r="C4809" s="53">
        <v>322.89999999999998</v>
      </c>
    </row>
    <row r="4810" spans="2:3" x14ac:dyDescent="0.3">
      <c r="B4810" s="171">
        <v>39764</v>
      </c>
      <c r="C4810" s="53">
        <v>344.35</v>
      </c>
    </row>
    <row r="4811" spans="2:3" x14ac:dyDescent="0.3">
      <c r="B4811" s="171">
        <v>39763</v>
      </c>
      <c r="C4811" s="53">
        <v>348.65</v>
      </c>
    </row>
    <row r="4812" spans="2:3" x14ac:dyDescent="0.3">
      <c r="B4812" s="171">
        <v>39762</v>
      </c>
      <c r="C4812" s="53">
        <v>350.15</v>
      </c>
    </row>
    <row r="4813" spans="2:3" x14ac:dyDescent="0.3">
      <c r="B4813" s="171">
        <v>39759</v>
      </c>
      <c r="C4813" s="53">
        <v>349.6</v>
      </c>
    </row>
    <row r="4814" spans="2:3" x14ac:dyDescent="0.3">
      <c r="B4814" s="171">
        <v>39758</v>
      </c>
      <c r="C4814" s="53">
        <v>345.7</v>
      </c>
    </row>
    <row r="4815" spans="2:3" x14ac:dyDescent="0.3">
      <c r="B4815" s="171">
        <v>39757</v>
      </c>
      <c r="C4815" s="53">
        <v>357.5</v>
      </c>
    </row>
    <row r="4816" spans="2:3" x14ac:dyDescent="0.3">
      <c r="B4816" s="171">
        <v>39756</v>
      </c>
      <c r="C4816" s="53">
        <v>373.25</v>
      </c>
    </row>
    <row r="4817" spans="2:3" x14ac:dyDescent="0.3">
      <c r="B4817" s="171">
        <v>39755</v>
      </c>
      <c r="C4817" s="53">
        <v>355.55</v>
      </c>
    </row>
    <row r="4818" spans="2:3" x14ac:dyDescent="0.3">
      <c r="B4818" s="171">
        <v>39752</v>
      </c>
      <c r="C4818" s="53">
        <v>355.05</v>
      </c>
    </row>
    <row r="4819" spans="2:3" x14ac:dyDescent="0.3">
      <c r="B4819" s="171">
        <v>39750</v>
      </c>
      <c r="C4819" s="53">
        <v>337.95</v>
      </c>
    </row>
    <row r="4820" spans="2:3" x14ac:dyDescent="0.3">
      <c r="B4820" s="171">
        <v>39749</v>
      </c>
      <c r="C4820" s="53">
        <v>347.5</v>
      </c>
    </row>
    <row r="4821" spans="2:3" x14ac:dyDescent="0.3">
      <c r="B4821" s="171">
        <v>39748</v>
      </c>
      <c r="C4821" s="53">
        <v>324.55</v>
      </c>
    </row>
    <row r="4822" spans="2:3" x14ac:dyDescent="0.3">
      <c r="B4822" s="171">
        <v>39745</v>
      </c>
      <c r="C4822" s="53">
        <v>333.25</v>
      </c>
    </row>
    <row r="4823" spans="2:3" x14ac:dyDescent="0.3">
      <c r="B4823" s="171">
        <v>39744</v>
      </c>
      <c r="C4823" s="53">
        <v>349.85</v>
      </c>
    </row>
    <row r="4824" spans="2:3" x14ac:dyDescent="0.3">
      <c r="B4824" s="171">
        <v>39743</v>
      </c>
      <c r="C4824" s="53">
        <v>351.5</v>
      </c>
    </row>
    <row r="4825" spans="2:3" x14ac:dyDescent="0.3">
      <c r="B4825" s="171">
        <v>39742</v>
      </c>
      <c r="C4825" s="53">
        <v>373.85</v>
      </c>
    </row>
    <row r="4826" spans="2:3" x14ac:dyDescent="0.3">
      <c r="B4826" s="171">
        <v>39741</v>
      </c>
      <c r="C4826" s="53">
        <v>365.6</v>
      </c>
    </row>
    <row r="4827" spans="2:3" x14ac:dyDescent="0.3">
      <c r="B4827" s="171">
        <v>39738</v>
      </c>
      <c r="C4827" s="53">
        <v>374.05</v>
      </c>
    </row>
    <row r="4828" spans="2:3" x14ac:dyDescent="0.3">
      <c r="B4828" s="171">
        <v>39737</v>
      </c>
      <c r="C4828" s="53">
        <v>394.65</v>
      </c>
    </row>
    <row r="4829" spans="2:3" x14ac:dyDescent="0.3">
      <c r="B4829" s="171">
        <v>39736</v>
      </c>
      <c r="C4829" s="53">
        <v>425.85</v>
      </c>
    </row>
    <row r="4830" spans="2:3" x14ac:dyDescent="0.3">
      <c r="B4830" s="171">
        <v>39735</v>
      </c>
      <c r="C4830" s="53">
        <v>442.85</v>
      </c>
    </row>
    <row r="4831" spans="2:3" x14ac:dyDescent="0.3">
      <c r="B4831" s="171">
        <v>39734</v>
      </c>
      <c r="C4831" s="53">
        <v>453.15</v>
      </c>
    </row>
    <row r="4832" spans="2:3" x14ac:dyDescent="0.3">
      <c r="B4832" s="171">
        <v>39731</v>
      </c>
      <c r="C4832" s="53">
        <v>447.45</v>
      </c>
    </row>
    <row r="4833" spans="2:3" x14ac:dyDescent="0.3">
      <c r="B4833" s="171">
        <v>39729</v>
      </c>
      <c r="C4833" s="53">
        <v>490.95</v>
      </c>
    </row>
    <row r="4834" spans="2:3" x14ac:dyDescent="0.3">
      <c r="B4834" s="171">
        <v>39728</v>
      </c>
      <c r="C4834" s="53">
        <v>460.05</v>
      </c>
    </row>
    <row r="4835" spans="2:3" x14ac:dyDescent="0.3">
      <c r="B4835" s="171">
        <v>39727</v>
      </c>
      <c r="C4835" s="53">
        <v>475.75</v>
      </c>
    </row>
    <row r="4836" spans="2:3" x14ac:dyDescent="0.3">
      <c r="B4836" s="171">
        <v>39724</v>
      </c>
      <c r="C4836" s="53">
        <v>516.6</v>
      </c>
    </row>
    <row r="4837" spans="2:3" x14ac:dyDescent="0.3">
      <c r="B4837" s="171">
        <v>39722</v>
      </c>
      <c r="C4837" s="53">
        <v>520.75</v>
      </c>
    </row>
    <row r="4838" spans="2:3" x14ac:dyDescent="0.3">
      <c r="B4838" s="171">
        <v>39721</v>
      </c>
      <c r="C4838" s="53">
        <v>528.75</v>
      </c>
    </row>
    <row r="4839" spans="2:3" x14ac:dyDescent="0.3">
      <c r="B4839" s="171">
        <v>39720</v>
      </c>
      <c r="C4839" s="53">
        <v>515.20000000000005</v>
      </c>
    </row>
    <row r="4840" spans="2:3" x14ac:dyDescent="0.3">
      <c r="B4840" s="171">
        <v>39717</v>
      </c>
      <c r="C4840" s="53">
        <v>544.95000000000005</v>
      </c>
    </row>
    <row r="4841" spans="2:3" x14ac:dyDescent="0.3">
      <c r="B4841" s="171">
        <v>39716</v>
      </c>
      <c r="C4841" s="53">
        <v>550.65</v>
      </c>
    </row>
    <row r="4842" spans="2:3" x14ac:dyDescent="0.3">
      <c r="B4842" s="171">
        <v>39715</v>
      </c>
      <c r="C4842" s="53">
        <v>551.65</v>
      </c>
    </row>
    <row r="4843" spans="2:3" x14ac:dyDescent="0.3">
      <c r="B4843" s="171">
        <v>39714</v>
      </c>
      <c r="C4843" s="53">
        <v>567.70000000000005</v>
      </c>
    </row>
    <row r="4844" spans="2:3" x14ac:dyDescent="0.3">
      <c r="B4844" s="171">
        <v>39713</v>
      </c>
      <c r="C4844" s="53">
        <v>559.20000000000005</v>
      </c>
    </row>
    <row r="4845" spans="2:3" x14ac:dyDescent="0.3">
      <c r="B4845" s="171">
        <v>39710</v>
      </c>
      <c r="C4845" s="53">
        <v>563.54999999999995</v>
      </c>
    </row>
    <row r="4846" spans="2:3" x14ac:dyDescent="0.3">
      <c r="B4846" s="171">
        <v>39709</v>
      </c>
      <c r="C4846" s="53">
        <v>536</v>
      </c>
    </row>
    <row r="4847" spans="2:3" x14ac:dyDescent="0.3">
      <c r="B4847" s="171">
        <v>39708</v>
      </c>
      <c r="C4847" s="53">
        <v>530.85</v>
      </c>
    </row>
    <row r="4848" spans="2:3" x14ac:dyDescent="0.3">
      <c r="B4848" s="171">
        <v>39707</v>
      </c>
      <c r="C4848" s="53">
        <v>541.54999999999995</v>
      </c>
    </row>
    <row r="4849" spans="2:3" x14ac:dyDescent="0.3">
      <c r="B4849" s="171">
        <v>39706</v>
      </c>
      <c r="C4849" s="53">
        <v>542.5</v>
      </c>
    </row>
    <row r="4850" spans="2:3" x14ac:dyDescent="0.3">
      <c r="B4850" s="171">
        <v>39703</v>
      </c>
      <c r="C4850" s="53">
        <v>565.20000000000005</v>
      </c>
    </row>
    <row r="4851" spans="2:3" x14ac:dyDescent="0.3">
      <c r="B4851" s="171">
        <v>39702</v>
      </c>
      <c r="C4851" s="53">
        <v>586.65</v>
      </c>
    </row>
    <row r="4852" spans="2:3" x14ac:dyDescent="0.3">
      <c r="B4852" s="171">
        <v>39701</v>
      </c>
      <c r="C4852" s="53">
        <v>590.9</v>
      </c>
    </row>
    <row r="4853" spans="2:3" x14ac:dyDescent="0.3">
      <c r="B4853" s="171">
        <v>39700</v>
      </c>
      <c r="C4853" s="53">
        <v>582.65</v>
      </c>
    </row>
    <row r="4854" spans="2:3" x14ac:dyDescent="0.3">
      <c r="B4854" s="171">
        <v>39699</v>
      </c>
      <c r="C4854" s="53">
        <v>582</v>
      </c>
    </row>
    <row r="4855" spans="2:3" x14ac:dyDescent="0.3">
      <c r="B4855" s="171">
        <v>39696</v>
      </c>
      <c r="C4855" s="53">
        <v>588.45000000000005</v>
      </c>
    </row>
    <row r="4856" spans="2:3" x14ac:dyDescent="0.3">
      <c r="B4856" s="171">
        <v>39695</v>
      </c>
      <c r="C4856" s="53">
        <v>604.4</v>
      </c>
    </row>
    <row r="4857" spans="2:3" x14ac:dyDescent="0.3">
      <c r="B4857" s="171">
        <v>39693</v>
      </c>
      <c r="C4857" s="53">
        <v>610.95000000000005</v>
      </c>
    </row>
    <row r="4858" spans="2:3" x14ac:dyDescent="0.3">
      <c r="B4858" s="171">
        <v>39692</v>
      </c>
      <c r="C4858" s="53">
        <v>598.9</v>
      </c>
    </row>
    <row r="4859" spans="2:3" x14ac:dyDescent="0.3">
      <c r="B4859" s="171">
        <v>39689</v>
      </c>
      <c r="C4859" s="53">
        <v>591.04999999999995</v>
      </c>
    </row>
    <row r="4860" spans="2:3" x14ac:dyDescent="0.3">
      <c r="B4860" s="171">
        <v>39688</v>
      </c>
      <c r="C4860" s="53">
        <v>585.35</v>
      </c>
    </row>
    <row r="4861" spans="2:3" x14ac:dyDescent="0.3">
      <c r="B4861" s="171">
        <v>39687</v>
      </c>
      <c r="C4861" s="53">
        <v>597.20000000000005</v>
      </c>
    </row>
    <row r="4862" spans="2:3" x14ac:dyDescent="0.3">
      <c r="B4862" s="171">
        <v>39686</v>
      </c>
      <c r="C4862" s="53">
        <v>591.54999999999995</v>
      </c>
    </row>
    <row r="4863" spans="2:3" x14ac:dyDescent="0.3">
      <c r="B4863" s="171">
        <v>39685</v>
      </c>
      <c r="C4863" s="53">
        <v>592.65</v>
      </c>
    </row>
    <row r="4864" spans="2:3" x14ac:dyDescent="0.3">
      <c r="B4864" s="171">
        <v>39682</v>
      </c>
      <c r="C4864" s="53">
        <v>586.45000000000005</v>
      </c>
    </row>
    <row r="4865" spans="2:3" x14ac:dyDescent="0.3">
      <c r="B4865" s="171">
        <v>39681</v>
      </c>
      <c r="C4865" s="53">
        <v>591.85</v>
      </c>
    </row>
    <row r="4866" spans="2:3" x14ac:dyDescent="0.3">
      <c r="B4866" s="171">
        <v>39680</v>
      </c>
      <c r="C4866" s="53">
        <v>606.35</v>
      </c>
    </row>
    <row r="4867" spans="2:3" x14ac:dyDescent="0.3">
      <c r="B4867" s="171">
        <v>39679</v>
      </c>
      <c r="C4867" s="53">
        <v>611.6</v>
      </c>
    </row>
    <row r="4868" spans="2:3" x14ac:dyDescent="0.3">
      <c r="B4868" s="171">
        <v>39678</v>
      </c>
      <c r="C4868" s="53">
        <v>613.6</v>
      </c>
    </row>
    <row r="4869" spans="2:3" x14ac:dyDescent="0.3">
      <c r="B4869" s="171">
        <v>39674</v>
      </c>
      <c r="C4869" s="53">
        <v>619.29999999999995</v>
      </c>
    </row>
    <row r="4870" spans="2:3" x14ac:dyDescent="0.3">
      <c r="B4870" s="171">
        <v>39673</v>
      </c>
      <c r="C4870" s="53">
        <v>635.70000000000005</v>
      </c>
    </row>
    <row r="4871" spans="2:3" x14ac:dyDescent="0.3">
      <c r="B4871" s="171">
        <v>39672</v>
      </c>
      <c r="C4871" s="53">
        <v>636.20000000000005</v>
      </c>
    </row>
    <row r="4872" spans="2:3" x14ac:dyDescent="0.3">
      <c r="B4872" s="171">
        <v>39671</v>
      </c>
      <c r="C4872" s="53">
        <v>639.70000000000005</v>
      </c>
    </row>
    <row r="4873" spans="2:3" x14ac:dyDescent="0.3">
      <c r="B4873" s="171">
        <v>39668</v>
      </c>
      <c r="C4873" s="53">
        <v>634.54999999999995</v>
      </c>
    </row>
    <row r="4874" spans="2:3" x14ac:dyDescent="0.3">
      <c r="B4874" s="171">
        <v>39667</v>
      </c>
      <c r="C4874" s="53">
        <v>635.45000000000005</v>
      </c>
    </row>
    <row r="4875" spans="2:3" x14ac:dyDescent="0.3">
      <c r="B4875" s="171">
        <v>39666</v>
      </c>
      <c r="C4875" s="53">
        <v>632.70000000000005</v>
      </c>
    </row>
    <row r="4876" spans="2:3" x14ac:dyDescent="0.3">
      <c r="B4876" s="171">
        <v>39665</v>
      </c>
      <c r="C4876" s="53">
        <v>612.15</v>
      </c>
    </row>
    <row r="4877" spans="2:3" x14ac:dyDescent="0.3">
      <c r="B4877" s="171">
        <v>39664</v>
      </c>
      <c r="C4877" s="53">
        <v>573.6</v>
      </c>
    </row>
    <row r="4878" spans="2:3" x14ac:dyDescent="0.3">
      <c r="B4878" s="171">
        <v>39661</v>
      </c>
      <c r="C4878" s="53">
        <v>566.54999999999995</v>
      </c>
    </row>
    <row r="4879" spans="2:3" x14ac:dyDescent="0.3">
      <c r="B4879" s="171">
        <v>39660</v>
      </c>
      <c r="C4879" s="53">
        <v>577.04999999999995</v>
      </c>
    </row>
    <row r="4880" spans="2:3" x14ac:dyDescent="0.3">
      <c r="B4880" s="171">
        <v>39659</v>
      </c>
      <c r="C4880" s="53">
        <v>559.20000000000005</v>
      </c>
    </row>
    <row r="4881" spans="2:3" x14ac:dyDescent="0.3">
      <c r="B4881" s="171">
        <v>39658</v>
      </c>
      <c r="C4881" s="53">
        <v>544.20000000000005</v>
      </c>
    </row>
    <row r="4882" spans="2:3" x14ac:dyDescent="0.3">
      <c r="B4882" s="171">
        <v>39657</v>
      </c>
      <c r="C4882" s="53">
        <v>562.04999999999995</v>
      </c>
    </row>
    <row r="4883" spans="2:3" x14ac:dyDescent="0.3">
      <c r="B4883" s="171">
        <v>39654</v>
      </c>
      <c r="C4883" s="53">
        <v>550.9</v>
      </c>
    </row>
    <row r="4884" spans="2:3" x14ac:dyDescent="0.3">
      <c r="B4884" s="171">
        <v>39653</v>
      </c>
      <c r="C4884" s="53">
        <v>542.95000000000005</v>
      </c>
    </row>
    <row r="4885" spans="2:3" x14ac:dyDescent="0.3">
      <c r="B4885" s="171">
        <v>39652</v>
      </c>
      <c r="C4885" s="53">
        <v>572.35</v>
      </c>
    </row>
    <row r="4886" spans="2:3" x14ac:dyDescent="0.3">
      <c r="B4886" s="171">
        <v>39651</v>
      </c>
      <c r="C4886" s="53">
        <v>540.35</v>
      </c>
    </row>
    <row r="4887" spans="2:3" x14ac:dyDescent="0.3">
      <c r="B4887" s="171">
        <v>39650</v>
      </c>
      <c r="C4887" s="53">
        <v>538.5</v>
      </c>
    </row>
    <row r="4888" spans="2:3" x14ac:dyDescent="0.3">
      <c r="B4888" s="171">
        <v>39647</v>
      </c>
      <c r="C4888" s="53">
        <v>539.5</v>
      </c>
    </row>
    <row r="4889" spans="2:3" x14ac:dyDescent="0.3">
      <c r="B4889" s="171">
        <v>39646</v>
      </c>
      <c r="C4889" s="53">
        <v>519.4</v>
      </c>
    </row>
    <row r="4890" spans="2:3" x14ac:dyDescent="0.3">
      <c r="B4890" s="171">
        <v>39645</v>
      </c>
      <c r="C4890" s="53">
        <v>530.70000000000005</v>
      </c>
    </row>
    <row r="4891" spans="2:3" x14ac:dyDescent="0.3">
      <c r="B4891" s="171">
        <v>39644</v>
      </c>
      <c r="C4891" s="53">
        <v>529.54999999999995</v>
      </c>
    </row>
    <row r="4892" spans="2:3" x14ac:dyDescent="0.3">
      <c r="B4892" s="171">
        <v>39643</v>
      </c>
      <c r="C4892" s="53">
        <v>542</v>
      </c>
    </row>
    <row r="4893" spans="2:3" x14ac:dyDescent="0.3">
      <c r="B4893" s="171">
        <v>39640</v>
      </c>
      <c r="C4893" s="53">
        <v>552.1</v>
      </c>
    </row>
    <row r="4894" spans="2:3" x14ac:dyDescent="0.3">
      <c r="B4894" s="171">
        <v>39639</v>
      </c>
      <c r="C4894" s="53">
        <v>552.04999999999995</v>
      </c>
    </row>
    <row r="4895" spans="2:3" x14ac:dyDescent="0.3">
      <c r="B4895" s="171">
        <v>39638</v>
      </c>
      <c r="C4895" s="53">
        <v>565.95000000000005</v>
      </c>
    </row>
    <row r="4896" spans="2:3" x14ac:dyDescent="0.3">
      <c r="B4896" s="171">
        <v>39637</v>
      </c>
      <c r="C4896" s="53">
        <v>555.20000000000005</v>
      </c>
    </row>
    <row r="4897" spans="2:3" x14ac:dyDescent="0.3">
      <c r="B4897" s="171">
        <v>39636</v>
      </c>
      <c r="C4897" s="53">
        <v>553.29999999999995</v>
      </c>
    </row>
    <row r="4898" spans="2:3" x14ac:dyDescent="0.3">
      <c r="B4898" s="171">
        <v>39633</v>
      </c>
      <c r="C4898" s="53">
        <v>537.6</v>
      </c>
    </row>
    <row r="4899" spans="2:3" x14ac:dyDescent="0.3">
      <c r="B4899" s="171">
        <v>39632</v>
      </c>
      <c r="C4899" s="53">
        <v>531.5</v>
      </c>
    </row>
    <row r="4900" spans="2:3" x14ac:dyDescent="0.3">
      <c r="B4900" s="171">
        <v>39631</v>
      </c>
      <c r="C4900" s="53">
        <v>538.45000000000005</v>
      </c>
    </row>
    <row r="4901" spans="2:3" x14ac:dyDescent="0.3">
      <c r="B4901" s="171">
        <v>39630</v>
      </c>
      <c r="C4901" s="53">
        <v>522.20000000000005</v>
      </c>
    </row>
    <row r="4902" spans="2:3" x14ac:dyDescent="0.3">
      <c r="B4902" s="171">
        <v>39629</v>
      </c>
      <c r="C4902" s="53">
        <v>545.45000000000005</v>
      </c>
    </row>
    <row r="4903" spans="2:3" x14ac:dyDescent="0.3">
      <c r="B4903" s="171">
        <v>39626</v>
      </c>
      <c r="C4903" s="53">
        <v>568.9</v>
      </c>
    </row>
    <row r="4904" spans="2:3" x14ac:dyDescent="0.3">
      <c r="B4904" s="171">
        <v>39625</v>
      </c>
      <c r="C4904" s="53">
        <v>590.79999999999995</v>
      </c>
    </row>
    <row r="4905" spans="2:3" x14ac:dyDescent="0.3">
      <c r="B4905" s="171">
        <v>39624</v>
      </c>
      <c r="C4905" s="53">
        <v>570.6</v>
      </c>
    </row>
    <row r="4906" spans="2:3" x14ac:dyDescent="0.3">
      <c r="B4906" s="171">
        <v>39623</v>
      </c>
      <c r="C4906" s="53">
        <v>561.85</v>
      </c>
    </row>
    <row r="4907" spans="2:3" x14ac:dyDescent="0.3">
      <c r="B4907" s="171">
        <v>39622</v>
      </c>
      <c r="C4907" s="53">
        <v>574.65</v>
      </c>
    </row>
    <row r="4908" spans="2:3" x14ac:dyDescent="0.3">
      <c r="B4908" s="171">
        <v>39619</v>
      </c>
      <c r="C4908" s="53">
        <v>592.54999999999995</v>
      </c>
    </row>
    <row r="4909" spans="2:3" x14ac:dyDescent="0.3">
      <c r="B4909" s="171">
        <v>39618</v>
      </c>
      <c r="C4909" s="53">
        <v>627.79999999999995</v>
      </c>
    </row>
    <row r="4910" spans="2:3" x14ac:dyDescent="0.3">
      <c r="B4910" s="171">
        <v>39617</v>
      </c>
      <c r="C4910" s="53">
        <v>632.25</v>
      </c>
    </row>
    <row r="4911" spans="2:3" x14ac:dyDescent="0.3">
      <c r="B4911" s="171">
        <v>39616</v>
      </c>
      <c r="C4911" s="53">
        <v>630.45000000000005</v>
      </c>
    </row>
    <row r="4912" spans="2:3" x14ac:dyDescent="0.3">
      <c r="B4912" s="171">
        <v>39615</v>
      </c>
      <c r="C4912" s="53">
        <v>618.9</v>
      </c>
    </row>
    <row r="4913" spans="2:3" x14ac:dyDescent="0.3">
      <c r="B4913" s="171">
        <v>39612</v>
      </c>
      <c r="C4913" s="53">
        <v>638.15</v>
      </c>
    </row>
    <row r="4914" spans="2:3" x14ac:dyDescent="0.3">
      <c r="B4914" s="171">
        <v>39611</v>
      </c>
      <c r="C4914" s="53">
        <v>640.15</v>
      </c>
    </row>
    <row r="4915" spans="2:3" x14ac:dyDescent="0.3">
      <c r="B4915" s="171">
        <v>39610</v>
      </c>
      <c r="C4915" s="53">
        <v>641</v>
      </c>
    </row>
    <row r="4916" spans="2:3" x14ac:dyDescent="0.3">
      <c r="B4916" s="171">
        <v>39609</v>
      </c>
      <c r="C4916" s="53">
        <v>613.1</v>
      </c>
    </row>
    <row r="4917" spans="2:3" x14ac:dyDescent="0.3">
      <c r="B4917" s="171">
        <v>39608</v>
      </c>
      <c r="C4917" s="53">
        <v>621.45000000000005</v>
      </c>
    </row>
    <row r="4918" spans="2:3" x14ac:dyDescent="0.3">
      <c r="B4918" s="171">
        <v>39605</v>
      </c>
      <c r="C4918" s="53">
        <v>640.5</v>
      </c>
    </row>
    <row r="4919" spans="2:3" x14ac:dyDescent="0.3">
      <c r="B4919" s="171">
        <v>39604</v>
      </c>
      <c r="C4919" s="53">
        <v>620.75</v>
      </c>
    </row>
    <row r="4920" spans="2:3" x14ac:dyDescent="0.3">
      <c r="B4920" s="171">
        <v>39603</v>
      </c>
      <c r="C4920" s="53">
        <v>625.65</v>
      </c>
    </row>
    <row r="4921" spans="2:3" x14ac:dyDescent="0.3">
      <c r="B4921" s="171">
        <v>39602</v>
      </c>
      <c r="C4921" s="53">
        <v>643.85</v>
      </c>
    </row>
    <row r="4922" spans="2:3" x14ac:dyDescent="0.3">
      <c r="B4922" s="171">
        <v>39601</v>
      </c>
      <c r="C4922" s="53">
        <v>639.9</v>
      </c>
    </row>
    <row r="4923" spans="2:3" x14ac:dyDescent="0.3">
      <c r="B4923" s="171">
        <v>39598</v>
      </c>
      <c r="C4923" s="53">
        <v>649.54999999999995</v>
      </c>
    </row>
    <row r="4924" spans="2:3" x14ac:dyDescent="0.3">
      <c r="B4924" s="171">
        <v>39597</v>
      </c>
      <c r="C4924" s="53">
        <v>641.75</v>
      </c>
    </row>
    <row r="4925" spans="2:3" x14ac:dyDescent="0.3">
      <c r="B4925" s="171">
        <v>39596</v>
      </c>
      <c r="C4925" s="53">
        <v>655.04999999999995</v>
      </c>
    </row>
    <row r="4926" spans="2:3" x14ac:dyDescent="0.3">
      <c r="B4926" s="171">
        <v>39595</v>
      </c>
      <c r="C4926" s="53">
        <v>636.5</v>
      </c>
    </row>
    <row r="4927" spans="2:3" x14ac:dyDescent="0.3">
      <c r="B4927" s="171">
        <v>39594</v>
      </c>
      <c r="C4927" s="53">
        <v>637.6</v>
      </c>
    </row>
    <row r="4928" spans="2:3" x14ac:dyDescent="0.3">
      <c r="B4928" s="171">
        <v>39591</v>
      </c>
      <c r="C4928" s="53">
        <v>665.7</v>
      </c>
    </row>
    <row r="4929" spans="2:3" x14ac:dyDescent="0.3">
      <c r="B4929" s="171">
        <v>39590</v>
      </c>
      <c r="C4929" s="53">
        <v>681.45</v>
      </c>
    </row>
    <row r="4930" spans="2:3" x14ac:dyDescent="0.3">
      <c r="B4930" s="171">
        <v>39589</v>
      </c>
      <c r="C4930" s="53">
        <v>694.4</v>
      </c>
    </row>
    <row r="4931" spans="2:3" x14ac:dyDescent="0.3">
      <c r="B4931" s="171">
        <v>39588</v>
      </c>
      <c r="C4931" s="53">
        <v>699.4</v>
      </c>
    </row>
    <row r="4932" spans="2:3" x14ac:dyDescent="0.3">
      <c r="B4932" s="171">
        <v>39584</v>
      </c>
      <c r="C4932" s="53">
        <v>692.95</v>
      </c>
    </row>
    <row r="4933" spans="2:3" x14ac:dyDescent="0.3">
      <c r="B4933" s="171">
        <v>39583</v>
      </c>
      <c r="C4933" s="53">
        <v>701.1</v>
      </c>
    </row>
    <row r="4934" spans="2:3" x14ac:dyDescent="0.3">
      <c r="B4934" s="171">
        <v>39582</v>
      </c>
      <c r="C4934" s="53">
        <v>665.9</v>
      </c>
    </row>
    <row r="4935" spans="2:3" x14ac:dyDescent="0.3">
      <c r="B4935" s="171">
        <v>39581</v>
      </c>
      <c r="C4935" s="53">
        <v>665.2</v>
      </c>
    </row>
    <row r="4936" spans="2:3" x14ac:dyDescent="0.3">
      <c r="B4936" s="171">
        <v>39580</v>
      </c>
      <c r="C4936" s="53">
        <v>664</v>
      </c>
    </row>
    <row r="4937" spans="2:3" x14ac:dyDescent="0.3">
      <c r="B4937" s="171">
        <v>39577</v>
      </c>
      <c r="C4937" s="53">
        <v>691.6</v>
      </c>
    </row>
    <row r="4938" spans="2:3" x14ac:dyDescent="0.3">
      <c r="B4938" s="171">
        <v>39576</v>
      </c>
      <c r="C4938" s="53">
        <v>717.85</v>
      </c>
    </row>
    <row r="4939" spans="2:3" x14ac:dyDescent="0.3">
      <c r="B4939" s="171">
        <v>39575</v>
      </c>
      <c r="C4939" s="53">
        <v>742.45</v>
      </c>
    </row>
    <row r="4940" spans="2:3" x14ac:dyDescent="0.3">
      <c r="B4940" s="171">
        <v>39574</v>
      </c>
      <c r="C4940" s="53">
        <v>758.15</v>
      </c>
    </row>
    <row r="4941" spans="2:3" x14ac:dyDescent="0.3">
      <c r="B4941" s="171">
        <v>39573</v>
      </c>
      <c r="C4941" s="53">
        <v>757.65</v>
      </c>
    </row>
    <row r="4942" spans="2:3" x14ac:dyDescent="0.3">
      <c r="B4942" s="171">
        <v>39570</v>
      </c>
      <c r="C4942" s="53">
        <v>757.4</v>
      </c>
    </row>
    <row r="4943" spans="2:3" x14ac:dyDescent="0.3">
      <c r="B4943" s="171">
        <v>39568</v>
      </c>
      <c r="C4943" s="53">
        <v>762.95</v>
      </c>
    </row>
    <row r="4944" spans="2:3" x14ac:dyDescent="0.3">
      <c r="B4944" s="171">
        <v>39567</v>
      </c>
      <c r="C4944" s="53">
        <v>781.05</v>
      </c>
    </row>
    <row r="4945" spans="2:3" x14ac:dyDescent="0.3">
      <c r="B4945" s="171">
        <v>39566</v>
      </c>
      <c r="C4945" s="53">
        <v>777.55</v>
      </c>
    </row>
    <row r="4946" spans="2:3" x14ac:dyDescent="0.3">
      <c r="B4946" s="171">
        <v>39563</v>
      </c>
      <c r="C4946" s="53">
        <v>782.75</v>
      </c>
    </row>
    <row r="4947" spans="2:3" x14ac:dyDescent="0.3">
      <c r="B4947" s="171">
        <v>39562</v>
      </c>
      <c r="C4947" s="53">
        <v>793</v>
      </c>
    </row>
    <row r="4948" spans="2:3" x14ac:dyDescent="0.3">
      <c r="B4948" s="171">
        <v>39561</v>
      </c>
      <c r="C4948" s="53">
        <v>819</v>
      </c>
    </row>
    <row r="4949" spans="2:3" x14ac:dyDescent="0.3">
      <c r="B4949" s="171">
        <v>39560</v>
      </c>
      <c r="C4949" s="53">
        <v>827.1</v>
      </c>
    </row>
    <row r="4950" spans="2:3" x14ac:dyDescent="0.3">
      <c r="B4950" s="171">
        <v>39559</v>
      </c>
      <c r="C4950" s="53">
        <v>770.05</v>
      </c>
    </row>
    <row r="4951" spans="2:3" x14ac:dyDescent="0.3">
      <c r="B4951" s="171">
        <v>39555</v>
      </c>
      <c r="C4951" s="53">
        <v>785.1</v>
      </c>
    </row>
    <row r="4952" spans="2:3" x14ac:dyDescent="0.3">
      <c r="B4952" s="171">
        <v>39554</v>
      </c>
      <c r="C4952" s="53">
        <v>787.15</v>
      </c>
    </row>
    <row r="4953" spans="2:3" x14ac:dyDescent="0.3">
      <c r="B4953" s="171">
        <v>39553</v>
      </c>
      <c r="C4953" s="53">
        <v>789.35</v>
      </c>
    </row>
    <row r="4954" spans="2:3" x14ac:dyDescent="0.3">
      <c r="B4954" s="171">
        <v>39549</v>
      </c>
      <c r="C4954" s="53">
        <v>797.85</v>
      </c>
    </row>
    <row r="4955" spans="2:3" x14ac:dyDescent="0.3">
      <c r="B4955" s="171">
        <v>39548</v>
      </c>
      <c r="C4955" s="53">
        <v>802.35</v>
      </c>
    </row>
    <row r="4956" spans="2:3" x14ac:dyDescent="0.3">
      <c r="B4956" s="171">
        <v>39547</v>
      </c>
      <c r="C4956" s="53">
        <v>813.55</v>
      </c>
    </row>
    <row r="4957" spans="2:3" x14ac:dyDescent="0.3">
      <c r="B4957" s="171">
        <v>39546</v>
      </c>
      <c r="C4957" s="53">
        <v>794.25</v>
      </c>
    </row>
    <row r="4958" spans="2:3" x14ac:dyDescent="0.3">
      <c r="B4958" s="171">
        <v>39545</v>
      </c>
      <c r="C4958" s="53">
        <v>800.65</v>
      </c>
    </row>
    <row r="4959" spans="2:3" x14ac:dyDescent="0.3">
      <c r="B4959" s="171">
        <v>39542</v>
      </c>
      <c r="C4959" s="53">
        <v>805.85</v>
      </c>
    </row>
    <row r="4960" spans="2:3" x14ac:dyDescent="0.3">
      <c r="B4960" s="171">
        <v>39541</v>
      </c>
      <c r="C4960" s="53">
        <v>810.6</v>
      </c>
    </row>
    <row r="4961" spans="2:3" x14ac:dyDescent="0.3">
      <c r="B4961" s="171">
        <v>39540</v>
      </c>
      <c r="C4961" s="53">
        <v>804.1</v>
      </c>
    </row>
    <row r="4962" spans="2:3" x14ac:dyDescent="0.3">
      <c r="B4962" s="171">
        <v>39539</v>
      </c>
      <c r="C4962" s="53">
        <v>767.85</v>
      </c>
    </row>
    <row r="4963" spans="2:3" x14ac:dyDescent="0.3">
      <c r="B4963" s="171">
        <v>39538</v>
      </c>
      <c r="C4963" s="53">
        <v>784.55</v>
      </c>
    </row>
    <row r="4964" spans="2:3" x14ac:dyDescent="0.3">
      <c r="B4964" s="171">
        <v>39535</v>
      </c>
      <c r="C4964" s="53">
        <v>784.8</v>
      </c>
    </row>
    <row r="4965" spans="2:3" x14ac:dyDescent="0.3">
      <c r="B4965" s="171">
        <v>39534</v>
      </c>
      <c r="C4965" s="53">
        <v>768.75</v>
      </c>
    </row>
    <row r="4966" spans="2:3" x14ac:dyDescent="0.3">
      <c r="B4966" s="171">
        <v>39533</v>
      </c>
      <c r="C4966" s="53">
        <v>777.95</v>
      </c>
    </row>
    <row r="4967" spans="2:3" x14ac:dyDescent="0.3">
      <c r="B4967" s="171">
        <v>39532</v>
      </c>
      <c r="C4967" s="53">
        <v>777.25</v>
      </c>
    </row>
    <row r="4968" spans="2:3" x14ac:dyDescent="0.3">
      <c r="B4968" s="171">
        <v>39531</v>
      </c>
      <c r="C4968" s="53">
        <v>773.5</v>
      </c>
    </row>
    <row r="4969" spans="2:3" x14ac:dyDescent="0.3">
      <c r="B4969" s="171">
        <v>39526</v>
      </c>
      <c r="C4969" s="53">
        <v>781.15</v>
      </c>
    </row>
    <row r="4970" spans="2:3" x14ac:dyDescent="0.3">
      <c r="B4970" s="171">
        <v>39525</v>
      </c>
      <c r="C4970" s="53">
        <v>801.05</v>
      </c>
    </row>
    <row r="4971" spans="2:3" x14ac:dyDescent="0.3">
      <c r="B4971" s="171">
        <v>39524</v>
      </c>
      <c r="C4971" s="53">
        <v>822</v>
      </c>
    </row>
    <row r="4972" spans="2:3" x14ac:dyDescent="0.3">
      <c r="B4972" s="171">
        <v>39521</v>
      </c>
      <c r="C4972" s="53">
        <v>849.45</v>
      </c>
    </row>
    <row r="4973" spans="2:3" x14ac:dyDescent="0.3">
      <c r="B4973" s="171">
        <v>39520</v>
      </c>
      <c r="C4973" s="53">
        <v>843.05</v>
      </c>
    </row>
    <row r="4974" spans="2:3" x14ac:dyDescent="0.3">
      <c r="B4974" s="171">
        <v>39519</v>
      </c>
      <c r="C4974" s="53">
        <v>893.25</v>
      </c>
    </row>
    <row r="4975" spans="2:3" x14ac:dyDescent="0.3">
      <c r="B4975" s="171">
        <v>39518</v>
      </c>
      <c r="C4975" s="53">
        <v>902.55</v>
      </c>
    </row>
    <row r="4976" spans="2:3" x14ac:dyDescent="0.3">
      <c r="B4976" s="171">
        <v>39517</v>
      </c>
      <c r="C4976" s="53">
        <v>850.8</v>
      </c>
    </row>
    <row r="4977" spans="2:3" x14ac:dyDescent="0.3">
      <c r="B4977" s="171">
        <v>39514</v>
      </c>
      <c r="C4977" s="53">
        <v>846.15</v>
      </c>
    </row>
    <row r="4978" spans="2:3" x14ac:dyDescent="0.3">
      <c r="B4978" s="171">
        <v>39512</v>
      </c>
      <c r="C4978" s="53">
        <v>875.55</v>
      </c>
    </row>
    <row r="4979" spans="2:3" x14ac:dyDescent="0.3">
      <c r="B4979" s="171">
        <v>39511</v>
      </c>
      <c r="C4979" s="53">
        <v>886.6</v>
      </c>
    </row>
    <row r="4980" spans="2:3" x14ac:dyDescent="0.3">
      <c r="B4980" s="171">
        <v>39510</v>
      </c>
      <c r="C4980" s="53">
        <v>868.25</v>
      </c>
    </row>
    <row r="4981" spans="2:3" x14ac:dyDescent="0.3">
      <c r="B4981" s="171">
        <v>39507</v>
      </c>
      <c r="C4981" s="53">
        <v>904.5</v>
      </c>
    </row>
    <row r="4982" spans="2:3" x14ac:dyDescent="0.3">
      <c r="B4982" s="171">
        <v>39506</v>
      </c>
      <c r="C4982" s="53">
        <v>891.05</v>
      </c>
    </row>
    <row r="4983" spans="2:3" x14ac:dyDescent="0.3">
      <c r="B4983" s="171">
        <v>39505</v>
      </c>
      <c r="C4983" s="53">
        <v>914.05</v>
      </c>
    </row>
    <row r="4984" spans="2:3" x14ac:dyDescent="0.3">
      <c r="B4984" s="171">
        <v>39504</v>
      </c>
      <c r="C4984" s="53">
        <v>912</v>
      </c>
    </row>
    <row r="4985" spans="2:3" x14ac:dyDescent="0.3">
      <c r="B4985" s="171">
        <v>39503</v>
      </c>
      <c r="C4985" s="53">
        <v>901.65</v>
      </c>
    </row>
    <row r="4986" spans="2:3" x14ac:dyDescent="0.3">
      <c r="B4986" s="171">
        <v>39500</v>
      </c>
      <c r="C4986" s="53">
        <v>892.05</v>
      </c>
    </row>
    <row r="4987" spans="2:3" x14ac:dyDescent="0.3">
      <c r="B4987" s="171">
        <v>39499</v>
      </c>
      <c r="C4987" s="53">
        <v>890.2</v>
      </c>
    </row>
    <row r="4988" spans="2:3" x14ac:dyDescent="0.3">
      <c r="B4988" s="171">
        <v>39498</v>
      </c>
      <c r="C4988" s="53">
        <v>880.85</v>
      </c>
    </row>
    <row r="4989" spans="2:3" x14ac:dyDescent="0.3">
      <c r="B4989" s="171">
        <v>39497</v>
      </c>
      <c r="C4989" s="53">
        <v>900.05</v>
      </c>
    </row>
    <row r="4990" spans="2:3" x14ac:dyDescent="0.3">
      <c r="B4990" s="171">
        <v>39496</v>
      </c>
      <c r="C4990" s="53">
        <v>891.05</v>
      </c>
    </row>
    <row r="4991" spans="2:3" x14ac:dyDescent="0.3">
      <c r="B4991" s="171">
        <v>39493</v>
      </c>
      <c r="C4991" s="53">
        <v>901.65</v>
      </c>
    </row>
    <row r="4992" spans="2:3" x14ac:dyDescent="0.3">
      <c r="B4992" s="171">
        <v>39492</v>
      </c>
      <c r="C4992" s="53">
        <v>866.6</v>
      </c>
    </row>
    <row r="4993" spans="2:3" x14ac:dyDescent="0.3">
      <c r="B4993" s="171">
        <v>39491</v>
      </c>
      <c r="C4993" s="53">
        <v>812.65</v>
      </c>
    </row>
    <row r="4994" spans="2:3" x14ac:dyDescent="0.3">
      <c r="B4994" s="171">
        <v>39490</v>
      </c>
      <c r="C4994" s="53">
        <v>807.6</v>
      </c>
    </row>
    <row r="4995" spans="2:3" x14ac:dyDescent="0.3">
      <c r="B4995" s="171">
        <v>39489</v>
      </c>
      <c r="C4995" s="53">
        <v>805.1</v>
      </c>
    </row>
    <row r="4996" spans="2:3" x14ac:dyDescent="0.3">
      <c r="B4996" s="171">
        <v>39486</v>
      </c>
      <c r="C4996" s="53">
        <v>853.85</v>
      </c>
    </row>
    <row r="4997" spans="2:3" x14ac:dyDescent="0.3">
      <c r="B4997" s="171">
        <v>39485</v>
      </c>
      <c r="C4997" s="53">
        <v>855</v>
      </c>
    </row>
    <row r="4998" spans="2:3" x14ac:dyDescent="0.3">
      <c r="B4998" s="171">
        <v>39484</v>
      </c>
      <c r="C4998" s="53">
        <v>864.9</v>
      </c>
    </row>
    <row r="4999" spans="2:3" x14ac:dyDescent="0.3">
      <c r="B4999" s="171">
        <v>39483</v>
      </c>
      <c r="C4999" s="53">
        <v>895.3</v>
      </c>
    </row>
    <row r="5000" spans="2:3" x14ac:dyDescent="0.3">
      <c r="B5000" s="171">
        <v>39482</v>
      </c>
      <c r="C5000" s="53">
        <v>895.55</v>
      </c>
    </row>
    <row r="5001" spans="2:3" x14ac:dyDescent="0.3">
      <c r="B5001" s="171">
        <v>39479</v>
      </c>
      <c r="C5001" s="53">
        <v>879.75</v>
      </c>
    </row>
    <row r="5002" spans="2:3" x14ac:dyDescent="0.3">
      <c r="B5002" s="171">
        <v>39478</v>
      </c>
      <c r="C5002" s="53">
        <v>873.45</v>
      </c>
    </row>
    <row r="5003" spans="2:3" x14ac:dyDescent="0.3">
      <c r="B5003" s="171">
        <v>39477</v>
      </c>
      <c r="C5003" s="53">
        <v>879.8</v>
      </c>
    </row>
    <row r="5004" spans="2:3" x14ac:dyDescent="0.3">
      <c r="B5004" s="171">
        <v>39476</v>
      </c>
      <c r="C5004" s="53">
        <v>870.45</v>
      </c>
    </row>
    <row r="5005" spans="2:3" x14ac:dyDescent="0.3">
      <c r="B5005" s="171">
        <v>39475</v>
      </c>
      <c r="C5005" s="53">
        <v>897.5</v>
      </c>
    </row>
    <row r="5006" spans="2:3" x14ac:dyDescent="0.3">
      <c r="B5006" s="171">
        <v>39472</v>
      </c>
      <c r="C5006" s="53">
        <v>872.45</v>
      </c>
    </row>
    <row r="5007" spans="2:3" x14ac:dyDescent="0.3">
      <c r="B5007" s="171">
        <v>39471</v>
      </c>
      <c r="C5007" s="53">
        <v>793.6</v>
      </c>
    </row>
    <row r="5008" spans="2:3" x14ac:dyDescent="0.3">
      <c r="B5008" s="171">
        <v>39470</v>
      </c>
      <c r="C5008" s="53">
        <v>820.15</v>
      </c>
    </row>
    <row r="5009" spans="2:3" x14ac:dyDescent="0.3">
      <c r="B5009" s="171">
        <v>39469</v>
      </c>
      <c r="C5009" s="53">
        <v>754.8</v>
      </c>
    </row>
    <row r="5010" spans="2:3" x14ac:dyDescent="0.3">
      <c r="B5010" s="171">
        <v>39468</v>
      </c>
      <c r="C5010" s="53">
        <v>800.75</v>
      </c>
    </row>
    <row r="5011" spans="2:3" x14ac:dyDescent="0.3">
      <c r="B5011" s="171">
        <v>39465</v>
      </c>
      <c r="C5011" s="53">
        <v>880.65</v>
      </c>
    </row>
    <row r="5012" spans="2:3" x14ac:dyDescent="0.3">
      <c r="B5012" s="171">
        <v>39464</v>
      </c>
      <c r="C5012" s="53">
        <v>891.65</v>
      </c>
    </row>
    <row r="5013" spans="2:3" x14ac:dyDescent="0.3">
      <c r="B5013" s="171">
        <v>39463</v>
      </c>
      <c r="C5013" s="53">
        <v>874.7</v>
      </c>
    </row>
    <row r="5014" spans="2:3" x14ac:dyDescent="0.3">
      <c r="B5014" s="171">
        <v>39462</v>
      </c>
      <c r="C5014" s="53">
        <v>916.25</v>
      </c>
    </row>
    <row r="5015" spans="2:3" x14ac:dyDescent="0.3">
      <c r="B5015" s="171">
        <v>39461</v>
      </c>
      <c r="C5015" s="53">
        <v>936.6</v>
      </c>
    </row>
    <row r="5016" spans="2:3" x14ac:dyDescent="0.3">
      <c r="B5016" s="171">
        <v>39458</v>
      </c>
      <c r="C5016" s="53">
        <v>908.55</v>
      </c>
    </row>
    <row r="5017" spans="2:3" x14ac:dyDescent="0.3">
      <c r="B5017" s="171">
        <v>39457</v>
      </c>
      <c r="C5017" s="53">
        <v>925.05</v>
      </c>
    </row>
    <row r="5018" spans="2:3" x14ac:dyDescent="0.3">
      <c r="B5018" s="171">
        <v>39456</v>
      </c>
      <c r="C5018" s="53">
        <v>959.75</v>
      </c>
    </row>
    <row r="5019" spans="2:3" x14ac:dyDescent="0.3">
      <c r="B5019" s="171">
        <v>39455</v>
      </c>
      <c r="C5019" s="53">
        <v>971.5</v>
      </c>
    </row>
    <row r="5020" spans="2:3" x14ac:dyDescent="0.3">
      <c r="B5020" s="171">
        <v>39454</v>
      </c>
      <c r="C5020" s="53">
        <v>988.45</v>
      </c>
    </row>
    <row r="5021" spans="2:3" x14ac:dyDescent="0.3">
      <c r="B5021" s="171">
        <v>39451</v>
      </c>
      <c r="C5021" s="53">
        <v>977.3</v>
      </c>
    </row>
    <row r="5022" spans="2:3" x14ac:dyDescent="0.3">
      <c r="B5022" s="171">
        <v>39450</v>
      </c>
      <c r="C5022" s="53">
        <v>987</v>
      </c>
    </row>
    <row r="5023" spans="2:3" x14ac:dyDescent="0.3">
      <c r="B5023" s="171">
        <v>39449</v>
      </c>
      <c r="C5023" s="53">
        <v>992.75</v>
      </c>
    </row>
    <row r="5024" spans="2:3" x14ac:dyDescent="0.3">
      <c r="B5024" s="171"/>
    </row>
    <row r="5025" spans="2:4" x14ac:dyDescent="0.3">
      <c r="B5025" s="137" t="s">
        <v>2766</v>
      </c>
    </row>
    <row r="5027" spans="2:4" x14ac:dyDescent="0.3">
      <c r="B5027" s="134" t="s">
        <v>97</v>
      </c>
      <c r="C5027" s="133" t="s">
        <v>98</v>
      </c>
      <c r="D5027" s="136" t="s">
        <v>99</v>
      </c>
    </row>
    <row r="5028" spans="2:4" x14ac:dyDescent="0.3">
      <c r="B5028" s="58" t="s">
        <v>387</v>
      </c>
      <c r="C5028" s="60">
        <v>2410.3000000000002</v>
      </c>
      <c r="D5028" s="49">
        <f>C5028/C5029-1</f>
        <v>3.6643764313970539E-3</v>
      </c>
    </row>
    <row r="5029" spans="2:4" x14ac:dyDescent="0.3">
      <c r="B5029" s="58" t="s">
        <v>388</v>
      </c>
      <c r="C5029" s="60">
        <v>2401.5</v>
      </c>
      <c r="D5029" s="49">
        <f t="shared" ref="D5029:D5092" si="14">C5029/C5030-1</f>
        <v>3.2281636863823904E-2</v>
      </c>
    </row>
    <row r="5030" spans="2:4" x14ac:dyDescent="0.3">
      <c r="B5030" s="58" t="s">
        <v>389</v>
      </c>
      <c r="C5030" s="60">
        <v>2326.4</v>
      </c>
      <c r="D5030" s="49">
        <f t="shared" si="14"/>
        <v>2.471039069726455E-2</v>
      </c>
    </row>
    <row r="5031" spans="2:4" x14ac:dyDescent="0.3">
      <c r="B5031" s="58">
        <v>45938</v>
      </c>
      <c r="C5031" s="60">
        <v>2270.3000000000002</v>
      </c>
      <c r="D5031" s="49">
        <f t="shared" si="14"/>
        <v>1.1990728358741265E-2</v>
      </c>
    </row>
    <row r="5032" spans="2:4" x14ac:dyDescent="0.3">
      <c r="B5032" s="58">
        <v>45724</v>
      </c>
      <c r="C5032" s="60">
        <v>2243.4</v>
      </c>
      <c r="D5032" s="49">
        <f t="shared" si="14"/>
        <v>1.7691888949374013E-2</v>
      </c>
    </row>
    <row r="5033" spans="2:4" x14ac:dyDescent="0.3">
      <c r="B5033" s="58" t="s">
        <v>390</v>
      </c>
      <c r="C5033" s="60">
        <v>2204.4</v>
      </c>
      <c r="D5033" s="49">
        <f t="shared" si="14"/>
        <v>-1.1657101865136243E-2</v>
      </c>
    </row>
    <row r="5034" spans="2:4" x14ac:dyDescent="0.3">
      <c r="B5034" s="58" t="s">
        <v>391</v>
      </c>
      <c r="C5034" s="60">
        <v>2230.4</v>
      </c>
      <c r="D5034" s="49">
        <f t="shared" si="14"/>
        <v>-9.5035083044675561E-3</v>
      </c>
    </row>
    <row r="5035" spans="2:4" x14ac:dyDescent="0.3">
      <c r="B5035" s="58" t="s">
        <v>392</v>
      </c>
      <c r="C5035" s="60">
        <v>2251.8000000000002</v>
      </c>
      <c r="D5035" s="49">
        <f t="shared" si="14"/>
        <v>3.4644366844330143E-2</v>
      </c>
    </row>
    <row r="5036" spans="2:4" x14ac:dyDescent="0.3">
      <c r="B5036" s="58">
        <v>45815</v>
      </c>
      <c r="C5036" s="60">
        <v>2176.4</v>
      </c>
      <c r="D5036" s="49">
        <f t="shared" si="14"/>
        <v>-1.3307025191575672E-3</v>
      </c>
    </row>
    <row r="5037" spans="2:4" x14ac:dyDescent="0.3">
      <c r="B5037" s="58" t="s">
        <v>393</v>
      </c>
      <c r="C5037" s="60">
        <v>2179.3000000000002</v>
      </c>
      <c r="D5037" s="49">
        <f t="shared" si="14"/>
        <v>-1.3266322557276E-2</v>
      </c>
    </row>
    <row r="5038" spans="2:4" x14ac:dyDescent="0.3">
      <c r="B5038" s="58" t="s">
        <v>394</v>
      </c>
      <c r="C5038" s="60">
        <v>2208.6</v>
      </c>
      <c r="D5038" s="49">
        <f t="shared" si="14"/>
        <v>8.2540927360062577E-2</v>
      </c>
    </row>
    <row r="5039" spans="2:4" x14ac:dyDescent="0.3">
      <c r="B5039" s="58" t="s">
        <v>395</v>
      </c>
      <c r="C5039" s="60">
        <v>2040.2</v>
      </c>
      <c r="D5039" s="49">
        <f t="shared" si="14"/>
        <v>-2.3500694012348666E-2</v>
      </c>
    </row>
    <row r="5040" spans="2:4" x14ac:dyDescent="0.3">
      <c r="B5040" s="58">
        <v>45875</v>
      </c>
      <c r="C5040" s="60">
        <v>2089.3000000000002</v>
      </c>
      <c r="D5040" s="49">
        <f t="shared" si="14"/>
        <v>-1.27114639448066E-2</v>
      </c>
    </row>
    <row r="5041" spans="2:4" x14ac:dyDescent="0.3">
      <c r="B5041" s="58">
        <v>45663</v>
      </c>
      <c r="C5041" s="60">
        <v>2116.1999999999998</v>
      </c>
      <c r="D5041" s="49">
        <f t="shared" si="14"/>
        <v>4.9494147986510528E-2</v>
      </c>
    </row>
    <row r="5042" spans="2:4" x14ac:dyDescent="0.3">
      <c r="B5042" s="58" t="s">
        <v>396</v>
      </c>
      <c r="C5042" s="60">
        <v>2016.4</v>
      </c>
      <c r="D5042" s="49">
        <f t="shared" si="14"/>
        <v>-5.9076061595893514E-2</v>
      </c>
    </row>
    <row r="5043" spans="2:4" x14ac:dyDescent="0.3">
      <c r="B5043" s="58" t="s">
        <v>397</v>
      </c>
      <c r="C5043" s="60">
        <v>2143</v>
      </c>
      <c r="D5043" s="49">
        <f t="shared" si="14"/>
        <v>3.5215690063282068E-2</v>
      </c>
    </row>
    <row r="5044" spans="2:4" x14ac:dyDescent="0.3">
      <c r="B5044" s="58">
        <v>45966</v>
      </c>
      <c r="C5044" s="60">
        <v>2070.1</v>
      </c>
      <c r="D5044" s="49">
        <f t="shared" si="14"/>
        <v>7.9977045075125153E-2</v>
      </c>
    </row>
    <row r="5045" spans="2:4" x14ac:dyDescent="0.3">
      <c r="B5045" s="58">
        <v>45752</v>
      </c>
      <c r="C5045" s="60">
        <v>1916.8</v>
      </c>
      <c r="D5045" s="49">
        <f t="shared" si="14"/>
        <v>-1.6773531674788456E-2</v>
      </c>
    </row>
    <row r="5046" spans="2:4" x14ac:dyDescent="0.3">
      <c r="B5046" s="58" t="s">
        <v>398</v>
      </c>
      <c r="C5046" s="60">
        <v>1949.5</v>
      </c>
      <c r="D5046" s="49">
        <f t="shared" si="14"/>
        <v>-8.3422351086016588E-3</v>
      </c>
    </row>
    <row r="5047" spans="2:4" x14ac:dyDescent="0.3">
      <c r="B5047" s="58" t="s">
        <v>399</v>
      </c>
      <c r="C5047" s="60">
        <v>1965.9</v>
      </c>
      <c r="D5047" s="49">
        <f t="shared" si="14"/>
        <v>6.1730395333765564E-2</v>
      </c>
    </row>
    <row r="5048" spans="2:4" x14ac:dyDescent="0.3">
      <c r="B5048" s="58" t="s">
        <v>400</v>
      </c>
      <c r="C5048" s="60">
        <v>1851.6</v>
      </c>
      <c r="D5048" s="49">
        <f t="shared" si="14"/>
        <v>2.205172080699902E-2</v>
      </c>
    </row>
    <row r="5049" spans="2:4" x14ac:dyDescent="0.3">
      <c r="B5049" s="58">
        <v>45812</v>
      </c>
      <c r="C5049" s="60">
        <v>1811.65</v>
      </c>
      <c r="D5049" s="49">
        <f t="shared" si="14"/>
        <v>-1.8315316047576413E-2</v>
      </c>
    </row>
    <row r="5050" spans="2:4" x14ac:dyDescent="0.3">
      <c r="B5050" s="58" t="s">
        <v>401</v>
      </c>
      <c r="C5050" s="60">
        <v>1845.45</v>
      </c>
      <c r="D5050" s="49">
        <f t="shared" si="14"/>
        <v>1.3120693914523418E-2</v>
      </c>
    </row>
    <row r="5051" spans="2:4" x14ac:dyDescent="0.3">
      <c r="B5051" s="58" t="s">
        <v>402</v>
      </c>
      <c r="C5051" s="60">
        <v>1821.55</v>
      </c>
      <c r="D5051" s="49">
        <f t="shared" si="14"/>
        <v>4.2434474075769613E-2</v>
      </c>
    </row>
    <row r="5052" spans="2:4" x14ac:dyDescent="0.3">
      <c r="B5052" s="58" t="s">
        <v>403</v>
      </c>
      <c r="C5052" s="60">
        <v>1747.4</v>
      </c>
      <c r="D5052" s="49">
        <f t="shared" si="14"/>
        <v>8.7300105780598658E-2</v>
      </c>
    </row>
    <row r="5053" spans="2:4" x14ac:dyDescent="0.3">
      <c r="B5053" s="58">
        <v>45903</v>
      </c>
      <c r="C5053" s="60">
        <v>1607.1</v>
      </c>
      <c r="D5053" s="49">
        <f t="shared" si="14"/>
        <v>-5.2612963126713264E-2</v>
      </c>
    </row>
    <row r="5054" spans="2:4" x14ac:dyDescent="0.3">
      <c r="B5054" s="58">
        <v>45691</v>
      </c>
      <c r="C5054" s="60">
        <v>1696.35</v>
      </c>
      <c r="D5054" s="49">
        <f t="shared" si="14"/>
        <v>3.9653182611782967E-3</v>
      </c>
    </row>
    <row r="5055" spans="2:4" x14ac:dyDescent="0.3">
      <c r="B5055" s="58" t="s">
        <v>404</v>
      </c>
      <c r="C5055" s="60">
        <v>1689.65</v>
      </c>
      <c r="D5055" s="49">
        <f t="shared" si="14"/>
        <v>-2.9912444380651548E-2</v>
      </c>
    </row>
    <row r="5056" spans="2:4" x14ac:dyDescent="0.3">
      <c r="B5056" s="58" t="s">
        <v>405</v>
      </c>
      <c r="C5056" s="60">
        <v>1741.75</v>
      </c>
      <c r="D5056" s="49">
        <f t="shared" si="14"/>
        <v>-2.2833740076860565E-2</v>
      </c>
    </row>
    <row r="5057" spans="2:4" x14ac:dyDescent="0.3">
      <c r="B5057" s="58">
        <v>45902</v>
      </c>
      <c r="C5057" s="60">
        <v>1782.45</v>
      </c>
      <c r="D5057" s="49">
        <f t="shared" si="14"/>
        <v>-3.6383295039870256E-2</v>
      </c>
    </row>
    <row r="5058" spans="2:4" x14ac:dyDescent="0.3">
      <c r="B5058" s="58">
        <v>45690</v>
      </c>
      <c r="C5058" s="60">
        <v>1849.75</v>
      </c>
      <c r="D5058" s="49">
        <f t="shared" si="14"/>
        <v>-8.8943660085192278E-3</v>
      </c>
    </row>
    <row r="5059" spans="2:4" x14ac:dyDescent="0.3">
      <c r="B5059" s="58" t="s">
        <v>406</v>
      </c>
      <c r="C5059" s="60">
        <v>1866.35</v>
      </c>
      <c r="D5059" s="49">
        <f t="shared" si="14"/>
        <v>3.5164591364153175E-2</v>
      </c>
    </row>
    <row r="5060" spans="2:4" x14ac:dyDescent="0.3">
      <c r="B5060" s="58" t="s">
        <v>407</v>
      </c>
      <c r="C5060" s="60">
        <v>1802.95</v>
      </c>
      <c r="D5060" s="49">
        <f t="shared" si="14"/>
        <v>4.7039693370887647E-2</v>
      </c>
    </row>
    <row r="5061" spans="2:4" x14ac:dyDescent="0.3">
      <c r="B5061" s="58">
        <v>45992</v>
      </c>
      <c r="C5061" s="60">
        <v>1721.95</v>
      </c>
      <c r="D5061" s="49">
        <f t="shared" si="14"/>
        <v>-3.2127351664253956E-3</v>
      </c>
    </row>
    <row r="5062" spans="2:4" x14ac:dyDescent="0.3">
      <c r="B5062" s="58">
        <v>45778</v>
      </c>
      <c r="C5062" s="60">
        <v>1727.5</v>
      </c>
      <c r="D5062" s="49">
        <f t="shared" si="14"/>
        <v>-4.4445059048040414E-2</v>
      </c>
    </row>
    <row r="5063" spans="2:4" x14ac:dyDescent="0.3">
      <c r="B5063" s="58" t="s">
        <v>371</v>
      </c>
      <c r="C5063" s="60">
        <v>1807.85</v>
      </c>
      <c r="D5063" s="49">
        <f t="shared" si="14"/>
        <v>3.8755458515283836E-2</v>
      </c>
    </row>
    <row r="5064" spans="2:4" x14ac:dyDescent="0.3">
      <c r="B5064" s="58" t="s">
        <v>372</v>
      </c>
      <c r="C5064" s="60">
        <v>1740.4</v>
      </c>
      <c r="D5064" s="49">
        <f t="shared" si="14"/>
        <v>-3.4130639880126545E-2</v>
      </c>
    </row>
    <row r="5065" spans="2:4" x14ac:dyDescent="0.3">
      <c r="B5065" s="58" t="s">
        <v>373</v>
      </c>
      <c r="C5065" s="60">
        <v>1801.9</v>
      </c>
      <c r="D5065" s="49">
        <f t="shared" si="14"/>
        <v>-6.2291840133222198E-2</v>
      </c>
    </row>
    <row r="5066" spans="2:4" x14ac:dyDescent="0.3">
      <c r="B5066" s="58">
        <v>45516</v>
      </c>
      <c r="C5066" s="60">
        <v>1921.6</v>
      </c>
      <c r="D5066" s="49">
        <f t="shared" si="14"/>
        <v>-2.3104280781911513E-3</v>
      </c>
    </row>
    <row r="5067" spans="2:4" x14ac:dyDescent="0.3">
      <c r="B5067" s="58">
        <v>45303</v>
      </c>
      <c r="C5067" s="60">
        <v>1926.05</v>
      </c>
      <c r="D5067" s="49">
        <f t="shared" si="14"/>
        <v>5.8065756585272021E-2</v>
      </c>
    </row>
    <row r="5068" spans="2:4" x14ac:dyDescent="0.3">
      <c r="B5068" s="58" t="s">
        <v>374</v>
      </c>
      <c r="C5068" s="60">
        <v>1820.35</v>
      </c>
      <c r="D5068" s="49">
        <f t="shared" si="14"/>
        <v>6.6915526061108732E-3</v>
      </c>
    </row>
    <row r="5069" spans="2:4" x14ac:dyDescent="0.3">
      <c r="B5069" s="58" t="s">
        <v>375</v>
      </c>
      <c r="C5069" s="60">
        <v>1808.25</v>
      </c>
      <c r="D5069" s="49">
        <f t="shared" si="14"/>
        <v>5.5111448243668981E-2</v>
      </c>
    </row>
    <row r="5070" spans="2:4" x14ac:dyDescent="0.3">
      <c r="B5070" s="58">
        <v>45576</v>
      </c>
      <c r="C5070" s="60">
        <v>1713.8</v>
      </c>
      <c r="D5070" s="49">
        <f t="shared" si="14"/>
        <v>-3.0683521393625734E-2</v>
      </c>
    </row>
    <row r="5071" spans="2:4" x14ac:dyDescent="0.3">
      <c r="B5071" s="58">
        <v>45362</v>
      </c>
      <c r="C5071" s="60">
        <v>1768.05</v>
      </c>
      <c r="D5071" s="49">
        <f t="shared" si="14"/>
        <v>-3.8162332716788261E-2</v>
      </c>
    </row>
    <row r="5072" spans="2:4" x14ac:dyDescent="0.3">
      <c r="B5072" s="58" t="s">
        <v>376</v>
      </c>
      <c r="C5072" s="60">
        <v>1838.2</v>
      </c>
      <c r="D5072" s="49">
        <f t="shared" si="14"/>
        <v>3.7680995794405758E-2</v>
      </c>
    </row>
    <row r="5073" spans="2:4" x14ac:dyDescent="0.3">
      <c r="B5073" s="58" t="s">
        <v>377</v>
      </c>
      <c r="C5073" s="60">
        <v>1771.45</v>
      </c>
      <c r="D5073" s="49">
        <f t="shared" si="14"/>
        <v>-4.3570985071403556E-2</v>
      </c>
    </row>
    <row r="5074" spans="2:4" x14ac:dyDescent="0.3">
      <c r="B5074" s="58" t="s">
        <v>378</v>
      </c>
      <c r="C5074" s="60">
        <v>1852.15</v>
      </c>
      <c r="D5074" s="49">
        <f t="shared" si="14"/>
        <v>-1.1105475319682867E-2</v>
      </c>
    </row>
    <row r="5075" spans="2:4" x14ac:dyDescent="0.3">
      <c r="B5075" s="58">
        <v>45453</v>
      </c>
      <c r="C5075" s="60">
        <v>1872.95</v>
      </c>
      <c r="D5075" s="49">
        <f t="shared" si="14"/>
        <v>-3.3316129032258002E-2</v>
      </c>
    </row>
    <row r="5076" spans="2:4" x14ac:dyDescent="0.3">
      <c r="B5076" s="58" t="s">
        <v>408</v>
      </c>
      <c r="C5076" s="60">
        <v>1937.5</v>
      </c>
      <c r="D5076" s="49">
        <f t="shared" si="14"/>
        <v>2.2562343317060307E-2</v>
      </c>
    </row>
    <row r="5077" spans="2:4" x14ac:dyDescent="0.3">
      <c r="B5077" s="58" t="s">
        <v>409</v>
      </c>
      <c r="C5077" s="60">
        <v>1894.75</v>
      </c>
      <c r="D5077" s="49">
        <f t="shared" si="14"/>
        <v>3.2055122828040794E-2</v>
      </c>
    </row>
    <row r="5078" spans="2:4" x14ac:dyDescent="0.3">
      <c r="B5078" s="58" t="s">
        <v>410</v>
      </c>
      <c r="C5078" s="60">
        <v>1835.9</v>
      </c>
      <c r="D5078" s="49">
        <f t="shared" si="14"/>
        <v>-3.4803638084222599E-2</v>
      </c>
    </row>
    <row r="5079" spans="2:4" x14ac:dyDescent="0.3">
      <c r="B5079" s="58">
        <v>45513</v>
      </c>
      <c r="C5079" s="60">
        <v>1902.1</v>
      </c>
      <c r="D5079" s="49">
        <f t="shared" si="14"/>
        <v>1.377748167888071E-2</v>
      </c>
    </row>
    <row r="5080" spans="2:4" x14ac:dyDescent="0.3">
      <c r="B5080" s="58">
        <v>45300</v>
      </c>
      <c r="C5080" s="60">
        <v>1876.25</v>
      </c>
      <c r="D5080" s="49">
        <f t="shared" si="14"/>
        <v>-7.8263398640966431E-3</v>
      </c>
    </row>
    <row r="5081" spans="2:4" x14ac:dyDescent="0.3">
      <c r="B5081" s="58" t="s">
        <v>411</v>
      </c>
      <c r="C5081" s="60">
        <v>1891.05</v>
      </c>
      <c r="D5081" s="49">
        <f t="shared" si="14"/>
        <v>4.8224827471522458E-2</v>
      </c>
    </row>
    <row r="5082" spans="2:4" x14ac:dyDescent="0.3">
      <c r="B5082" s="58" t="s">
        <v>412</v>
      </c>
      <c r="C5082" s="60">
        <v>1804.05</v>
      </c>
      <c r="D5082" s="49">
        <f t="shared" si="14"/>
        <v>3.0414667580534571E-2</v>
      </c>
    </row>
    <row r="5083" spans="2:4" x14ac:dyDescent="0.3">
      <c r="B5083" s="58">
        <v>45604</v>
      </c>
      <c r="C5083" s="60">
        <v>1750.8</v>
      </c>
      <c r="D5083" s="49">
        <f t="shared" si="14"/>
        <v>5.8600482592210401E-3</v>
      </c>
    </row>
    <row r="5084" spans="2:4" x14ac:dyDescent="0.3">
      <c r="B5084" s="58">
        <v>45390</v>
      </c>
      <c r="C5084" s="60">
        <v>1740.6</v>
      </c>
      <c r="D5084" s="49">
        <f t="shared" si="14"/>
        <v>-3.2301106354589493E-2</v>
      </c>
    </row>
    <row r="5085" spans="2:4" x14ac:dyDescent="0.3">
      <c r="B5085" s="58" t="s">
        <v>413</v>
      </c>
      <c r="C5085" s="60">
        <v>1798.7</v>
      </c>
      <c r="D5085" s="49">
        <f t="shared" si="14"/>
        <v>-7.4495088842291279E-3</v>
      </c>
    </row>
    <row r="5086" spans="2:4" x14ac:dyDescent="0.3">
      <c r="B5086" s="58" t="s">
        <v>414</v>
      </c>
      <c r="C5086" s="60">
        <v>1812.2</v>
      </c>
      <c r="D5086" s="49">
        <f t="shared" si="14"/>
        <v>-3.5739814152966343E-3</v>
      </c>
    </row>
    <row r="5087" spans="2:4" x14ac:dyDescent="0.3">
      <c r="B5087" s="58" t="s">
        <v>415</v>
      </c>
      <c r="C5087" s="60">
        <v>1818.7</v>
      </c>
      <c r="D5087" s="49">
        <f t="shared" si="14"/>
        <v>-5.9422838229209685E-2</v>
      </c>
    </row>
    <row r="5088" spans="2:4" x14ac:dyDescent="0.3">
      <c r="B5088" s="58">
        <v>45480</v>
      </c>
      <c r="C5088" s="60">
        <v>1933.6</v>
      </c>
      <c r="D5088" s="49">
        <f t="shared" si="14"/>
        <v>4.0604902725829284E-2</v>
      </c>
    </row>
    <row r="5089" spans="2:4" x14ac:dyDescent="0.3">
      <c r="B5089" s="58" t="s">
        <v>416</v>
      </c>
      <c r="C5089" s="60">
        <v>1858.15</v>
      </c>
      <c r="D5089" s="49">
        <f t="shared" si="14"/>
        <v>2.4649149411342997E-2</v>
      </c>
    </row>
    <row r="5090" spans="2:4" x14ac:dyDescent="0.3">
      <c r="B5090" s="58" t="s">
        <v>417</v>
      </c>
      <c r="C5090" s="60">
        <v>1813.45</v>
      </c>
      <c r="D5090" s="49">
        <f t="shared" si="14"/>
        <v>-5.3477402369460636E-3</v>
      </c>
    </row>
    <row r="5091" spans="2:4" x14ac:dyDescent="0.3">
      <c r="B5091" s="58" t="s">
        <v>418</v>
      </c>
      <c r="C5091" s="60">
        <v>1823.2</v>
      </c>
      <c r="D5091" s="49">
        <f t="shared" si="14"/>
        <v>-3.1423486599197692E-2</v>
      </c>
    </row>
    <row r="5092" spans="2:4" x14ac:dyDescent="0.3">
      <c r="B5092" s="58">
        <v>45541</v>
      </c>
      <c r="C5092" s="60">
        <v>1882.35</v>
      </c>
      <c r="D5092" s="49">
        <f t="shared" si="14"/>
        <v>4.000110500290055E-2</v>
      </c>
    </row>
    <row r="5093" spans="2:4" x14ac:dyDescent="0.3">
      <c r="B5093" s="58">
        <v>45328</v>
      </c>
      <c r="C5093" s="60">
        <v>1809.95</v>
      </c>
      <c r="D5093" s="49">
        <f t="shared" ref="D5093:D5130" si="15">C5093/C5094-1</f>
        <v>1.9288168046404319E-2</v>
      </c>
    </row>
    <row r="5094" spans="2:4" x14ac:dyDescent="0.3">
      <c r="B5094" s="58" t="s">
        <v>419</v>
      </c>
      <c r="C5094" s="60">
        <v>1775.7</v>
      </c>
      <c r="D5094" s="49">
        <f t="shared" si="15"/>
        <v>-9.3447515969762307E-3</v>
      </c>
    </row>
    <row r="5095" spans="2:4" x14ac:dyDescent="0.3">
      <c r="B5095" s="58" t="s">
        <v>420</v>
      </c>
      <c r="C5095" s="60">
        <v>1792.45</v>
      </c>
      <c r="D5095" s="49">
        <f t="shared" si="15"/>
        <v>-1.2152108018737895E-2</v>
      </c>
    </row>
    <row r="5096" spans="2:4" x14ac:dyDescent="0.3">
      <c r="B5096" s="58">
        <v>45631</v>
      </c>
      <c r="C5096" s="60">
        <v>1814.5</v>
      </c>
      <c r="D5096" s="49">
        <f t="shared" si="15"/>
        <v>5.8110038778901973E-2</v>
      </c>
    </row>
    <row r="5097" spans="2:4" x14ac:dyDescent="0.3">
      <c r="B5097" s="58">
        <v>45417</v>
      </c>
      <c r="C5097" s="60">
        <v>1714.85</v>
      </c>
      <c r="D5097" s="49">
        <f t="shared" si="15"/>
        <v>-4.5236902176938876E-2</v>
      </c>
    </row>
    <row r="5098" spans="2:4" x14ac:dyDescent="0.3">
      <c r="B5098" s="58" t="s">
        <v>421</v>
      </c>
      <c r="C5098" s="60">
        <v>1796.1</v>
      </c>
      <c r="D5098" s="49">
        <f t="shared" si="15"/>
        <v>-2.0280594527017914E-3</v>
      </c>
    </row>
    <row r="5099" spans="2:4" x14ac:dyDescent="0.3">
      <c r="B5099" s="58" t="s">
        <v>422</v>
      </c>
      <c r="C5099" s="60">
        <v>1799.75</v>
      </c>
      <c r="D5099" s="49">
        <f t="shared" si="15"/>
        <v>-7.3940672515372174E-2</v>
      </c>
    </row>
    <row r="5100" spans="2:4" x14ac:dyDescent="0.3">
      <c r="B5100" s="58" t="s">
        <v>423</v>
      </c>
      <c r="C5100" s="60">
        <v>1943.45</v>
      </c>
      <c r="D5100" s="49">
        <f t="shared" si="15"/>
        <v>-4.4056248559206646E-3</v>
      </c>
    </row>
    <row r="5101" spans="2:4" x14ac:dyDescent="0.3">
      <c r="B5101" s="58">
        <v>45477</v>
      </c>
      <c r="C5101" s="60">
        <v>1952.05</v>
      </c>
      <c r="D5101" s="49">
        <f t="shared" si="15"/>
        <v>-1.8626514504047065E-2</v>
      </c>
    </row>
    <row r="5102" spans="2:4" x14ac:dyDescent="0.3">
      <c r="B5102" s="58" t="s">
        <v>424</v>
      </c>
      <c r="C5102" s="60">
        <v>1989.1</v>
      </c>
      <c r="D5102" s="49">
        <f t="shared" si="15"/>
        <v>2.4174239888782978E-2</v>
      </c>
    </row>
    <row r="5103" spans="2:4" x14ac:dyDescent="0.3">
      <c r="B5103" s="58" t="s">
        <v>425</v>
      </c>
      <c r="C5103" s="60">
        <v>1942.15</v>
      </c>
      <c r="D5103" s="49">
        <f t="shared" si="15"/>
        <v>-8.727829526604558E-3</v>
      </c>
    </row>
    <row r="5104" spans="2:4" x14ac:dyDescent="0.3">
      <c r="B5104" s="58" t="s">
        <v>426</v>
      </c>
      <c r="C5104" s="60">
        <v>1959.25</v>
      </c>
      <c r="D5104" s="49">
        <f t="shared" si="15"/>
        <v>4.1932567538821575E-2</v>
      </c>
    </row>
    <row r="5105" spans="2:4" x14ac:dyDescent="0.3">
      <c r="B5105" s="58">
        <v>45568</v>
      </c>
      <c r="C5105" s="60">
        <v>1880.4</v>
      </c>
      <c r="D5105" s="49">
        <f t="shared" si="15"/>
        <v>-4.1199265755659797E-2</v>
      </c>
    </row>
    <row r="5106" spans="2:4" x14ac:dyDescent="0.3">
      <c r="B5106" s="58">
        <v>45354</v>
      </c>
      <c r="C5106" s="60">
        <v>1961.2</v>
      </c>
      <c r="D5106" s="49">
        <f t="shared" si="15"/>
        <v>-4.5853706001118821E-2</v>
      </c>
    </row>
    <row r="5107" spans="2:4" x14ac:dyDescent="0.3">
      <c r="B5107" s="58" t="s">
        <v>427</v>
      </c>
      <c r="C5107" s="60">
        <v>2055.4499999999998</v>
      </c>
      <c r="D5107" s="49">
        <f t="shared" si="15"/>
        <v>-1.6389912427621223E-2</v>
      </c>
    </row>
    <row r="5108" spans="2:4" x14ac:dyDescent="0.3">
      <c r="B5108" s="58" t="s">
        <v>428</v>
      </c>
      <c r="C5108" s="60">
        <v>2089.6999999999998</v>
      </c>
      <c r="D5108" s="49">
        <f t="shared" si="15"/>
        <v>2.4465125203876337E-3</v>
      </c>
    </row>
    <row r="5109" spans="2:4" x14ac:dyDescent="0.3">
      <c r="B5109" s="58">
        <v>45598</v>
      </c>
      <c r="C5109" s="60">
        <v>2084.6</v>
      </c>
      <c r="D5109" s="49">
        <f t="shared" si="15"/>
        <v>-2.0026325686348212E-2</v>
      </c>
    </row>
    <row r="5110" spans="2:4" x14ac:dyDescent="0.3">
      <c r="B5110" s="58">
        <v>45384</v>
      </c>
      <c r="C5110" s="60">
        <v>2127.1999999999998</v>
      </c>
      <c r="D5110" s="49">
        <f t="shared" si="15"/>
        <v>-5.8386082953388541E-2</v>
      </c>
    </row>
    <row r="5111" spans="2:4" x14ac:dyDescent="0.3">
      <c r="B5111" s="58" t="s">
        <v>429</v>
      </c>
      <c r="C5111" s="60">
        <v>2259.1</v>
      </c>
      <c r="D5111" s="49">
        <f t="shared" si="15"/>
        <v>2.4511915829572795E-2</v>
      </c>
    </row>
    <row r="5112" spans="2:4" x14ac:dyDescent="0.3">
      <c r="B5112" s="58" t="s">
        <v>430</v>
      </c>
      <c r="C5112" s="60">
        <v>2205.0500000000002</v>
      </c>
      <c r="D5112" s="49">
        <f t="shared" si="15"/>
        <v>-4.2223627167630173E-3</v>
      </c>
    </row>
    <row r="5113" spans="2:4" x14ac:dyDescent="0.3">
      <c r="B5113" s="58" t="s">
        <v>431</v>
      </c>
      <c r="C5113" s="60">
        <v>2214.4</v>
      </c>
      <c r="D5113" s="49">
        <f t="shared" si="15"/>
        <v>-3.8680269155632718E-2</v>
      </c>
    </row>
    <row r="5114" spans="2:4" x14ac:dyDescent="0.3">
      <c r="B5114" s="58">
        <v>45474</v>
      </c>
      <c r="C5114" s="60">
        <v>2303.5</v>
      </c>
      <c r="D5114" s="49">
        <f t="shared" si="15"/>
        <v>-3.6474672690007037E-2</v>
      </c>
    </row>
    <row r="5115" spans="2:4" x14ac:dyDescent="0.3">
      <c r="B5115" s="58" t="s">
        <v>379</v>
      </c>
      <c r="C5115" s="60">
        <v>2390.6999999999998</v>
      </c>
      <c r="D5115" s="49">
        <f t="shared" si="15"/>
        <v>5.0764767932489407E-2</v>
      </c>
    </row>
    <row r="5116" spans="2:4" x14ac:dyDescent="0.3">
      <c r="B5116" s="58" t="s">
        <v>380</v>
      </c>
      <c r="C5116" s="60">
        <v>2275.1999999999998</v>
      </c>
      <c r="D5116" s="49">
        <f t="shared" si="15"/>
        <v>3.6915504511894959E-2</v>
      </c>
    </row>
    <row r="5117" spans="2:4" x14ac:dyDescent="0.3">
      <c r="B5117" s="58" t="s">
        <v>381</v>
      </c>
      <c r="C5117" s="60">
        <v>2194.1999999999998</v>
      </c>
      <c r="D5117" s="49">
        <f t="shared" si="15"/>
        <v>-7.1041490262489515E-2</v>
      </c>
    </row>
    <row r="5118" spans="2:4" x14ac:dyDescent="0.3">
      <c r="B5118" s="58">
        <v>45211</v>
      </c>
      <c r="C5118" s="60">
        <v>2362</v>
      </c>
      <c r="D5118" s="49">
        <f t="shared" si="15"/>
        <v>1.3212079615648742E-2</v>
      </c>
    </row>
    <row r="5119" spans="2:4" x14ac:dyDescent="0.3">
      <c r="B5119" s="58">
        <v>44997</v>
      </c>
      <c r="C5119" s="60">
        <v>2331.1999999999998</v>
      </c>
      <c r="D5119" s="49">
        <f t="shared" si="15"/>
        <v>2.915921682890743E-2</v>
      </c>
    </row>
    <row r="5120" spans="2:4" x14ac:dyDescent="0.3">
      <c r="B5120" s="58" t="s">
        <v>382</v>
      </c>
      <c r="C5120" s="60">
        <v>2265.15</v>
      </c>
      <c r="D5120" s="49">
        <f t="shared" si="15"/>
        <v>1.526153018690346E-2</v>
      </c>
    </row>
    <row r="5121" spans="2:4" x14ac:dyDescent="0.3">
      <c r="B5121" s="58" t="s">
        <v>383</v>
      </c>
      <c r="C5121" s="60">
        <v>2231.1</v>
      </c>
      <c r="D5121" s="49">
        <f t="shared" si="15"/>
        <v>1.0622154779969639E-2</v>
      </c>
    </row>
    <row r="5122" spans="2:4" x14ac:dyDescent="0.3">
      <c r="B5122" s="58">
        <v>45271</v>
      </c>
      <c r="C5122" s="60">
        <v>2207.65</v>
      </c>
      <c r="D5122" s="49">
        <f t="shared" si="15"/>
        <v>5.6544627901411904E-2</v>
      </c>
    </row>
    <row r="5123" spans="2:4" x14ac:dyDescent="0.3">
      <c r="B5123" s="58">
        <v>45057</v>
      </c>
      <c r="C5123" s="60">
        <v>2089.5</v>
      </c>
      <c r="D5123" s="49">
        <f t="shared" si="15"/>
        <v>7.6435271140260497E-3</v>
      </c>
    </row>
    <row r="5124" spans="2:4" x14ac:dyDescent="0.3">
      <c r="B5124" s="58" t="s">
        <v>384</v>
      </c>
      <c r="C5124" s="60">
        <v>2073.65</v>
      </c>
      <c r="D5124" s="49">
        <f t="shared" si="15"/>
        <v>1.7243070885454959E-2</v>
      </c>
    </row>
    <row r="5125" spans="2:4" x14ac:dyDescent="0.3">
      <c r="B5125" s="58" t="s">
        <v>385</v>
      </c>
      <c r="C5125" s="60">
        <v>2038.5</v>
      </c>
      <c r="D5125" s="49">
        <f t="shared" si="15"/>
        <v>-5.5397233613679098E-2</v>
      </c>
    </row>
    <row r="5126" spans="2:4" x14ac:dyDescent="0.3">
      <c r="B5126" s="58" t="s">
        <v>386</v>
      </c>
      <c r="C5126" s="60">
        <v>2158.0500000000002</v>
      </c>
      <c r="D5126" s="49">
        <f t="shared" si="15"/>
        <v>-5.8668295129877257E-2</v>
      </c>
    </row>
    <row r="5127" spans="2:4" x14ac:dyDescent="0.3">
      <c r="B5127" s="58">
        <v>45148</v>
      </c>
      <c r="C5127" s="60">
        <v>2292.5500000000002</v>
      </c>
      <c r="D5127" s="49">
        <f t="shared" si="15"/>
        <v>3.0915549959528832E-2</v>
      </c>
    </row>
    <row r="5128" spans="2:4" x14ac:dyDescent="0.3">
      <c r="B5128" s="58">
        <v>44936</v>
      </c>
      <c r="C5128" s="60">
        <v>2223.8000000000002</v>
      </c>
      <c r="D5128" s="49">
        <f t="shared" si="15"/>
        <v>-7.5093060494520247E-2</v>
      </c>
    </row>
    <row r="5129" spans="2:4" x14ac:dyDescent="0.3">
      <c r="B5129" s="58" t="s">
        <v>432</v>
      </c>
      <c r="C5129" s="60">
        <v>2404.35</v>
      </c>
      <c r="D5129" s="49">
        <f t="shared" si="15"/>
        <v>7.0693801211257679E-2</v>
      </c>
    </row>
    <row r="5130" spans="2:4" x14ac:dyDescent="0.3">
      <c r="B5130" s="58" t="s">
        <v>433</v>
      </c>
      <c r="C5130" s="60">
        <v>2245.6</v>
      </c>
      <c r="D5130" s="49">
        <f t="shared" si="15"/>
        <v>-5.9473948735131565E-2</v>
      </c>
    </row>
    <row r="5131" spans="2:4" ht="15" thickBot="1" x14ac:dyDescent="0.35">
      <c r="B5131" s="139">
        <v>45208</v>
      </c>
      <c r="C5131" s="60">
        <v>2387.6</v>
      </c>
    </row>
    <row r="5132" spans="2:4" ht="15" thickTop="1" x14ac:dyDescent="0.3"/>
  </sheetData>
  <mergeCells count="1">
    <mergeCell ref="C1:H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O77"/>
  <sheetViews>
    <sheetView topLeftCell="F12" workbookViewId="0">
      <selection activeCell="Q21" sqref="Q21"/>
    </sheetView>
  </sheetViews>
  <sheetFormatPr defaultColWidth="16.77734375" defaultRowHeight="14.4" x14ac:dyDescent="0.3"/>
  <sheetData>
    <row r="2" spans="1:15" x14ac:dyDescent="0.3">
      <c r="A2" t="s">
        <v>2879</v>
      </c>
      <c r="B2" s="474">
        <v>0.192</v>
      </c>
    </row>
    <row r="3" spans="1:15" x14ac:dyDescent="0.3">
      <c r="A3" t="s">
        <v>2880</v>
      </c>
      <c r="B3" s="474">
        <v>0.27500000000000002</v>
      </c>
    </row>
    <row r="4" spans="1:15" x14ac:dyDescent="0.3">
      <c r="A4" t="s">
        <v>2881</v>
      </c>
      <c r="B4" s="474">
        <v>0.18099999999999999</v>
      </c>
    </row>
    <row r="5" spans="1:15" x14ac:dyDescent="0.3">
      <c r="A5" t="s">
        <v>2882</v>
      </c>
      <c r="B5" s="474">
        <v>0.17</v>
      </c>
    </row>
    <row r="6" spans="1:15" x14ac:dyDescent="0.3">
      <c r="A6" t="s">
        <v>2883</v>
      </c>
      <c r="B6" s="474">
        <v>0.182</v>
      </c>
    </row>
    <row r="12" spans="1:15" x14ac:dyDescent="0.3">
      <c r="A12" s="60">
        <v>11498.65</v>
      </c>
      <c r="B12" s="53">
        <v>941.55</v>
      </c>
      <c r="C12" s="53">
        <v>528.20000000000005</v>
      </c>
      <c r="D12" s="60">
        <v>30694.5</v>
      </c>
      <c r="E12" s="60">
        <v>4954.7</v>
      </c>
      <c r="F12" s="60">
        <v>1966.3</v>
      </c>
      <c r="G12" s="422">
        <v>45717</v>
      </c>
      <c r="H12" s="60">
        <f t="shared" ref="H12:H62" si="0">(A12/$A$64)*100</f>
        <v>117.05128466142757</v>
      </c>
      <c r="I12" s="60">
        <f t="shared" ref="I12:I62" si="1">(B12/$B$64)*100</f>
        <v>112.14936573164196</v>
      </c>
      <c r="J12" s="60">
        <f t="shared" ref="J12:J62" si="2">(C12/$C$64)*100</f>
        <v>84.215561224489804</v>
      </c>
      <c r="K12" s="60">
        <f t="shared" ref="K12:K62" si="3">(D12/$D$64)*100</f>
        <v>118.91999744295563</v>
      </c>
      <c r="L12" s="60">
        <f t="shared" ref="L12:L62" si="4">(E12/$E$64)*100</f>
        <v>113.80618013014427</v>
      </c>
      <c r="M12" s="60">
        <f t="shared" ref="M12:M62" si="5">(F12/$F$64)*100</f>
        <v>76.358199681565765</v>
      </c>
      <c r="N12" s="512">
        <f t="shared" ref="N12:N63" si="6">(O12/$O$64)*100</f>
        <v>101.73560987309949</v>
      </c>
      <c r="O12" s="60">
        <v>22904.45</v>
      </c>
    </row>
    <row r="13" spans="1:15" x14ac:dyDescent="0.3">
      <c r="A13" s="60">
        <v>11509.55</v>
      </c>
      <c r="B13" s="53">
        <v>896.75</v>
      </c>
      <c r="C13" s="53">
        <v>538.35</v>
      </c>
      <c r="D13" s="60">
        <v>30502.95</v>
      </c>
      <c r="E13" s="60">
        <v>4932.6499999999996</v>
      </c>
      <c r="F13" s="60">
        <v>1942.65</v>
      </c>
      <c r="G13" s="422"/>
      <c r="H13" s="60">
        <f t="shared" si="0"/>
        <v>117.16224194796203</v>
      </c>
      <c r="I13" s="60">
        <f t="shared" si="1"/>
        <v>106.81317372401881</v>
      </c>
      <c r="J13" s="60">
        <f t="shared" si="2"/>
        <v>85.833864795918373</v>
      </c>
      <c r="K13" s="60">
        <f t="shared" si="3"/>
        <v>118.17787343017815</v>
      </c>
      <c r="L13" s="60">
        <f t="shared" si="4"/>
        <v>113.29970622216403</v>
      </c>
      <c r="M13" s="60">
        <f t="shared" si="5"/>
        <v>75.439788746068118</v>
      </c>
      <c r="N13" s="512">
        <f t="shared" si="6"/>
        <v>104.46683574889954</v>
      </c>
      <c r="O13" s="60">
        <v>23519.35</v>
      </c>
    </row>
    <row r="14" spans="1:15" x14ac:dyDescent="0.3">
      <c r="A14" s="60">
        <v>10976.75</v>
      </c>
      <c r="B14" s="53">
        <v>855.85</v>
      </c>
      <c r="C14" s="53">
        <v>514.5</v>
      </c>
      <c r="D14" s="60">
        <v>28987.4</v>
      </c>
      <c r="E14" s="60">
        <v>4822.5</v>
      </c>
      <c r="F14" s="60">
        <v>1915.65</v>
      </c>
      <c r="G14" s="422"/>
      <c r="H14" s="60">
        <f t="shared" si="0"/>
        <v>111.73856834561668</v>
      </c>
      <c r="I14" s="60">
        <f t="shared" si="1"/>
        <v>101.94151628848789</v>
      </c>
      <c r="J14" s="60">
        <f t="shared" si="2"/>
        <v>82.031249999999986</v>
      </c>
      <c r="K14" s="60">
        <f t="shared" si="3"/>
        <v>112.30616344550106</v>
      </c>
      <c r="L14" s="60">
        <f t="shared" si="4"/>
        <v>110.7696336160859</v>
      </c>
      <c r="M14" s="60">
        <f t="shared" si="5"/>
        <v>74.391285775309697</v>
      </c>
      <c r="N14" s="512">
        <f t="shared" si="6"/>
        <v>103.71640378969249</v>
      </c>
      <c r="O14" s="60">
        <v>23350.400000000001</v>
      </c>
    </row>
    <row r="15" spans="1:15" x14ac:dyDescent="0.3">
      <c r="A15" s="60">
        <v>10452.1</v>
      </c>
      <c r="B15" s="53">
        <v>801.55</v>
      </c>
      <c r="C15" s="53">
        <v>485.8</v>
      </c>
      <c r="D15" s="60">
        <v>27495.15</v>
      </c>
      <c r="E15" s="60">
        <v>4271.3</v>
      </c>
      <c r="F15" s="60">
        <v>1854</v>
      </c>
      <c r="G15" s="422"/>
      <c r="H15" s="60">
        <f t="shared" si="0"/>
        <v>106.39785821898286</v>
      </c>
      <c r="I15" s="60">
        <f t="shared" si="1"/>
        <v>95.473765707819666</v>
      </c>
      <c r="J15" s="60">
        <f t="shared" si="2"/>
        <v>77.455357142857139</v>
      </c>
      <c r="K15" s="60">
        <f t="shared" si="3"/>
        <v>106.52472487558624</v>
      </c>
      <c r="L15" s="60">
        <f t="shared" si="4"/>
        <v>98.108934383491473</v>
      </c>
      <c r="M15" s="60">
        <f t="shared" si="5"/>
        <v>71.997203992077985</v>
      </c>
      <c r="N15" s="512">
        <f t="shared" si="6"/>
        <v>99.482537299510966</v>
      </c>
      <c r="O15" s="60">
        <v>22397.200000000001</v>
      </c>
    </row>
    <row r="16" spans="1:15" x14ac:dyDescent="0.3">
      <c r="A16" s="60">
        <v>10582.4</v>
      </c>
      <c r="B16" s="53">
        <v>871.65</v>
      </c>
      <c r="C16" s="53">
        <v>499.8</v>
      </c>
      <c r="D16" s="60">
        <v>27985.200000000001</v>
      </c>
      <c r="E16" s="60">
        <v>4421.55</v>
      </c>
      <c r="F16" s="60">
        <v>1885.75</v>
      </c>
      <c r="G16" s="422"/>
      <c r="H16" s="60">
        <f t="shared" si="0"/>
        <v>107.72425587361047</v>
      </c>
      <c r="I16" s="60">
        <f t="shared" si="1"/>
        <v>103.82347686260498</v>
      </c>
      <c r="J16" s="60">
        <f t="shared" si="2"/>
        <v>79.6875</v>
      </c>
      <c r="K16" s="60">
        <f t="shared" si="3"/>
        <v>108.423330317829</v>
      </c>
      <c r="L16" s="60">
        <f t="shared" si="4"/>
        <v>101.56007745260851</v>
      </c>
      <c r="M16" s="60">
        <f t="shared" si="5"/>
        <v>73.230165818803158</v>
      </c>
      <c r="N16" s="512">
        <f t="shared" si="6"/>
        <v>100.17233950883239</v>
      </c>
      <c r="O16" s="60">
        <v>22552.5</v>
      </c>
    </row>
    <row r="17" spans="1:15" x14ac:dyDescent="0.3">
      <c r="A17" s="60">
        <v>10128.450000000001</v>
      </c>
      <c r="B17" s="53">
        <v>829</v>
      </c>
      <c r="C17" s="53">
        <v>464.95</v>
      </c>
      <c r="D17" s="60">
        <v>27284</v>
      </c>
      <c r="E17" s="60">
        <v>4389.3500000000004</v>
      </c>
      <c r="F17" s="60">
        <v>1818.55</v>
      </c>
      <c r="G17" s="422"/>
      <c r="H17" s="60">
        <f t="shared" si="0"/>
        <v>103.1032411743149</v>
      </c>
      <c r="I17" s="60">
        <f t="shared" si="1"/>
        <v>98.743374426776256</v>
      </c>
      <c r="J17" s="60">
        <f t="shared" si="2"/>
        <v>74.131058673469383</v>
      </c>
      <c r="K17" s="60">
        <f t="shared" si="3"/>
        <v>105.70666439373835</v>
      </c>
      <c r="L17" s="60">
        <f t="shared" si="4"/>
        <v>100.82046476158976</v>
      </c>
      <c r="M17" s="60">
        <f t="shared" si="5"/>
        <v>70.620558424915529</v>
      </c>
      <c r="N17" s="512">
        <f t="shared" si="6"/>
        <v>98.27216317175764</v>
      </c>
      <c r="O17" s="60">
        <v>22124.7</v>
      </c>
    </row>
    <row r="18" spans="1:15" x14ac:dyDescent="0.3">
      <c r="A18" s="60">
        <v>11157.25</v>
      </c>
      <c r="B18" s="53">
        <v>852.35</v>
      </c>
      <c r="C18" s="53">
        <v>481.95</v>
      </c>
      <c r="D18" s="60">
        <v>28405.7</v>
      </c>
      <c r="E18" s="60">
        <v>4580.1499999999996</v>
      </c>
      <c r="F18" s="60">
        <v>1884</v>
      </c>
      <c r="G18" s="422"/>
      <c r="H18" s="60">
        <f t="shared" si="0"/>
        <v>113.57598029235719</v>
      </c>
      <c r="I18" s="60">
        <f t="shared" si="1"/>
        <v>101.52462628789235</v>
      </c>
      <c r="J18" s="60">
        <f t="shared" si="2"/>
        <v>76.841517857142847</v>
      </c>
      <c r="K18" s="60">
        <f t="shared" si="3"/>
        <v>110.05247752416116</v>
      </c>
      <c r="L18" s="60">
        <f t="shared" si="4"/>
        <v>105.20301449594936</v>
      </c>
      <c r="M18" s="60">
        <f t="shared" si="5"/>
        <v>73.162207292920669</v>
      </c>
      <c r="N18" s="512">
        <f t="shared" si="6"/>
        <v>101.25345900496143</v>
      </c>
      <c r="O18" s="60">
        <v>22795.9</v>
      </c>
    </row>
    <row r="19" spans="1:15" x14ac:dyDescent="0.3">
      <c r="A19" s="60">
        <v>11263.85</v>
      </c>
      <c r="B19" s="53">
        <v>844.65</v>
      </c>
      <c r="C19" s="53">
        <v>489.5</v>
      </c>
      <c r="D19" s="60">
        <v>28556.05</v>
      </c>
      <c r="E19" s="60">
        <v>4657.25</v>
      </c>
      <c r="F19" s="60">
        <v>1873.95</v>
      </c>
      <c r="G19" s="422"/>
      <c r="H19" s="60">
        <f t="shared" si="0"/>
        <v>114.66112219552913</v>
      </c>
      <c r="I19" s="60">
        <f t="shared" si="1"/>
        <v>100.60746828658209</v>
      </c>
      <c r="J19" s="60">
        <f t="shared" si="2"/>
        <v>78.045280612244895</v>
      </c>
      <c r="K19" s="60">
        <f t="shared" si="3"/>
        <v>110.63497997950491</v>
      </c>
      <c r="L19" s="60">
        <f t="shared" si="4"/>
        <v>106.9739504735129</v>
      </c>
      <c r="M19" s="60">
        <f t="shared" si="5"/>
        <v>72.771931187138378</v>
      </c>
      <c r="N19" s="512">
        <f t="shared" si="6"/>
        <v>101.84576502307483</v>
      </c>
      <c r="O19" s="60">
        <v>22929.25</v>
      </c>
    </row>
    <row r="20" spans="1:15" x14ac:dyDescent="0.3">
      <c r="A20" s="60">
        <v>11640.6</v>
      </c>
      <c r="B20" s="53">
        <v>894.8</v>
      </c>
      <c r="C20" s="53">
        <v>512.75</v>
      </c>
      <c r="D20" s="60">
        <v>28249.1</v>
      </c>
      <c r="E20" s="60">
        <v>4879.7</v>
      </c>
      <c r="F20" s="60">
        <v>1999.1</v>
      </c>
      <c r="G20" s="422"/>
      <c r="H20" s="60">
        <f t="shared" si="0"/>
        <v>118.49627427826866</v>
      </c>
      <c r="I20" s="60">
        <f t="shared" si="1"/>
        <v>106.58090643797273</v>
      </c>
      <c r="J20" s="60">
        <f t="shared" si="2"/>
        <v>81.752232142857139</v>
      </c>
      <c r="K20" s="60">
        <f t="shared" si="3"/>
        <v>109.44576063352712</v>
      </c>
      <c r="L20" s="60">
        <f t="shared" si="4"/>
        <v>112.08347976286454</v>
      </c>
      <c r="M20" s="60">
        <f t="shared" si="5"/>
        <v>77.631936623820437</v>
      </c>
      <c r="N20" s="512">
        <f t="shared" si="6"/>
        <v>104.647170389585</v>
      </c>
      <c r="O20" s="60">
        <v>23559.95</v>
      </c>
    </row>
    <row r="21" spans="1:15" x14ac:dyDescent="0.3">
      <c r="A21" s="60">
        <v>11487.45</v>
      </c>
      <c r="B21" s="53">
        <v>917.5</v>
      </c>
      <c r="C21" s="53">
        <v>512.79999999999995</v>
      </c>
      <c r="D21" s="60">
        <v>27795.9</v>
      </c>
      <c r="E21" s="60">
        <v>4834.8500000000004</v>
      </c>
      <c r="F21" s="60">
        <v>2007.65</v>
      </c>
      <c r="G21" s="422"/>
      <c r="H21" s="60">
        <f t="shared" si="0"/>
        <v>116.93727350462153</v>
      </c>
      <c r="I21" s="60">
        <f t="shared" si="1"/>
        <v>109.28473587040676</v>
      </c>
      <c r="J21" s="60">
        <f t="shared" si="2"/>
        <v>81.760204081632637</v>
      </c>
      <c r="K21" s="60">
        <f t="shared" si="3"/>
        <v>107.68992350175604</v>
      </c>
      <c r="L21" s="60">
        <f t="shared" si="4"/>
        <v>111.0533049432313</v>
      </c>
      <c r="M21" s="60">
        <f t="shared" si="5"/>
        <v>77.963962564560603</v>
      </c>
      <c r="N21" s="512">
        <f t="shared" si="6"/>
        <v>104.41819869679352</v>
      </c>
      <c r="O21" s="60">
        <v>23508.400000000001</v>
      </c>
    </row>
    <row r="22" spans="1:15" x14ac:dyDescent="0.3">
      <c r="A22" s="60">
        <v>11285.85</v>
      </c>
      <c r="B22" s="53">
        <v>888.75</v>
      </c>
      <c r="C22" s="53">
        <v>551.79999999999995</v>
      </c>
      <c r="D22" s="60">
        <v>25783.15</v>
      </c>
      <c r="E22" s="60">
        <v>4755.8999999999996</v>
      </c>
      <c r="F22" s="60">
        <v>2058.9499999999998</v>
      </c>
      <c r="G22" s="422"/>
      <c r="H22" s="60">
        <f t="shared" si="0"/>
        <v>114.88507268211245</v>
      </c>
      <c r="I22" s="60">
        <f t="shared" si="1"/>
        <v>105.86028229408613</v>
      </c>
      <c r="J22" s="60">
        <f t="shared" si="2"/>
        <v>87.978316326530603</v>
      </c>
      <c r="K22" s="60">
        <f t="shared" si="3"/>
        <v>99.89190676086406</v>
      </c>
      <c r="L22" s="60">
        <f t="shared" si="4"/>
        <v>109.23987568994148</v>
      </c>
      <c r="M22" s="60">
        <f t="shared" si="5"/>
        <v>79.956118209001588</v>
      </c>
      <c r="N22" s="512">
        <f t="shared" si="6"/>
        <v>102.56954654277173</v>
      </c>
      <c r="O22" s="60">
        <v>23092.2</v>
      </c>
    </row>
    <row r="23" spans="1:15" x14ac:dyDescent="0.3">
      <c r="A23" s="60">
        <v>10580</v>
      </c>
      <c r="B23" s="53">
        <v>883.95</v>
      </c>
      <c r="C23" s="53">
        <v>536.25</v>
      </c>
      <c r="D23" s="60">
        <v>25315.45</v>
      </c>
      <c r="E23" s="60">
        <v>4541.2</v>
      </c>
      <c r="F23" s="60">
        <v>2014.9</v>
      </c>
      <c r="G23" s="422"/>
      <c r="H23" s="60">
        <f t="shared" si="0"/>
        <v>107.69982491143774</v>
      </c>
      <c r="I23" s="60">
        <f t="shared" si="1"/>
        <v>105.28854743612651</v>
      </c>
      <c r="J23" s="60">
        <f t="shared" si="2"/>
        <v>85.499043367346928</v>
      </c>
      <c r="K23" s="60">
        <f t="shared" si="3"/>
        <v>98.079892139219453</v>
      </c>
      <c r="L23" s="60">
        <f t="shared" si="4"/>
        <v>104.3083587718754</v>
      </c>
      <c r="M23" s="60">
        <f t="shared" si="5"/>
        <v>78.245505028930921</v>
      </c>
      <c r="N23" s="512">
        <f t="shared" si="6"/>
        <v>103.06257967370978</v>
      </c>
      <c r="O23" s="60">
        <v>23203.200000000001</v>
      </c>
    </row>
    <row r="24" spans="1:15" x14ac:dyDescent="0.3">
      <c r="A24" s="60">
        <v>10865.2</v>
      </c>
      <c r="B24" s="53">
        <v>916.25</v>
      </c>
      <c r="C24" s="53">
        <v>511.25</v>
      </c>
      <c r="D24" s="60">
        <v>25738.3</v>
      </c>
      <c r="E24" s="60">
        <v>4543.55</v>
      </c>
      <c r="F24" s="60">
        <v>1931.05</v>
      </c>
      <c r="G24" s="422"/>
      <c r="H24" s="60">
        <f t="shared" si="0"/>
        <v>110.60303758296348</v>
      </c>
      <c r="I24" s="60">
        <f t="shared" si="1"/>
        <v>109.13584658447979</v>
      </c>
      <c r="J24" s="60">
        <f t="shared" si="2"/>
        <v>81.513073979591837</v>
      </c>
      <c r="K24" s="60">
        <f t="shared" si="3"/>
        <v>99.718143973220776</v>
      </c>
      <c r="L24" s="60">
        <f t="shared" si="4"/>
        <v>104.36233671671687</v>
      </c>
      <c r="M24" s="60">
        <f t="shared" si="5"/>
        <v>74.989320803075614</v>
      </c>
      <c r="N24" s="512">
        <f t="shared" si="6"/>
        <v>104.07662889707157</v>
      </c>
      <c r="O24" s="60">
        <v>23431.5</v>
      </c>
    </row>
    <row r="25" spans="1:15" x14ac:dyDescent="0.3">
      <c r="A25" s="60">
        <v>11786</v>
      </c>
      <c r="B25" s="53">
        <v>985.7</v>
      </c>
      <c r="C25" s="53">
        <v>548.70000000000005</v>
      </c>
      <c r="D25" s="60">
        <v>26096.25</v>
      </c>
      <c r="E25" s="60">
        <v>4726.55</v>
      </c>
      <c r="F25" s="60">
        <v>2054.9499999999998</v>
      </c>
      <c r="G25" s="422">
        <v>45627</v>
      </c>
      <c r="H25" s="60">
        <f t="shared" si="0"/>
        <v>119.97638340323303</v>
      </c>
      <c r="I25" s="60">
        <f t="shared" si="1"/>
        <v>117.40813531058308</v>
      </c>
      <c r="J25" s="60">
        <f t="shared" si="2"/>
        <v>87.484056122448976</v>
      </c>
      <c r="K25" s="60">
        <f t="shared" si="3"/>
        <v>101.10495311116752</v>
      </c>
      <c r="L25" s="60">
        <f t="shared" si="4"/>
        <v>108.56572561287936</v>
      </c>
      <c r="M25" s="60">
        <f t="shared" si="5"/>
        <v>79.800784435555897</v>
      </c>
      <c r="N25" s="512">
        <f t="shared" si="6"/>
        <v>106.62285630527191</v>
      </c>
      <c r="O25" s="60">
        <v>24004.75</v>
      </c>
    </row>
    <row r="26" spans="1:15" x14ac:dyDescent="0.3">
      <c r="A26" s="60">
        <v>11406.55</v>
      </c>
      <c r="B26" s="53">
        <v>965.75</v>
      </c>
      <c r="C26" s="53">
        <v>547.95000000000005</v>
      </c>
      <c r="D26" s="60">
        <v>26049</v>
      </c>
      <c r="E26" s="60">
        <v>4572.45</v>
      </c>
      <c r="F26" s="60">
        <v>2065.6</v>
      </c>
      <c r="G26" s="422"/>
      <c r="H26" s="60">
        <f t="shared" si="0"/>
        <v>116.11374648804917</v>
      </c>
      <c r="I26" s="60">
        <f t="shared" si="1"/>
        <v>115.03186230718838</v>
      </c>
      <c r="J26" s="60">
        <f t="shared" si="2"/>
        <v>87.364477040816325</v>
      </c>
      <c r="K26" s="60">
        <f t="shared" si="3"/>
        <v>100.92189198037276</v>
      </c>
      <c r="L26" s="60">
        <f t="shared" si="4"/>
        <v>105.0261505915753</v>
      </c>
      <c r="M26" s="60">
        <f t="shared" si="5"/>
        <v>80.214360607355047</v>
      </c>
      <c r="N26" s="512">
        <f t="shared" si="6"/>
        <v>105.77292937189355</v>
      </c>
      <c r="O26" s="60">
        <v>23813.4</v>
      </c>
    </row>
    <row r="27" spans="1:15" x14ac:dyDescent="0.3">
      <c r="A27" s="60">
        <v>11422.8</v>
      </c>
      <c r="B27" s="53">
        <v>986.1</v>
      </c>
      <c r="C27" s="53">
        <v>548.79999999999995</v>
      </c>
      <c r="D27" s="60">
        <v>27063.5</v>
      </c>
      <c r="E27" s="60">
        <v>4517.8</v>
      </c>
      <c r="F27" s="60">
        <v>2063.65</v>
      </c>
      <c r="G27" s="422"/>
      <c r="H27" s="60">
        <f t="shared" si="0"/>
        <v>116.27916446109367</v>
      </c>
      <c r="I27" s="60">
        <f t="shared" si="1"/>
        <v>117.4557798820797</v>
      </c>
      <c r="J27" s="60">
        <f t="shared" si="2"/>
        <v>87.499999999999986</v>
      </c>
      <c r="K27" s="60">
        <f t="shared" si="3"/>
        <v>104.85237911669614</v>
      </c>
      <c r="L27" s="60">
        <f t="shared" si="4"/>
        <v>103.77087625728416</v>
      </c>
      <c r="M27" s="60">
        <f t="shared" si="5"/>
        <v>80.138635392800282</v>
      </c>
      <c r="N27" s="512">
        <f t="shared" si="6"/>
        <v>104.76954032433585</v>
      </c>
      <c r="O27" s="60">
        <v>23587.5</v>
      </c>
    </row>
    <row r="28" spans="1:15" x14ac:dyDescent="0.3">
      <c r="A28" s="60">
        <v>12083.9</v>
      </c>
      <c r="B28" s="60">
        <v>1040.7</v>
      </c>
      <c r="C28" s="53">
        <v>572.75</v>
      </c>
      <c r="D28" s="60">
        <v>27591.45</v>
      </c>
      <c r="E28" s="60">
        <v>4749.1000000000004</v>
      </c>
      <c r="F28" s="60">
        <v>2248.0500000000002</v>
      </c>
      <c r="G28" s="422"/>
      <c r="H28" s="60">
        <f t="shared" si="0"/>
        <v>123.00887658292274</v>
      </c>
      <c r="I28" s="60">
        <f t="shared" si="1"/>
        <v>123.9592638913704</v>
      </c>
      <c r="J28" s="60">
        <f t="shared" si="2"/>
        <v>91.318558673469383</v>
      </c>
      <c r="K28" s="60">
        <f t="shared" si="3"/>
        <v>106.89782089453936</v>
      </c>
      <c r="L28" s="60">
        <f t="shared" si="4"/>
        <v>109.0836841899748</v>
      </c>
      <c r="M28" s="60">
        <f t="shared" si="5"/>
        <v>87.299522348646661</v>
      </c>
      <c r="N28" s="512">
        <f t="shared" si="6"/>
        <v>110.01434681993629</v>
      </c>
      <c r="O28" s="60">
        <v>24768.3</v>
      </c>
    </row>
    <row r="29" spans="1:15" x14ac:dyDescent="0.3">
      <c r="A29" s="60">
        <v>11848.5</v>
      </c>
      <c r="B29" s="60">
        <v>1013.05</v>
      </c>
      <c r="C29" s="53">
        <v>565.29999999999995</v>
      </c>
      <c r="D29" s="60">
        <v>27076.65</v>
      </c>
      <c r="E29" s="60">
        <v>4596.6499999999996</v>
      </c>
      <c r="F29" s="60">
        <v>2258.35</v>
      </c>
      <c r="G29" s="422"/>
      <c r="H29" s="60">
        <f t="shared" si="0"/>
        <v>120.61260637648112</v>
      </c>
      <c r="I29" s="60">
        <f t="shared" si="1"/>
        <v>120.66583288666548</v>
      </c>
      <c r="J29" s="60">
        <f t="shared" si="2"/>
        <v>90.130739795918359</v>
      </c>
      <c r="K29" s="60">
        <f t="shared" si="3"/>
        <v>104.90332628854698</v>
      </c>
      <c r="L29" s="60">
        <f t="shared" si="4"/>
        <v>105.58200857675088</v>
      </c>
      <c r="M29" s="60">
        <f t="shared" si="5"/>
        <v>87.699506815269316</v>
      </c>
      <c r="N29" s="512">
        <f t="shared" si="6"/>
        <v>109.61236935732464</v>
      </c>
      <c r="O29" s="60">
        <v>24677.8</v>
      </c>
    </row>
    <row r="30" spans="1:15" x14ac:dyDescent="0.3">
      <c r="A30" s="60">
        <v>11202.15</v>
      </c>
      <c r="B30" s="60">
        <v>1014.8</v>
      </c>
      <c r="C30" s="53">
        <v>531.5</v>
      </c>
      <c r="D30" s="60">
        <v>26076.45</v>
      </c>
      <c r="E30" s="60">
        <v>4278.25</v>
      </c>
      <c r="F30" s="60">
        <v>2222.5500000000002</v>
      </c>
      <c r="G30" s="422"/>
      <c r="H30" s="60">
        <f t="shared" si="0"/>
        <v>114.0330428763386</v>
      </c>
      <c r="I30" s="60">
        <f t="shared" si="1"/>
        <v>120.87427788696326</v>
      </c>
      <c r="J30" s="60">
        <f t="shared" si="2"/>
        <v>84.741709183673464</v>
      </c>
      <c r="K30" s="60">
        <f t="shared" si="3"/>
        <v>101.0282417801678</v>
      </c>
      <c r="L30" s="60">
        <f t="shared" si="4"/>
        <v>98.268571284192731</v>
      </c>
      <c r="M30" s="60">
        <f t="shared" si="5"/>
        <v>86.30926954293038</v>
      </c>
      <c r="N30" s="512">
        <f t="shared" si="6"/>
        <v>107.18407014395679</v>
      </c>
      <c r="O30" s="60">
        <v>24131.1</v>
      </c>
    </row>
    <row r="31" spans="1:15" x14ac:dyDescent="0.3">
      <c r="A31" s="60">
        <v>11375.3</v>
      </c>
      <c r="B31" s="53">
        <v>944.95</v>
      </c>
      <c r="C31" s="53">
        <v>499.85</v>
      </c>
      <c r="D31" s="60">
        <v>24794.75</v>
      </c>
      <c r="E31" s="60">
        <v>4135.8500000000004</v>
      </c>
      <c r="F31" s="60">
        <v>2089.6</v>
      </c>
      <c r="G31" s="422"/>
      <c r="H31" s="60">
        <f t="shared" si="0"/>
        <v>115.79563500142514</v>
      </c>
      <c r="I31" s="60">
        <f t="shared" si="1"/>
        <v>112.55434458936335</v>
      </c>
      <c r="J31" s="60">
        <f t="shared" si="2"/>
        <v>79.695471938775512</v>
      </c>
      <c r="K31" s="60">
        <f t="shared" si="3"/>
        <v>96.062539106312997</v>
      </c>
      <c r="L31" s="60">
        <f t="shared" si="4"/>
        <v>94.997737520184316</v>
      </c>
      <c r="M31" s="60">
        <f t="shared" si="5"/>
        <v>81.146363248029203</v>
      </c>
      <c r="N31" s="512">
        <f t="shared" si="6"/>
        <v>106.18978666323171</v>
      </c>
      <c r="O31" s="60">
        <v>23907.25</v>
      </c>
    </row>
    <row r="32" spans="1:15" x14ac:dyDescent="0.3">
      <c r="A32" s="60">
        <v>10728.5</v>
      </c>
      <c r="B32" s="53">
        <v>902.35</v>
      </c>
      <c r="C32" s="53">
        <v>544.5</v>
      </c>
      <c r="D32" s="60">
        <v>24091.7</v>
      </c>
      <c r="E32" s="60">
        <v>3999.3</v>
      </c>
      <c r="F32" s="60">
        <v>2188.15</v>
      </c>
      <c r="G32" s="422"/>
      <c r="H32" s="60">
        <f t="shared" si="0"/>
        <v>109.21149069587524</v>
      </c>
      <c r="I32" s="60">
        <f t="shared" si="1"/>
        <v>107.48019772497173</v>
      </c>
      <c r="J32" s="60">
        <f t="shared" si="2"/>
        <v>86.814413265306115</v>
      </c>
      <c r="K32" s="60">
        <f t="shared" si="3"/>
        <v>93.338705709376413</v>
      </c>
      <c r="L32" s="60">
        <f t="shared" si="4"/>
        <v>91.861274384823702</v>
      </c>
      <c r="M32" s="60">
        <f t="shared" si="5"/>
        <v>84.973399091297424</v>
      </c>
      <c r="N32" s="512">
        <f t="shared" si="6"/>
        <v>104.52613297680968</v>
      </c>
      <c r="O32" s="60">
        <v>23532.7</v>
      </c>
    </row>
    <row r="33" spans="1:15" x14ac:dyDescent="0.3">
      <c r="A33" s="60">
        <v>11043.35</v>
      </c>
      <c r="B33" s="53">
        <v>865.8</v>
      </c>
      <c r="C33" s="53">
        <v>564.9</v>
      </c>
      <c r="D33" s="60">
        <v>24533</v>
      </c>
      <c r="E33" s="60">
        <v>4081.3</v>
      </c>
      <c r="F33" s="60">
        <v>2291.4</v>
      </c>
      <c r="G33" s="422"/>
      <c r="H33" s="60">
        <f t="shared" si="0"/>
        <v>112.41652754590984</v>
      </c>
      <c r="I33" s="60">
        <f t="shared" si="1"/>
        <v>103.12667500446668</v>
      </c>
      <c r="J33" s="60">
        <f t="shared" si="2"/>
        <v>90.066964285714278</v>
      </c>
      <c r="K33" s="60">
        <f t="shared" si="3"/>
        <v>95.048438556354739</v>
      </c>
      <c r="L33" s="60">
        <f t="shared" si="4"/>
        <v>93.744760119716204</v>
      </c>
      <c r="M33" s="60">
        <f t="shared" si="5"/>
        <v>88.982952118364338</v>
      </c>
      <c r="N33" s="512">
        <f t="shared" si="6"/>
        <v>107.26002389656075</v>
      </c>
      <c r="O33" s="60">
        <v>24148.2</v>
      </c>
    </row>
    <row r="34" spans="1:15" x14ac:dyDescent="0.3">
      <c r="A34" s="60">
        <v>11145.8</v>
      </c>
      <c r="B34" s="53">
        <v>892.4</v>
      </c>
      <c r="C34" s="53">
        <v>582.45000000000005</v>
      </c>
      <c r="D34" s="60">
        <v>25241.05</v>
      </c>
      <c r="E34" s="60">
        <v>4345.25</v>
      </c>
      <c r="F34" s="60">
        <v>2327.85</v>
      </c>
      <c r="G34" s="422"/>
      <c r="H34" s="60">
        <f t="shared" si="0"/>
        <v>113.45942424365812</v>
      </c>
      <c r="I34" s="60">
        <f t="shared" si="1"/>
        <v>106.29503900899292</v>
      </c>
      <c r="J34" s="60">
        <f t="shared" si="2"/>
        <v>92.865114795918373</v>
      </c>
      <c r="K34" s="60">
        <f t="shared" si="3"/>
        <v>97.791643501523566</v>
      </c>
      <c r="L34" s="60">
        <f t="shared" si="4"/>
        <v>99.807516945629288</v>
      </c>
      <c r="M34" s="60">
        <f t="shared" si="5"/>
        <v>90.398431128888205</v>
      </c>
      <c r="N34" s="512">
        <f t="shared" si="6"/>
        <v>107.9536015848128</v>
      </c>
      <c r="O34" s="60">
        <v>24304.35</v>
      </c>
    </row>
    <row r="35" spans="1:15" x14ac:dyDescent="0.3">
      <c r="A35" s="60">
        <v>10995.2</v>
      </c>
      <c r="B35" s="53">
        <v>853.05</v>
      </c>
      <c r="C35" s="53">
        <v>552.70000000000005</v>
      </c>
      <c r="D35" s="60">
        <v>24956.799999999999</v>
      </c>
      <c r="E35" s="60">
        <v>4105</v>
      </c>
      <c r="F35" s="60">
        <v>2237.8000000000002</v>
      </c>
      <c r="G35" s="422"/>
      <c r="H35" s="60">
        <f t="shared" si="0"/>
        <v>111.92638136731952</v>
      </c>
      <c r="I35" s="60">
        <f t="shared" si="1"/>
        <v>101.60800428801144</v>
      </c>
      <c r="J35" s="60">
        <f t="shared" si="2"/>
        <v>88.121811224489804</v>
      </c>
      <c r="K35" s="60">
        <f t="shared" si="3"/>
        <v>96.690370984520186</v>
      </c>
      <c r="L35" s="60">
        <f t="shared" si="4"/>
        <v>94.289133435776591</v>
      </c>
      <c r="M35" s="60">
        <f t="shared" si="5"/>
        <v>86.901479554192079</v>
      </c>
      <c r="N35" s="512">
        <f t="shared" si="6"/>
        <v>107.40482461789931</v>
      </c>
      <c r="O35" s="60">
        <v>24180.799999999999</v>
      </c>
    </row>
    <row r="36" spans="1:15" x14ac:dyDescent="0.3">
      <c r="A36" s="60">
        <v>11069.3</v>
      </c>
      <c r="B36" s="53">
        <v>851.3</v>
      </c>
      <c r="C36" s="53">
        <v>573.95000000000005</v>
      </c>
      <c r="D36" s="60">
        <v>24325.25</v>
      </c>
      <c r="E36" s="60">
        <v>4302.7</v>
      </c>
      <c r="F36" s="60">
        <v>2285.65</v>
      </c>
      <c r="G36" s="422"/>
      <c r="H36" s="60">
        <f t="shared" si="0"/>
        <v>112.68068732440244</v>
      </c>
      <c r="I36" s="60">
        <f t="shared" si="1"/>
        <v>101.39955928771364</v>
      </c>
      <c r="J36" s="60">
        <f t="shared" si="2"/>
        <v>91.509885204081627</v>
      </c>
      <c r="K36" s="60">
        <f t="shared" si="3"/>
        <v>94.243550727304779</v>
      </c>
      <c r="L36" s="60">
        <f t="shared" si="4"/>
        <v>98.830171603925905</v>
      </c>
      <c r="M36" s="60">
        <f t="shared" si="5"/>
        <v>88.759659819036159</v>
      </c>
      <c r="N36" s="512">
        <f t="shared" si="6"/>
        <v>110.39522601793574</v>
      </c>
      <c r="O36" s="60">
        <v>24854.05</v>
      </c>
    </row>
    <row r="37" spans="1:15" x14ac:dyDescent="0.3">
      <c r="A37" s="60">
        <v>11421.3</v>
      </c>
      <c r="B37" s="53">
        <v>861.55</v>
      </c>
      <c r="C37" s="53">
        <v>585.20000000000005</v>
      </c>
      <c r="D37" s="60">
        <v>24337.05</v>
      </c>
      <c r="E37" s="60">
        <v>4238.75</v>
      </c>
      <c r="F37" s="60">
        <v>2312.4499999999998</v>
      </c>
      <c r="G37" s="422"/>
      <c r="H37" s="60">
        <f t="shared" si="0"/>
        <v>116.26389510973574</v>
      </c>
      <c r="I37" s="60">
        <f t="shared" si="1"/>
        <v>102.62045143231492</v>
      </c>
      <c r="J37" s="60">
        <f t="shared" si="2"/>
        <v>93.303571428571431</v>
      </c>
      <c r="K37" s="60">
        <f t="shared" si="3"/>
        <v>94.28926758113289</v>
      </c>
      <c r="L37" s="60">
        <f t="shared" si="4"/>
        <v>97.361282424092082</v>
      </c>
      <c r="M37" s="60">
        <f t="shared" si="5"/>
        <v>89.800396101122288</v>
      </c>
      <c r="N37" s="512">
        <f t="shared" si="6"/>
        <v>110.8847057569391</v>
      </c>
      <c r="O37" s="60">
        <v>24964.25</v>
      </c>
    </row>
    <row r="38" spans="1:15" x14ac:dyDescent="0.3">
      <c r="A38" s="60">
        <v>11450.25</v>
      </c>
      <c r="B38" s="53">
        <v>868.45</v>
      </c>
      <c r="C38" s="53">
        <v>610.70000000000005</v>
      </c>
      <c r="D38" s="60">
        <v>26034.2</v>
      </c>
      <c r="E38" s="60">
        <v>4565.55</v>
      </c>
      <c r="F38" s="60">
        <v>2433.75</v>
      </c>
      <c r="G38" s="422">
        <v>45536</v>
      </c>
      <c r="H38" s="60">
        <f t="shared" si="0"/>
        <v>116.55859359094424</v>
      </c>
      <c r="I38" s="60">
        <f t="shared" si="1"/>
        <v>103.4423202906319</v>
      </c>
      <c r="J38" s="60">
        <f t="shared" si="2"/>
        <v>97.369260204081627</v>
      </c>
      <c r="K38" s="60">
        <f t="shared" si="3"/>
        <v>100.86455219760528</v>
      </c>
      <c r="L38" s="60">
        <f t="shared" si="4"/>
        <v>104.86766215778557</v>
      </c>
      <c r="M38" s="60">
        <f t="shared" si="5"/>
        <v>94.510892780862889</v>
      </c>
      <c r="N38" s="512">
        <f t="shared" si="6"/>
        <v>111.10834736182858</v>
      </c>
      <c r="O38" s="60">
        <v>25014.6</v>
      </c>
    </row>
    <row r="39" spans="1:15" x14ac:dyDescent="0.3">
      <c r="A39" s="60">
        <v>11952.3</v>
      </c>
      <c r="B39" s="53">
        <v>863.35</v>
      </c>
      <c r="C39" s="53">
        <v>634</v>
      </c>
      <c r="D39" s="60">
        <v>26247.9</v>
      </c>
      <c r="E39" s="60">
        <v>4636.25</v>
      </c>
      <c r="F39" s="60">
        <v>2483.3000000000002</v>
      </c>
      <c r="G39" s="422"/>
      <c r="H39" s="60">
        <f t="shared" si="0"/>
        <v>121.66924549045154</v>
      </c>
      <c r="I39" s="60">
        <f t="shared" si="1"/>
        <v>102.83485200404981</v>
      </c>
      <c r="J39" s="60">
        <f t="shared" si="2"/>
        <v>101.08418367346938</v>
      </c>
      <c r="K39" s="60">
        <f t="shared" si="3"/>
        <v>101.69249216905163</v>
      </c>
      <c r="L39" s="60">
        <f t="shared" si="4"/>
        <v>106.49159437067459</v>
      </c>
      <c r="M39" s="60">
        <f t="shared" si="5"/>
        <v>96.435089899421385</v>
      </c>
      <c r="N39" s="512">
        <f t="shared" si="6"/>
        <v>116.28008723577199</v>
      </c>
      <c r="O39" s="60">
        <v>26178.95</v>
      </c>
    </row>
    <row r="40" spans="1:15" x14ac:dyDescent="0.3">
      <c r="A40" s="60">
        <v>11798.3</v>
      </c>
      <c r="B40" s="53">
        <v>835.35</v>
      </c>
      <c r="C40" s="53">
        <v>616.54999999999995</v>
      </c>
      <c r="D40" s="60">
        <v>25141.7</v>
      </c>
      <c r="E40" s="60">
        <v>4632.7</v>
      </c>
      <c r="F40" s="60">
        <v>2443.1999999999998</v>
      </c>
      <c r="G40" s="422"/>
      <c r="H40" s="60">
        <f t="shared" si="0"/>
        <v>120.10159208436824</v>
      </c>
      <c r="I40" s="60">
        <f t="shared" si="1"/>
        <v>99.499731999285331</v>
      </c>
      <c r="J40" s="60">
        <f t="shared" si="2"/>
        <v>98.301977040816311</v>
      </c>
      <c r="K40" s="60">
        <f t="shared" si="3"/>
        <v>97.406730838148775</v>
      </c>
      <c r="L40" s="60">
        <f t="shared" si="4"/>
        <v>106.41005321995667</v>
      </c>
      <c r="M40" s="60">
        <f t="shared" si="5"/>
        <v>94.877868820628322</v>
      </c>
      <c r="N40" s="512">
        <f t="shared" si="6"/>
        <v>114.55669214744799</v>
      </c>
      <c r="O40" s="60">
        <v>25790.95</v>
      </c>
    </row>
    <row r="41" spans="1:15" x14ac:dyDescent="0.3">
      <c r="A41" s="60">
        <v>11717.95</v>
      </c>
      <c r="B41" s="53">
        <v>850.2</v>
      </c>
      <c r="C41" s="53">
        <v>629.6</v>
      </c>
      <c r="D41" s="60">
        <v>25883.1</v>
      </c>
      <c r="E41" s="60">
        <v>4766.3999999999996</v>
      </c>
      <c r="F41" s="60">
        <v>2517.4499999999998</v>
      </c>
      <c r="G41" s="422"/>
      <c r="H41" s="60">
        <f t="shared" si="0"/>
        <v>119.28366382996049</v>
      </c>
      <c r="I41" s="60">
        <f t="shared" si="1"/>
        <v>101.26853671609793</v>
      </c>
      <c r="J41" s="60">
        <f t="shared" si="2"/>
        <v>100.38265306122449</v>
      </c>
      <c r="K41" s="60">
        <f t="shared" si="3"/>
        <v>100.27914401002671</v>
      </c>
      <c r="L41" s="60">
        <f t="shared" si="4"/>
        <v>109.48105374136065</v>
      </c>
      <c r="M41" s="60">
        <f t="shared" si="5"/>
        <v>97.761251990213964</v>
      </c>
      <c r="N41" s="512">
        <f t="shared" si="6"/>
        <v>112.62697823991614</v>
      </c>
      <c r="O41" s="60">
        <v>25356.5</v>
      </c>
    </row>
    <row r="42" spans="1:15" x14ac:dyDescent="0.3">
      <c r="A42" s="60">
        <v>11432.85</v>
      </c>
      <c r="B42" s="53">
        <v>829.9</v>
      </c>
      <c r="C42" s="53">
        <v>623.25</v>
      </c>
      <c r="D42" s="60">
        <v>25610.45</v>
      </c>
      <c r="E42" s="60">
        <v>4697.95</v>
      </c>
      <c r="F42" s="60">
        <v>2429.4</v>
      </c>
      <c r="G42" s="422"/>
      <c r="H42" s="60">
        <f t="shared" si="0"/>
        <v>116.38146911519198</v>
      </c>
      <c r="I42" s="60">
        <f t="shared" si="1"/>
        <v>98.850574712643677</v>
      </c>
      <c r="J42" s="60">
        <f t="shared" si="2"/>
        <v>99.370216836734684</v>
      </c>
      <c r="K42" s="60">
        <f t="shared" si="3"/>
        <v>99.222813484922156</v>
      </c>
      <c r="L42" s="60">
        <f t="shared" si="4"/>
        <v>107.90880253949003</v>
      </c>
      <c r="M42" s="60">
        <f t="shared" si="5"/>
        <v>94.34196730224069</v>
      </c>
      <c r="N42" s="512">
        <f t="shared" si="6"/>
        <v>110.38678671209085</v>
      </c>
      <c r="O42" s="60">
        <v>24852.15</v>
      </c>
    </row>
    <row r="43" spans="1:15" x14ac:dyDescent="0.3">
      <c r="A43" s="60">
        <v>11301.9</v>
      </c>
      <c r="B43" s="53">
        <v>831.25</v>
      </c>
      <c r="C43" s="53">
        <v>617.04999999999995</v>
      </c>
      <c r="D43" s="60">
        <v>25482</v>
      </c>
      <c r="E43" s="60">
        <v>4453.8999999999996</v>
      </c>
      <c r="F43" s="60">
        <v>2329.15</v>
      </c>
      <c r="G43" s="422"/>
      <c r="H43" s="60">
        <f t="shared" si="0"/>
        <v>115.04845474164256</v>
      </c>
      <c r="I43" s="60">
        <f t="shared" si="1"/>
        <v>99.01137514144483</v>
      </c>
      <c r="J43" s="60">
        <f t="shared" si="2"/>
        <v>98.381696428571416</v>
      </c>
      <c r="K43" s="60">
        <f t="shared" si="3"/>
        <v>98.725158410835661</v>
      </c>
      <c r="L43" s="60">
        <f t="shared" si="4"/>
        <v>102.30313554436181</v>
      </c>
      <c r="M43" s="60">
        <f t="shared" si="5"/>
        <v>90.448914605258054</v>
      </c>
      <c r="N43" s="512">
        <f t="shared" si="6"/>
        <v>112.09130440576183</v>
      </c>
      <c r="O43" s="60">
        <v>25235.9</v>
      </c>
    </row>
    <row r="44" spans="1:15" x14ac:dyDescent="0.3">
      <c r="A44" s="60">
        <v>11341.8</v>
      </c>
      <c r="B44" s="53">
        <v>819.8</v>
      </c>
      <c r="C44" s="53">
        <v>633.6</v>
      </c>
      <c r="D44" s="60">
        <v>24706.05</v>
      </c>
      <c r="E44" s="60">
        <v>4393.3500000000004</v>
      </c>
      <c r="F44" s="60">
        <v>2323.75</v>
      </c>
      <c r="G44" s="422"/>
      <c r="H44" s="60">
        <f t="shared" si="0"/>
        <v>115.45461948776415</v>
      </c>
      <c r="I44" s="60">
        <f t="shared" si="1"/>
        <v>97.647549282353637</v>
      </c>
      <c r="J44" s="60">
        <f t="shared" si="2"/>
        <v>101.0204081632653</v>
      </c>
      <c r="K44" s="60">
        <f t="shared" si="3"/>
        <v>95.718887840672892</v>
      </c>
      <c r="L44" s="60">
        <f t="shared" si="4"/>
        <v>100.91234211451135</v>
      </c>
      <c r="M44" s="60">
        <f t="shared" si="5"/>
        <v>90.23921401110637</v>
      </c>
      <c r="N44" s="512">
        <f t="shared" si="6"/>
        <v>110.25797625445838</v>
      </c>
      <c r="O44" s="60">
        <v>24823.15</v>
      </c>
    </row>
    <row r="45" spans="1:15" x14ac:dyDescent="0.3">
      <c r="A45" s="60">
        <v>11295.7</v>
      </c>
      <c r="B45" s="53">
        <v>804.95</v>
      </c>
      <c r="C45" s="53">
        <v>640.5</v>
      </c>
      <c r="D45" s="60">
        <v>24642.85</v>
      </c>
      <c r="E45" s="60">
        <v>4239.95</v>
      </c>
      <c r="F45" s="60">
        <v>2337.9</v>
      </c>
      <c r="G45" s="422"/>
      <c r="H45" s="60">
        <f t="shared" si="0"/>
        <v>114.98534142269637</v>
      </c>
      <c r="I45" s="60">
        <f t="shared" si="1"/>
        <v>95.878744565541069</v>
      </c>
      <c r="J45" s="60">
        <f t="shared" si="2"/>
        <v>102.12053571428569</v>
      </c>
      <c r="K45" s="60">
        <f t="shared" si="3"/>
        <v>95.474031471017256</v>
      </c>
      <c r="L45" s="60">
        <f t="shared" si="4"/>
        <v>97.388845629968543</v>
      </c>
      <c r="M45" s="60">
        <f t="shared" si="5"/>
        <v>90.788707234670511</v>
      </c>
      <c r="N45" s="512">
        <f t="shared" si="6"/>
        <v>109.00540559748065</v>
      </c>
      <c r="O45" s="60">
        <v>24541.15</v>
      </c>
    </row>
    <row r="46" spans="1:15" x14ac:dyDescent="0.3">
      <c r="A46" s="60">
        <v>11300.35</v>
      </c>
      <c r="B46" s="53">
        <v>799.75</v>
      </c>
      <c r="C46" s="53">
        <v>632</v>
      </c>
      <c r="D46" s="60">
        <v>24296.6</v>
      </c>
      <c r="E46" s="60">
        <v>4240.2</v>
      </c>
      <c r="F46" s="60">
        <v>2351.5500000000002</v>
      </c>
      <c r="G46" s="422"/>
      <c r="H46" s="60">
        <f t="shared" si="0"/>
        <v>115.03267641190602</v>
      </c>
      <c r="I46" s="60">
        <f t="shared" si="1"/>
        <v>95.259365136084824</v>
      </c>
      <c r="J46" s="60">
        <f t="shared" si="2"/>
        <v>100.76530612244898</v>
      </c>
      <c r="K46" s="60">
        <f t="shared" si="3"/>
        <v>94.132551755933989</v>
      </c>
      <c r="L46" s="60">
        <f t="shared" si="4"/>
        <v>97.394587964526153</v>
      </c>
      <c r="M46" s="60">
        <f t="shared" si="5"/>
        <v>91.318783736553939</v>
      </c>
      <c r="N46" s="512">
        <f t="shared" si="6"/>
        <v>108.23409746065728</v>
      </c>
      <c r="O46" s="60">
        <v>24367.5</v>
      </c>
    </row>
    <row r="47" spans="1:15" x14ac:dyDescent="0.3">
      <c r="A47" s="60">
        <v>11764.5</v>
      </c>
      <c r="B47" s="53">
        <v>827.75</v>
      </c>
      <c r="C47" s="53">
        <v>652.79999999999995</v>
      </c>
      <c r="D47" s="60">
        <v>27295.35</v>
      </c>
      <c r="E47" s="60">
        <v>4284.6000000000004</v>
      </c>
      <c r="F47" s="60">
        <v>2435.3000000000002</v>
      </c>
      <c r="G47" s="422"/>
      <c r="H47" s="60">
        <f t="shared" si="0"/>
        <v>119.75752270043567</v>
      </c>
      <c r="I47" s="60">
        <f t="shared" si="1"/>
        <v>98.594485140849272</v>
      </c>
      <c r="J47" s="60">
        <f t="shared" si="2"/>
        <v>104.08163265306121</v>
      </c>
      <c r="K47" s="60">
        <f t="shared" si="3"/>
        <v>105.75063780822553</v>
      </c>
      <c r="L47" s="60">
        <f t="shared" si="4"/>
        <v>98.414426581955752</v>
      </c>
      <c r="M47" s="60">
        <f t="shared" si="5"/>
        <v>94.571084618073101</v>
      </c>
      <c r="N47" s="512">
        <f t="shared" si="6"/>
        <v>109.78959478006725</v>
      </c>
      <c r="O47" s="60">
        <v>24717.7</v>
      </c>
    </row>
    <row r="48" spans="1:15" x14ac:dyDescent="0.3">
      <c r="A48" s="60">
        <v>11673.05</v>
      </c>
      <c r="B48" s="53">
        <v>828.15</v>
      </c>
      <c r="C48" s="53">
        <v>686.4</v>
      </c>
      <c r="D48" s="60">
        <v>27566.75</v>
      </c>
      <c r="E48" s="60">
        <v>4387.6499999999996</v>
      </c>
      <c r="F48" s="60">
        <v>2614.15</v>
      </c>
      <c r="G48" s="422"/>
      <c r="H48" s="60">
        <f t="shared" si="0"/>
        <v>118.82660124597906</v>
      </c>
      <c r="I48" s="60">
        <f t="shared" si="1"/>
        <v>98.642129712345906</v>
      </c>
      <c r="J48" s="60">
        <f t="shared" si="2"/>
        <v>109.43877551020407</v>
      </c>
      <c r="K48" s="60">
        <f t="shared" si="3"/>
        <v>106.80212544627206</v>
      </c>
      <c r="L48" s="60">
        <f t="shared" si="4"/>
        <v>100.78141688659808</v>
      </c>
      <c r="M48" s="60">
        <f t="shared" si="5"/>
        <v>101.51644596326356</v>
      </c>
      <c r="N48" s="512">
        <f t="shared" si="6"/>
        <v>110.30994461150321</v>
      </c>
      <c r="O48" s="60">
        <v>24834.85</v>
      </c>
    </row>
    <row r="49" spans="1:15" x14ac:dyDescent="0.3">
      <c r="A49" s="60">
        <v>11258.3</v>
      </c>
      <c r="B49" s="53">
        <v>777.8</v>
      </c>
      <c r="C49" s="53">
        <v>677.9</v>
      </c>
      <c r="D49" s="60">
        <v>27284.15</v>
      </c>
      <c r="E49" s="60">
        <v>4284.55</v>
      </c>
      <c r="F49" s="60">
        <v>2619.8000000000002</v>
      </c>
      <c r="G49" s="422"/>
      <c r="H49" s="60">
        <f t="shared" si="0"/>
        <v>114.60462559550469</v>
      </c>
      <c r="I49" s="60">
        <f t="shared" si="1"/>
        <v>92.644869275206958</v>
      </c>
      <c r="J49" s="60">
        <f t="shared" si="2"/>
        <v>108.08354591836734</v>
      </c>
      <c r="K49" s="60">
        <f t="shared" si="3"/>
        <v>105.70724554018531</v>
      </c>
      <c r="L49" s="60">
        <f t="shared" si="4"/>
        <v>98.413278115044236</v>
      </c>
      <c r="M49" s="60">
        <f t="shared" si="5"/>
        <v>101.73585491825561</v>
      </c>
      <c r="N49" s="512">
        <f t="shared" si="6"/>
        <v>108.95987776331746</v>
      </c>
      <c r="O49" s="60">
        <v>24530.9</v>
      </c>
    </row>
    <row r="50" spans="1:15" x14ac:dyDescent="0.3">
      <c r="A50" s="60">
        <v>11602.3</v>
      </c>
      <c r="B50" s="53">
        <v>793.9</v>
      </c>
      <c r="C50" s="53">
        <v>676.5</v>
      </c>
      <c r="D50" s="60">
        <v>27665.5</v>
      </c>
      <c r="E50" s="60">
        <v>4339.3999999999996</v>
      </c>
      <c r="F50" s="60">
        <v>2686.15</v>
      </c>
      <c r="G50" s="422"/>
      <c r="H50" s="60">
        <f t="shared" si="0"/>
        <v>118.10639684026221</v>
      </c>
      <c r="I50" s="60">
        <f t="shared" si="1"/>
        <v>94.562563277946523</v>
      </c>
      <c r="J50" s="60">
        <f t="shared" si="2"/>
        <v>107.86033163265304</v>
      </c>
      <c r="K50" s="60">
        <f t="shared" si="3"/>
        <v>107.18471352385896</v>
      </c>
      <c r="L50" s="60">
        <f t="shared" si="4"/>
        <v>99.673146316981459</v>
      </c>
      <c r="M50" s="60">
        <f t="shared" si="5"/>
        <v>104.312453885286</v>
      </c>
      <c r="N50" s="512">
        <f t="shared" si="6"/>
        <v>108.83217774066458</v>
      </c>
      <c r="O50" s="60">
        <v>24502.15</v>
      </c>
    </row>
    <row r="51" spans="1:15" x14ac:dyDescent="0.3">
      <c r="A51" s="60">
        <v>11690.15</v>
      </c>
      <c r="B51" s="53">
        <v>808.15</v>
      </c>
      <c r="C51" s="53">
        <v>686</v>
      </c>
      <c r="D51" s="60">
        <v>27528.7</v>
      </c>
      <c r="E51" s="60">
        <v>4212.8500000000004</v>
      </c>
      <c r="F51" s="60">
        <v>2669.5</v>
      </c>
      <c r="G51" s="422">
        <v>45444</v>
      </c>
      <c r="H51" s="60">
        <f t="shared" si="0"/>
        <v>119.00067185145974</v>
      </c>
      <c r="I51" s="60">
        <f t="shared" si="1"/>
        <v>96.259901137514149</v>
      </c>
      <c r="J51" s="60">
        <f t="shared" si="2"/>
        <v>109.375</v>
      </c>
      <c r="K51" s="60">
        <f t="shared" si="3"/>
        <v>106.65470796422463</v>
      </c>
      <c r="L51" s="60">
        <f t="shared" si="4"/>
        <v>96.766376563924823</v>
      </c>
      <c r="M51" s="60">
        <f t="shared" si="5"/>
        <v>103.66587705331831</v>
      </c>
      <c r="N51" s="512">
        <f t="shared" si="6"/>
        <v>108.04021551322083</v>
      </c>
      <c r="O51" s="60">
        <v>24323.85</v>
      </c>
    </row>
    <row r="52" spans="1:15" x14ac:dyDescent="0.3">
      <c r="A52" s="60">
        <v>11667.9</v>
      </c>
      <c r="B52" s="53">
        <v>836.45</v>
      </c>
      <c r="C52" s="53">
        <v>670.25</v>
      </c>
      <c r="D52" s="60">
        <v>27870.400000000001</v>
      </c>
      <c r="E52" s="60">
        <v>4383.79</v>
      </c>
      <c r="F52" s="60">
        <v>2619.0500000000002</v>
      </c>
      <c r="G52" s="422"/>
      <c r="H52" s="60">
        <f t="shared" si="0"/>
        <v>118.77417647298343</v>
      </c>
      <c r="I52" s="60">
        <f t="shared" si="1"/>
        <v>99.63075457090109</v>
      </c>
      <c r="J52" s="60">
        <f t="shared" si="2"/>
        <v>106.86383928571428</v>
      </c>
      <c r="K52" s="60">
        <f t="shared" si="3"/>
        <v>107.97855957041655</v>
      </c>
      <c r="L52" s="60">
        <f t="shared" si="4"/>
        <v>100.69275524102875</v>
      </c>
      <c r="M52" s="60">
        <f t="shared" si="5"/>
        <v>101.70672983573455</v>
      </c>
      <c r="N52" s="512">
        <f t="shared" si="6"/>
        <v>106.6488404837943</v>
      </c>
      <c r="O52" s="60">
        <v>24010.6</v>
      </c>
    </row>
    <row r="53" spans="1:15" x14ac:dyDescent="0.3">
      <c r="A53" s="60">
        <v>10662.4</v>
      </c>
      <c r="B53" s="53">
        <v>845.5</v>
      </c>
      <c r="C53" s="53">
        <v>657.45</v>
      </c>
      <c r="D53" s="60">
        <v>27403.8</v>
      </c>
      <c r="E53" s="60">
        <v>4254.8500000000004</v>
      </c>
      <c r="F53" s="60">
        <v>2590.1999999999998</v>
      </c>
      <c r="G53" s="422"/>
      <c r="H53" s="60">
        <f t="shared" si="0"/>
        <v>108.53862127936804</v>
      </c>
      <c r="I53" s="60">
        <f t="shared" si="1"/>
        <v>100.70871300101246</v>
      </c>
      <c r="J53" s="60">
        <f t="shared" si="2"/>
        <v>104.82302295918366</v>
      </c>
      <c r="K53" s="60">
        <f t="shared" si="3"/>
        <v>106.17080668938303</v>
      </c>
      <c r="L53" s="60">
        <f t="shared" si="4"/>
        <v>97.731088769601456</v>
      </c>
      <c r="M53" s="60">
        <f t="shared" si="5"/>
        <v>100.58638499475747</v>
      </c>
      <c r="N53" s="512">
        <f t="shared" si="6"/>
        <v>104.38577399538946</v>
      </c>
      <c r="O53" s="60">
        <v>23501.1</v>
      </c>
    </row>
    <row r="54" spans="1:15" x14ac:dyDescent="0.3">
      <c r="A54" s="60">
        <v>11242.8</v>
      </c>
      <c r="B54" s="53">
        <v>869.35</v>
      </c>
      <c r="C54" s="53">
        <v>677.2</v>
      </c>
      <c r="D54" s="60">
        <v>27538</v>
      </c>
      <c r="E54" s="60">
        <v>4321.57</v>
      </c>
      <c r="F54" s="60">
        <v>2661.7</v>
      </c>
      <c r="G54" s="422"/>
      <c r="H54" s="60">
        <f t="shared" si="0"/>
        <v>114.44684229813917</v>
      </c>
      <c r="I54" s="60">
        <f t="shared" si="1"/>
        <v>103.54952057649933</v>
      </c>
      <c r="J54" s="60">
        <f t="shared" si="2"/>
        <v>107.97193877551021</v>
      </c>
      <c r="K54" s="60">
        <f t="shared" si="3"/>
        <v>106.69073904393662</v>
      </c>
      <c r="L54" s="60">
        <f t="shared" si="4"/>
        <v>99.263603016333491</v>
      </c>
      <c r="M54" s="60">
        <f t="shared" si="5"/>
        <v>103.36297619509922</v>
      </c>
      <c r="N54" s="512">
        <f t="shared" si="6"/>
        <v>104.22809222828766</v>
      </c>
      <c r="O54" s="60">
        <v>23465.599999999999</v>
      </c>
    </row>
    <row r="55" spans="1:15" x14ac:dyDescent="0.3">
      <c r="A55" s="60">
        <v>10463.15</v>
      </c>
      <c r="B55" s="53">
        <v>831.8</v>
      </c>
      <c r="C55" s="53">
        <v>621.29999999999995</v>
      </c>
      <c r="D55" s="60">
        <v>26077.5</v>
      </c>
      <c r="E55" s="60">
        <v>4182.13</v>
      </c>
      <c r="F55" s="60">
        <v>2499.1</v>
      </c>
      <c r="G55" s="422"/>
      <c r="H55" s="60">
        <f t="shared" si="0"/>
        <v>106.51034244065312</v>
      </c>
      <c r="I55" s="60">
        <f t="shared" si="1"/>
        <v>99.076886427252703</v>
      </c>
      <c r="J55" s="60">
        <f t="shared" si="2"/>
        <v>99.059311224489775</v>
      </c>
      <c r="K55" s="60">
        <f t="shared" si="3"/>
        <v>101.03230980529656</v>
      </c>
      <c r="L55" s="60">
        <f t="shared" si="4"/>
        <v>96.060758493487043</v>
      </c>
      <c r="M55" s="60">
        <f t="shared" si="5"/>
        <v>97.04865830453187</v>
      </c>
      <c r="N55" s="512">
        <f t="shared" si="6"/>
        <v>103.44878895961128</v>
      </c>
      <c r="O55" s="60">
        <v>23290.15</v>
      </c>
    </row>
    <row r="56" spans="1:15" x14ac:dyDescent="0.3">
      <c r="A56" s="60">
        <v>9915.5</v>
      </c>
      <c r="B56" s="53">
        <v>741.85</v>
      </c>
      <c r="C56" s="53">
        <v>634.04999999999995</v>
      </c>
      <c r="D56" s="60">
        <v>24680.6</v>
      </c>
      <c r="E56" s="60">
        <v>3867.66</v>
      </c>
      <c r="F56" s="60">
        <v>2546.4</v>
      </c>
      <c r="G56" s="422"/>
      <c r="H56" s="60">
        <f t="shared" si="0"/>
        <v>100.93550225986401</v>
      </c>
      <c r="I56" s="60">
        <f t="shared" si="1"/>
        <v>88.362813411946888</v>
      </c>
      <c r="J56" s="60">
        <f t="shared" si="2"/>
        <v>101.09215561224489</v>
      </c>
      <c r="K56" s="60">
        <f t="shared" si="3"/>
        <v>95.620286660170734</v>
      </c>
      <c r="L56" s="60">
        <f t="shared" si="4"/>
        <v>88.837590700174331</v>
      </c>
      <c r="M56" s="60">
        <f t="shared" si="5"/>
        <v>98.885480175527178</v>
      </c>
      <c r="N56" s="512">
        <f t="shared" si="6"/>
        <v>100.07550957861213</v>
      </c>
      <c r="O56" s="60">
        <v>22530.7</v>
      </c>
    </row>
    <row r="57" spans="1:15" x14ac:dyDescent="0.3">
      <c r="A57" s="60">
        <v>10231.1</v>
      </c>
      <c r="B57" s="53">
        <v>778.1</v>
      </c>
      <c r="C57" s="53">
        <v>635.29999999999995</v>
      </c>
      <c r="D57" s="60">
        <v>25456.45</v>
      </c>
      <c r="E57" s="60">
        <v>3985.72</v>
      </c>
      <c r="F57" s="60">
        <v>2609.25</v>
      </c>
      <c r="G57" s="422"/>
      <c r="H57" s="60">
        <f t="shared" si="0"/>
        <v>104.1481737855776</v>
      </c>
      <c r="I57" s="60">
        <f t="shared" si="1"/>
        <v>92.680602703829436</v>
      </c>
      <c r="J57" s="60">
        <f t="shared" si="2"/>
        <v>101.29145408163265</v>
      </c>
      <c r="K57" s="60">
        <f t="shared" si="3"/>
        <v>98.626169799368881</v>
      </c>
      <c r="L57" s="60">
        <f t="shared" si="4"/>
        <v>91.549350771654915</v>
      </c>
      <c r="M57" s="60">
        <f t="shared" si="5"/>
        <v>101.32616209079259</v>
      </c>
      <c r="N57" s="512">
        <f t="shared" si="6"/>
        <v>101.96946747980118</v>
      </c>
      <c r="O57" s="60">
        <v>22957.1</v>
      </c>
    </row>
    <row r="58" spans="1:15" x14ac:dyDescent="0.3">
      <c r="A58" s="60">
        <v>9890.35</v>
      </c>
      <c r="B58" s="53">
        <v>777.1</v>
      </c>
      <c r="C58" s="53">
        <v>620.70000000000005</v>
      </c>
      <c r="D58" s="60">
        <v>26305.8</v>
      </c>
      <c r="E58" s="60">
        <v>3892.08</v>
      </c>
      <c r="F58" s="60">
        <v>2521.9499999999998</v>
      </c>
      <c r="G58" s="422"/>
      <c r="H58" s="60">
        <f t="shared" si="0"/>
        <v>100.67948613542896</v>
      </c>
      <c r="I58" s="60">
        <f t="shared" si="1"/>
        <v>92.561491275087846</v>
      </c>
      <c r="J58" s="60">
        <f t="shared" si="2"/>
        <v>98.963647959183675</v>
      </c>
      <c r="K58" s="60">
        <f t="shared" si="3"/>
        <v>101.91681469758107</v>
      </c>
      <c r="L58" s="60">
        <f t="shared" si="4"/>
        <v>89.398501939760607</v>
      </c>
      <c r="M58" s="60">
        <f t="shared" si="5"/>
        <v>97.936002485340367</v>
      </c>
      <c r="N58" s="512">
        <f t="shared" si="6"/>
        <v>99.788573179886015</v>
      </c>
      <c r="O58" s="60">
        <v>22466.1</v>
      </c>
    </row>
    <row r="59" spans="1:15" x14ac:dyDescent="0.3">
      <c r="A59" s="60">
        <v>9491.7000000000007</v>
      </c>
      <c r="B59" s="53">
        <v>760.2</v>
      </c>
      <c r="C59" s="53">
        <v>581.79999999999995</v>
      </c>
      <c r="D59" s="60">
        <v>25661.25</v>
      </c>
      <c r="E59" s="60">
        <v>3836.34</v>
      </c>
      <c r="F59" s="60">
        <v>2360.15</v>
      </c>
      <c r="G59" s="422"/>
      <c r="H59" s="60">
        <f t="shared" si="0"/>
        <v>96.621401522863309</v>
      </c>
      <c r="I59" s="60">
        <f t="shared" si="1"/>
        <v>90.548508129355014</v>
      </c>
      <c r="J59" s="60">
        <f t="shared" si="2"/>
        <v>92.761479591836718</v>
      </c>
      <c r="K59" s="60">
        <f t="shared" si="3"/>
        <v>99.419628414961807</v>
      </c>
      <c r="L59" s="60">
        <f t="shared" si="4"/>
        <v>88.118191026798328</v>
      </c>
      <c r="M59" s="60">
        <f t="shared" si="5"/>
        <v>91.652751349462164</v>
      </c>
      <c r="N59" s="512">
        <f t="shared" si="6"/>
        <v>97.963462247431565</v>
      </c>
      <c r="O59" s="60">
        <v>22055.200000000001</v>
      </c>
    </row>
    <row r="60" spans="1:15" x14ac:dyDescent="0.3">
      <c r="A60" s="60">
        <v>9816.2999999999993</v>
      </c>
      <c r="B60" s="53">
        <v>772.3</v>
      </c>
      <c r="C60" s="53">
        <v>622.45000000000005</v>
      </c>
      <c r="D60" s="60">
        <v>25746.55</v>
      </c>
      <c r="E60" s="60">
        <v>3972.68</v>
      </c>
      <c r="F60" s="60">
        <v>2531.4</v>
      </c>
      <c r="G60" s="422"/>
      <c r="H60" s="60">
        <f t="shared" si="0"/>
        <v>99.925689156724602</v>
      </c>
      <c r="I60" s="60">
        <f t="shared" si="1"/>
        <v>91.98975641712822</v>
      </c>
      <c r="J60" s="60">
        <f t="shared" si="2"/>
        <v>99.242665816326522</v>
      </c>
      <c r="K60" s="60">
        <f t="shared" si="3"/>
        <v>99.750107027803978</v>
      </c>
      <c r="L60" s="60">
        <f t="shared" si="4"/>
        <v>91.24983060113054</v>
      </c>
      <c r="M60" s="60">
        <f t="shared" si="5"/>
        <v>98.302978525105829</v>
      </c>
      <c r="N60" s="512">
        <f t="shared" si="6"/>
        <v>99.831880144090036</v>
      </c>
      <c r="O60" s="60">
        <v>22475.85</v>
      </c>
    </row>
    <row r="61" spans="1:15" x14ac:dyDescent="0.3">
      <c r="A61" s="60">
        <v>9700.9</v>
      </c>
      <c r="B61" s="53">
        <v>797.6</v>
      </c>
      <c r="C61" s="53">
        <v>632.35</v>
      </c>
      <c r="D61" s="60">
        <v>24140.5</v>
      </c>
      <c r="E61" s="60">
        <v>4067.77</v>
      </c>
      <c r="F61" s="60">
        <v>2533.0500000000002</v>
      </c>
      <c r="G61" s="422"/>
      <c r="H61" s="60">
        <f t="shared" si="0"/>
        <v>98.750967058919329</v>
      </c>
      <c r="I61" s="60">
        <f t="shared" si="1"/>
        <v>95.003275564290405</v>
      </c>
      <c r="J61" s="60">
        <f t="shared" si="2"/>
        <v>100.82110969387755</v>
      </c>
      <c r="K61" s="60">
        <f t="shared" si="3"/>
        <v>93.527772020123166</v>
      </c>
      <c r="L61" s="60">
        <f t="shared" si="4"/>
        <v>93.433984973458934</v>
      </c>
      <c r="M61" s="60">
        <f t="shared" si="5"/>
        <v>98.367053706652172</v>
      </c>
      <c r="N61" s="512">
        <f t="shared" si="6"/>
        <v>99.583586882653677</v>
      </c>
      <c r="O61" s="60">
        <v>22419.95</v>
      </c>
    </row>
    <row r="62" spans="1:15" x14ac:dyDescent="0.3">
      <c r="A62" s="60">
        <v>9363.9500000000007</v>
      </c>
      <c r="B62" s="53">
        <v>800.15</v>
      </c>
      <c r="C62" s="53">
        <v>609.65</v>
      </c>
      <c r="D62" s="60">
        <v>24368.75</v>
      </c>
      <c r="E62" s="60">
        <v>4146.58</v>
      </c>
      <c r="F62" s="60">
        <v>2405.15</v>
      </c>
      <c r="G62" s="422"/>
      <c r="H62" s="60">
        <f t="shared" si="0"/>
        <v>95.320961765544197</v>
      </c>
      <c r="I62" s="60">
        <f t="shared" si="1"/>
        <v>95.307009707581443</v>
      </c>
      <c r="J62" s="60">
        <f t="shared" si="2"/>
        <v>97.201849489795904</v>
      </c>
      <c r="K62" s="60">
        <f t="shared" si="3"/>
        <v>94.412083196925352</v>
      </c>
      <c r="L62" s="60">
        <f t="shared" si="4"/>
        <v>95.244198519396448</v>
      </c>
      <c r="M62" s="60">
        <f t="shared" si="5"/>
        <v>93.400256300726198</v>
      </c>
      <c r="N62" s="512">
        <f t="shared" si="6"/>
        <v>98.371213971937095</v>
      </c>
      <c r="O62" s="60">
        <v>22147</v>
      </c>
    </row>
    <row r="63" spans="1:15" x14ac:dyDescent="0.3">
      <c r="A63" s="60">
        <v>9652.5499999999993</v>
      </c>
      <c r="B63" s="53">
        <v>837.25</v>
      </c>
      <c r="C63" s="53">
        <v>608.85</v>
      </c>
      <c r="D63" s="60">
        <v>25491.15</v>
      </c>
      <c r="E63" s="60">
        <v>4275.67</v>
      </c>
      <c r="F63" s="60">
        <v>2468.3000000000002</v>
      </c>
      <c r="G63" s="422"/>
      <c r="H63" s="60">
        <f>(A63/$A$64)*100</f>
        <v>98.258784966814588</v>
      </c>
      <c r="I63" s="60">
        <f>(B63/$B$64)*100</f>
        <v>99.726043713894356</v>
      </c>
      <c r="J63" s="60">
        <f>(C63/$C$64)*100</f>
        <v>97.074298469387756</v>
      </c>
      <c r="K63" s="60">
        <f>(D63/$D$64)*100</f>
        <v>98.760608344100703</v>
      </c>
      <c r="L63" s="60">
        <f>(E63/$E$64)*100</f>
        <v>98.209310391558319</v>
      </c>
      <c r="M63" s="60">
        <f>(F63/$F$64)*100</f>
        <v>95.85258824900005</v>
      </c>
      <c r="N63" s="512">
        <f t="shared" si="6"/>
        <v>100.02531791753466</v>
      </c>
      <c r="O63" s="60">
        <v>22519.4</v>
      </c>
    </row>
    <row r="64" spans="1:15" x14ac:dyDescent="0.3">
      <c r="A64" s="60">
        <v>9823.6</v>
      </c>
      <c r="B64" s="53">
        <v>839.55</v>
      </c>
      <c r="C64" s="53">
        <v>627.20000000000005</v>
      </c>
      <c r="D64" s="60">
        <v>25811.05</v>
      </c>
      <c r="E64" s="60">
        <v>4353.63</v>
      </c>
      <c r="F64" s="60">
        <v>2575.1</v>
      </c>
      <c r="G64" s="422">
        <v>45352</v>
      </c>
      <c r="H64" s="60">
        <f>(A64/$A$64)*100</f>
        <v>100</v>
      </c>
      <c r="I64" s="60">
        <f>(B64/$B$64)*100</f>
        <v>100</v>
      </c>
      <c r="J64" s="60">
        <f>(C64/$C$64)*100</f>
        <v>100</v>
      </c>
      <c r="K64" s="60">
        <f>(D64/$D$64)*100</f>
        <v>100</v>
      </c>
      <c r="L64" s="60">
        <f>(E64/$E$64)*100</f>
        <v>100</v>
      </c>
      <c r="M64" s="60">
        <f>(F64/$F$64)*100</f>
        <v>100</v>
      </c>
      <c r="N64" s="512">
        <f>(O64/$O$64)*100</f>
        <v>100</v>
      </c>
      <c r="O64" s="60">
        <v>22513.7</v>
      </c>
    </row>
    <row r="65" spans="1:7" x14ac:dyDescent="0.3">
      <c r="A65" s="60">
        <v>9749.15</v>
      </c>
      <c r="B65" s="53">
        <v>810.55</v>
      </c>
      <c r="C65" s="53">
        <v>612.35</v>
      </c>
      <c r="D65" s="60">
        <v>25682.85</v>
      </c>
      <c r="E65" s="60">
        <v>4071.32</v>
      </c>
      <c r="F65" s="60">
        <v>2491.6999999999998</v>
      </c>
      <c r="G65" s="60"/>
    </row>
    <row r="66" spans="1:7" x14ac:dyDescent="0.3">
      <c r="A66" s="60">
        <v>9681.75</v>
      </c>
      <c r="B66" s="53">
        <v>806.45</v>
      </c>
      <c r="C66" s="53">
        <v>589.35</v>
      </c>
      <c r="D66" s="60">
        <v>25366.05</v>
      </c>
      <c r="E66" s="60">
        <v>4098.7299999999996</v>
      </c>
      <c r="F66" s="60">
        <v>2443.25</v>
      </c>
      <c r="G66" s="60"/>
    </row>
    <row r="67" spans="1:7" x14ac:dyDescent="0.3">
      <c r="A67" s="60">
        <v>9632.9500000000007</v>
      </c>
      <c r="B67" s="53">
        <v>806.75</v>
      </c>
      <c r="C67" s="53">
        <v>600.75</v>
      </c>
      <c r="D67" s="60">
        <v>25070.45</v>
      </c>
      <c r="E67" s="60">
        <v>4065.32</v>
      </c>
      <c r="F67" s="60">
        <v>2502.9499999999998</v>
      </c>
      <c r="G67" s="60"/>
    </row>
    <row r="68" spans="1:7" x14ac:dyDescent="0.3">
      <c r="A68" s="60">
        <v>9673.15</v>
      </c>
      <c r="B68" s="53">
        <v>810.8</v>
      </c>
      <c r="C68" s="53">
        <v>603.15</v>
      </c>
      <c r="D68" s="60">
        <v>24705.9</v>
      </c>
      <c r="E68" s="60">
        <v>4257.54</v>
      </c>
      <c r="F68" s="60">
        <v>2638.8</v>
      </c>
      <c r="G68" s="60"/>
    </row>
    <row r="69" spans="1:7" x14ac:dyDescent="0.3">
      <c r="A69" s="60">
        <v>10135.5</v>
      </c>
      <c r="B69" s="53">
        <v>840.95</v>
      </c>
      <c r="C69" s="53">
        <v>617.6</v>
      </c>
      <c r="D69" s="60">
        <v>25637.8</v>
      </c>
      <c r="E69" s="60">
        <v>4495.66</v>
      </c>
      <c r="F69" s="60">
        <v>2695.45</v>
      </c>
      <c r="G69" s="60"/>
    </row>
    <row r="70" spans="1:7" x14ac:dyDescent="0.3">
      <c r="A70" s="60">
        <v>10000.9</v>
      </c>
      <c r="B70" s="53">
        <v>867.35</v>
      </c>
      <c r="C70" s="53">
        <v>602.95000000000005</v>
      </c>
      <c r="D70" s="60">
        <v>26489.65</v>
      </c>
      <c r="E70" s="60">
        <v>4338.5</v>
      </c>
      <c r="F70" s="60">
        <v>2679.55</v>
      </c>
      <c r="G70" s="60"/>
    </row>
    <row r="71" spans="1:7" x14ac:dyDescent="0.3">
      <c r="A71" s="60">
        <v>9916.2000000000007</v>
      </c>
      <c r="B71" s="53">
        <v>868.65</v>
      </c>
      <c r="C71" s="53">
        <v>585.1</v>
      </c>
      <c r="D71" s="60">
        <v>26298</v>
      </c>
      <c r="E71" s="60">
        <v>4205.91</v>
      </c>
      <c r="F71" s="60">
        <v>2720.4</v>
      </c>
      <c r="G71" s="60"/>
    </row>
    <row r="72" spans="1:7" x14ac:dyDescent="0.3">
      <c r="A72" s="60">
        <v>9945.75</v>
      </c>
      <c r="B72" s="53">
        <v>901.75</v>
      </c>
      <c r="C72" s="53">
        <v>576.20000000000005</v>
      </c>
      <c r="D72" s="60">
        <v>27630.1</v>
      </c>
      <c r="E72" s="60">
        <v>4226.2299999999996</v>
      </c>
      <c r="F72" s="60">
        <v>2628.05</v>
      </c>
      <c r="G72" s="60"/>
    </row>
    <row r="73" spans="1:7" x14ac:dyDescent="0.3">
      <c r="A73" s="60">
        <v>10098.549999999999</v>
      </c>
      <c r="B73" s="53">
        <v>993.05</v>
      </c>
      <c r="C73" s="53">
        <v>557.4</v>
      </c>
      <c r="D73" s="60">
        <v>28453.95</v>
      </c>
      <c r="E73" s="60">
        <v>4361.0200000000004</v>
      </c>
      <c r="F73" s="60">
        <v>2499.4499999999998</v>
      </c>
      <c r="G73" s="60"/>
    </row>
    <row r="74" spans="1:7" x14ac:dyDescent="0.3">
      <c r="A74" s="60">
        <v>9969.35</v>
      </c>
      <c r="B74" s="53">
        <v>968.85</v>
      </c>
      <c r="C74" s="53">
        <v>560.15</v>
      </c>
      <c r="D74" s="60">
        <v>27948.799999999999</v>
      </c>
      <c r="E74" s="60">
        <v>4162.51</v>
      </c>
      <c r="F74" s="60">
        <v>2467.65</v>
      </c>
      <c r="G74" s="60"/>
    </row>
    <row r="75" spans="1:7" x14ac:dyDescent="0.3">
      <c r="A75" s="60">
        <v>10093.700000000001</v>
      </c>
      <c r="B75" s="53">
        <v>957.6</v>
      </c>
      <c r="C75" s="53">
        <v>537.1</v>
      </c>
      <c r="D75" s="60">
        <v>26649.5</v>
      </c>
      <c r="E75" s="60">
        <v>4048.44</v>
      </c>
      <c r="F75" s="60">
        <v>2277.1</v>
      </c>
      <c r="G75" s="60"/>
    </row>
    <row r="76" spans="1:7" x14ac:dyDescent="0.3">
      <c r="A76" s="60">
        <v>9808.4500000000007</v>
      </c>
      <c r="B76" s="53">
        <v>993.65</v>
      </c>
      <c r="C76" s="53">
        <v>532.4</v>
      </c>
      <c r="D76" s="60">
        <v>26874</v>
      </c>
      <c r="E76" s="60">
        <v>4043.15</v>
      </c>
      <c r="F76" s="60">
        <v>2332.4</v>
      </c>
      <c r="G76" s="60"/>
    </row>
    <row r="77" spans="1:7" x14ac:dyDescent="0.3">
      <c r="A77" s="60">
        <v>10016.049999999999</v>
      </c>
      <c r="B77" s="60">
        <v>1028.0999999999999</v>
      </c>
      <c r="C77" s="53">
        <v>542.35</v>
      </c>
      <c r="D77" s="60">
        <v>27023.3</v>
      </c>
      <c r="E77" s="60">
        <v>3925.94</v>
      </c>
      <c r="F77" s="60">
        <v>2377.4499999999998</v>
      </c>
      <c r="G77" s="422">
        <v>45261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V59"/>
  <sheetViews>
    <sheetView topLeftCell="A11" zoomScale="70" zoomScaleNormal="70" workbookViewId="0">
      <selection activeCell="B54" sqref="B54:G58"/>
    </sheetView>
  </sheetViews>
  <sheetFormatPr defaultColWidth="16.77734375" defaultRowHeight="14.4" x14ac:dyDescent="0.3"/>
  <cols>
    <col min="1" max="1" width="2" style="3" customWidth="1"/>
    <col min="2" max="2" width="44.77734375" style="3" customWidth="1"/>
    <col min="3" max="7" width="16.77734375" style="3"/>
    <col min="8" max="9" width="2" style="3" customWidth="1"/>
    <col min="10" max="16384" width="16.77734375" style="3"/>
  </cols>
  <sheetData>
    <row r="1" spans="2:22" ht="15.6" x14ac:dyDescent="0.4">
      <c r="B1" s="104" t="s">
        <v>342</v>
      </c>
      <c r="C1" s="105"/>
      <c r="D1" s="105"/>
      <c r="E1" s="105"/>
      <c r="F1" s="105"/>
      <c r="G1" s="105"/>
      <c r="H1" s="105"/>
      <c r="I1" s="105"/>
      <c r="J1" s="105"/>
      <c r="K1" s="105"/>
    </row>
    <row r="2" spans="2:22" ht="23.4" x14ac:dyDescent="0.45">
      <c r="B2" s="106" t="s">
        <v>341</v>
      </c>
      <c r="C2" s="105"/>
      <c r="D2" s="105"/>
      <c r="E2" s="105"/>
      <c r="F2" s="105"/>
      <c r="G2" s="105"/>
      <c r="H2" s="105"/>
      <c r="I2" s="105"/>
      <c r="J2" s="105"/>
      <c r="K2" s="105"/>
    </row>
    <row r="3" spans="2:22" x14ac:dyDescent="0.3">
      <c r="B3" s="105" t="s">
        <v>343</v>
      </c>
      <c r="C3" s="105"/>
      <c r="D3" s="105"/>
      <c r="E3" s="105"/>
      <c r="F3" s="105"/>
      <c r="G3" s="105"/>
      <c r="H3" s="105"/>
      <c r="I3" s="105"/>
      <c r="J3" s="105"/>
      <c r="K3" s="105"/>
    </row>
    <row r="4" spans="2:22" ht="14.4" customHeight="1" x14ac:dyDescent="0.3"/>
    <row r="5" spans="2:22" x14ac:dyDescent="0.3">
      <c r="B5" s="107" t="s">
        <v>344</v>
      </c>
      <c r="C5" s="107"/>
      <c r="D5" s="107"/>
      <c r="E5" s="107"/>
      <c r="F5" s="107"/>
      <c r="G5" s="107"/>
      <c r="H5" s="107"/>
      <c r="I5" s="107"/>
      <c r="J5" s="107"/>
      <c r="K5" s="107"/>
    </row>
    <row r="6" spans="2:22" ht="7.05" customHeight="1" x14ac:dyDescent="0.3"/>
    <row r="7" spans="2:22" ht="77.400000000000006" customHeight="1" x14ac:dyDescent="0.3">
      <c r="B7" s="46"/>
      <c r="C7" s="521" t="s">
        <v>448</v>
      </c>
      <c r="D7" s="521"/>
      <c r="E7" s="521"/>
      <c r="F7" s="521"/>
      <c r="G7" s="521"/>
      <c r="H7" s="521"/>
      <c r="I7" s="521"/>
      <c r="J7" s="521"/>
      <c r="K7" s="521"/>
      <c r="L7" s="47"/>
      <c r="M7" s="47"/>
      <c r="N7" s="47"/>
      <c r="O7" s="47"/>
      <c r="P7" s="47"/>
      <c r="Q7" s="47"/>
      <c r="R7" s="47"/>
      <c r="S7" s="47"/>
      <c r="T7" s="47"/>
      <c r="U7" s="47"/>
      <c r="V7" s="47"/>
    </row>
    <row r="8" spans="2:22" ht="7.05" customHeight="1" x14ac:dyDescent="0.3">
      <c r="B8" s="48"/>
    </row>
    <row r="9" spans="2:22" x14ac:dyDescent="0.3">
      <c r="B9" s="107" t="s">
        <v>215</v>
      </c>
      <c r="C9" s="108">
        <v>43891</v>
      </c>
      <c r="D9" s="108">
        <f>EDATE(C9,12)</f>
        <v>44256</v>
      </c>
      <c r="E9" s="108">
        <f t="shared" ref="E9:G9" si="0">EDATE(D9,12)</f>
        <v>44621</v>
      </c>
      <c r="F9" s="108">
        <f t="shared" si="0"/>
        <v>44986</v>
      </c>
      <c r="G9" s="108">
        <f t="shared" si="0"/>
        <v>45352</v>
      </c>
      <c r="H9" s="218"/>
      <c r="J9" s="520" t="s">
        <v>226</v>
      </c>
      <c r="K9" s="520"/>
    </row>
    <row r="10" spans="2:22" ht="7.05" customHeight="1" x14ac:dyDescent="0.3">
      <c r="H10" s="78"/>
    </row>
    <row r="11" spans="2:22" x14ac:dyDescent="0.3">
      <c r="B11" s="3" t="s">
        <v>216</v>
      </c>
      <c r="C11" s="3">
        <f>'INCOME STATEMENT'!C$14</f>
        <v>45459</v>
      </c>
      <c r="D11" s="3">
        <f>'INCOME STATEMENT'!D$14</f>
        <v>53106.64</v>
      </c>
      <c r="E11" s="3">
        <f>'INCOME STATEMENT'!E$14</f>
        <v>63743.060000000005</v>
      </c>
      <c r="F11" s="3">
        <f>'INCOME STATEMENT'!F$14</f>
        <v>71525</v>
      </c>
      <c r="G11" s="3">
        <f>'INCOME STATEMENT'!G$14</f>
        <v>76699</v>
      </c>
      <c r="H11" s="78"/>
    </row>
    <row r="12" spans="2:22" x14ac:dyDescent="0.3">
      <c r="B12" s="3" t="s">
        <v>217</v>
      </c>
      <c r="C12" s="3">
        <f>'YoY GROWTH %'!C$9</f>
        <v>0</v>
      </c>
      <c r="D12" s="49">
        <f>'YoY GROWTH %'!D9</f>
        <v>0.16823159330385629</v>
      </c>
      <c r="E12" s="49">
        <f>'YoY GROWTH %'!E9</f>
        <v>0.20028418291949945</v>
      </c>
      <c r="F12" s="49">
        <f>'YoY GROWTH %'!F9</f>
        <v>0.12208293734251208</v>
      </c>
      <c r="G12" s="49">
        <f>'YoY GROWTH %'!G9</f>
        <v>7.2338343236630465E-2</v>
      </c>
      <c r="H12" s="209"/>
    </row>
    <row r="13" spans="2:22" x14ac:dyDescent="0.3">
      <c r="B13" s="3" t="s">
        <v>218</v>
      </c>
      <c r="C13" s="49">
        <f>'COMMON SIZE STATEMENT'!C$14</f>
        <v>0.43997888206955721</v>
      </c>
      <c r="D13" s="49">
        <f>'COMMON SIZE STATEMENT'!D$14</f>
        <v>0.40093027915153356</v>
      </c>
      <c r="E13" s="49">
        <f>'COMMON SIZE STATEMENT'!E$14</f>
        <v>0.33772492252489922</v>
      </c>
      <c r="F13" s="49">
        <f>'COMMON SIZE STATEMENT'!F$14</f>
        <v>0.35595945473610624</v>
      </c>
      <c r="G13" s="49">
        <f>'COMMON SIZE STATEMENT'!G$14</f>
        <v>0.3535769697127733</v>
      </c>
      <c r="H13" s="209"/>
    </row>
    <row r="14" spans="2:22" x14ac:dyDescent="0.3">
      <c r="B14" s="3" t="s">
        <v>219</v>
      </c>
      <c r="C14" s="49">
        <f>'COMMON SIZE STATEMENT'!C$16</f>
        <v>0.27015552475857368</v>
      </c>
      <c r="D14" s="49">
        <f>'COMMON SIZE STATEMENT'!D$16</f>
        <v>0.22637771849245214</v>
      </c>
      <c r="E14" s="49">
        <f>'COMMON SIZE STATEMENT'!E$16</f>
        <v>0.17449632948277038</v>
      </c>
      <c r="F14" s="49">
        <f>'COMMON SIZE STATEMENT'!F$16</f>
        <v>0.18997553303040896</v>
      </c>
      <c r="G14" s="49">
        <f>'COMMON SIZE STATEMENT'!G$16</f>
        <v>0.17347031903936166</v>
      </c>
      <c r="H14" s="209"/>
    </row>
    <row r="15" spans="2:22" x14ac:dyDescent="0.3">
      <c r="B15" s="3" t="s">
        <v>220</v>
      </c>
      <c r="C15" s="49">
        <f>'COMMON SIZE STATEMENT'!C$18</f>
        <v>0.21076134538815197</v>
      </c>
      <c r="D15" s="49">
        <f>'COMMON SIZE STATEMENT'!D$18</f>
        <v>0.17525887534967374</v>
      </c>
      <c r="E15" s="49">
        <f>'COMMON SIZE STATEMENT'!E$18</f>
        <v>0.12918959334553443</v>
      </c>
      <c r="F15" s="49">
        <f>'COMMON SIZE STATEMENT'!F$18</f>
        <v>0.1460048933939182</v>
      </c>
      <c r="G15" s="49">
        <f>'COMMON SIZE STATEMENT'!G$18</f>
        <v>0.12113586878577295</v>
      </c>
      <c r="H15" s="209"/>
    </row>
    <row r="16" spans="2:22" x14ac:dyDescent="0.3">
      <c r="B16" s="3" t="s">
        <v>221</v>
      </c>
      <c r="C16" s="49">
        <f>'COMMON SIZE STATEMENT'!C22</f>
        <v>0.12226401812622363</v>
      </c>
      <c r="D16" s="49">
        <f>'COMMON SIZE STATEMENT'!D22</f>
        <v>0.13506107710824858</v>
      </c>
      <c r="E16" s="49">
        <f>'COMMON SIZE STATEMENT'!E22</f>
        <v>7.9528187068521689E-2</v>
      </c>
      <c r="F16" s="49">
        <f>'COMMON SIZE STATEMENT'!F22</f>
        <v>9.866480251660259E-2</v>
      </c>
      <c r="G16" s="49">
        <f>'COMMON SIZE STATEMENT'!G22</f>
        <v>8.022268869216026E-2</v>
      </c>
      <c r="H16" s="209"/>
    </row>
    <row r="17" spans="2:11" x14ac:dyDescent="0.3">
      <c r="B17" s="3" t="s">
        <v>17</v>
      </c>
      <c r="C17" s="50">
        <f>'INCOME STATEMENT'!C$45</f>
        <v>189.33</v>
      </c>
      <c r="D17" s="50">
        <f>'INCOME STATEMENT'!D$45</f>
        <v>248.98</v>
      </c>
      <c r="E17" s="50">
        <f>'INCOME STATEMENT'!E$45</f>
        <v>175.54</v>
      </c>
      <c r="F17" s="50">
        <f>'INCOME STATEMENT'!F$45</f>
        <v>242.87</v>
      </c>
      <c r="G17" s="50">
        <f>'INCOME STATEMENT'!G$45</f>
        <v>205.13</v>
      </c>
      <c r="H17" s="219"/>
    </row>
    <row r="18" spans="2:11" x14ac:dyDescent="0.3">
      <c r="B18" s="3" t="s">
        <v>222</v>
      </c>
      <c r="C18" s="3">
        <f>'YoY GROWTH %'!C21</f>
        <v>0</v>
      </c>
      <c r="D18" s="49">
        <f>'YoY GROWTH %'!D$21</f>
        <v>0.3150583637035862</v>
      </c>
      <c r="E18" s="217">
        <f>'YoY GROWTH %'!E$21</f>
        <v>-0.29496345087958875</v>
      </c>
      <c r="F18" s="49">
        <f>'YoY GROWTH %'!F$21</f>
        <v>0.38355930272302619</v>
      </c>
      <c r="G18" s="217">
        <f>'YoY GROWTH %'!G$21</f>
        <v>-0.15539177337670362</v>
      </c>
      <c r="H18" s="209"/>
    </row>
    <row r="19" spans="2:11" x14ac:dyDescent="0.3">
      <c r="B19" s="3" t="s">
        <v>223</v>
      </c>
      <c r="C19" s="3">
        <f>'INCOME STATEMENT'!C$47</f>
        <v>12.740089960417416</v>
      </c>
      <c r="D19" s="3">
        <f>'INCOME STATEMENT'!D$47</f>
        <v>36.968773004082195</v>
      </c>
      <c r="E19" s="3">
        <f>'INCOME STATEMENT'!E$47</f>
        <v>37.778686503451098</v>
      </c>
      <c r="F19" s="3">
        <f>'INCOME STATEMENT'!F$47</f>
        <v>37.650528553209583</v>
      </c>
      <c r="G19" s="3">
        <f>'INCOME STATEMENT'!G$47</f>
        <v>67.04313830651715</v>
      </c>
      <c r="H19" s="78"/>
    </row>
    <row r="20" spans="2:11" x14ac:dyDescent="0.3">
      <c r="B20" s="3" t="s">
        <v>224</v>
      </c>
      <c r="C20" s="3">
        <f>'YoY GROWTH %'!C22</f>
        <v>0</v>
      </c>
      <c r="D20" s="49">
        <f>'YoY GROWTH %'!D$22</f>
        <v>1.9017670298201685</v>
      </c>
      <c r="E20" s="49">
        <f>'YoY GROWTH %'!E$22</f>
        <v>2.1908043831464719E-2</v>
      </c>
      <c r="F20" s="217">
        <f>'YoY GROWTH %'!F$22</f>
        <v>-3.3923347289961381E-3</v>
      </c>
      <c r="G20" s="49">
        <f>'YoY GROWTH %'!G$22</f>
        <v>0.7806692464295284</v>
      </c>
      <c r="H20" s="209"/>
    </row>
    <row r="21" spans="2:11" ht="7.05" customHeight="1" x14ac:dyDescent="0.3">
      <c r="B21" s="51"/>
      <c r="C21" s="51"/>
      <c r="D21" s="51"/>
      <c r="E21" s="51"/>
      <c r="F21" s="51"/>
      <c r="G21" s="51"/>
      <c r="H21" s="51"/>
      <c r="I21" s="51"/>
      <c r="J21" s="51"/>
      <c r="K21" s="51"/>
    </row>
    <row r="22" spans="2:11" ht="7.05" customHeight="1" x14ac:dyDescent="0.3"/>
    <row r="23" spans="2:11" x14ac:dyDescent="0.3">
      <c r="B23" s="107" t="s">
        <v>227</v>
      </c>
      <c r="C23" s="108">
        <v>43891</v>
      </c>
      <c r="D23" s="108">
        <f>EDATE(C23,12)</f>
        <v>44256</v>
      </c>
      <c r="E23" s="108">
        <f t="shared" ref="E23:G23" si="1">EDATE(D23,12)</f>
        <v>44621</v>
      </c>
      <c r="F23" s="108">
        <f t="shared" si="1"/>
        <v>44986</v>
      </c>
      <c r="G23" s="108">
        <f t="shared" si="1"/>
        <v>45352</v>
      </c>
      <c r="H23" s="218"/>
      <c r="J23" s="520" t="s">
        <v>257</v>
      </c>
      <c r="K23" s="520"/>
    </row>
    <row r="24" spans="2:11" ht="7.05" customHeight="1" x14ac:dyDescent="0.3">
      <c r="H24" s="78"/>
    </row>
    <row r="25" spans="2:11" x14ac:dyDescent="0.3">
      <c r="B25" s="3" t="s">
        <v>228</v>
      </c>
      <c r="C25" s="52">
        <f>'KEY FINANCIAL RATIOS'!C$12</f>
        <v>27.930861458828495</v>
      </c>
      <c r="D25" s="52">
        <f>'KEY FINANCIAL RATIOS'!D$12</f>
        <v>30.488593461322196</v>
      </c>
      <c r="E25" s="52">
        <f>'KEY FINANCIAL RATIOS'!E$12</f>
        <v>39.643670958186171</v>
      </c>
      <c r="F25" s="52">
        <f>'KEY FINANCIAL RATIOS'!F$12</f>
        <v>43.245563470169223</v>
      </c>
      <c r="G25" s="52">
        <f>'KEY FINANCIAL RATIOS'!G$12</f>
        <v>56.055428265002682</v>
      </c>
      <c r="H25" s="82"/>
    </row>
    <row r="26" spans="2:11" x14ac:dyDescent="0.3">
      <c r="B26" s="3" t="s">
        <v>229</v>
      </c>
      <c r="C26" s="52">
        <f>'KEY FINANCIAL RATIOS'!C$27</f>
        <v>14.059826397538377</v>
      </c>
      <c r="D26" s="52">
        <f>'KEY FINANCIAL RATIOS'!D$27</f>
        <v>19.018667610846801</v>
      </c>
      <c r="E26" s="52">
        <f>'KEY FINANCIAL RATIOS'!E$27</f>
        <v>18.891468007557389</v>
      </c>
      <c r="F26" s="52">
        <f>'KEY FINANCIAL RATIOS'!F$27</f>
        <v>23.136218826095391</v>
      </c>
      <c r="G26" s="52">
        <f>'KEY FINANCIAL RATIOS'!G$27</f>
        <v>27.583994747430403</v>
      </c>
      <c r="H26" s="82"/>
    </row>
    <row r="27" spans="2:11" x14ac:dyDescent="0.3">
      <c r="B27" s="3" t="s">
        <v>457</v>
      </c>
      <c r="C27" s="52">
        <f>'KEY FINANCIAL RATIOS'!C$42</f>
        <v>0.40256712093086433</v>
      </c>
      <c r="D27" s="52">
        <f>'KEY FINANCIAL RATIOS'!D$42</f>
        <v>0.20229573471104648</v>
      </c>
      <c r="E27" s="52">
        <f>'KEY FINANCIAL RATIOS'!E$42</f>
        <v>0.18225244060971338</v>
      </c>
      <c r="F27" s="52">
        <f>'KEY FINANCIAL RATIOS'!F$42</f>
        <v>0.17097266961113142</v>
      </c>
      <c r="G27" s="52">
        <f>'KEY FINANCIAL RATIOS'!G$42</f>
        <v>0.32571953892935435</v>
      </c>
      <c r="H27" s="82"/>
    </row>
    <row r="28" spans="2:11" x14ac:dyDescent="0.3">
      <c r="B28" s="3" t="s">
        <v>458</v>
      </c>
      <c r="C28" s="202">
        <v>0</v>
      </c>
      <c r="D28" s="52">
        <f>'KEY FINANCIAL RATIOS'!D$37</f>
        <v>9.6771255658543733</v>
      </c>
      <c r="E28" s="52">
        <f>'KEY FINANCIAL RATIOS'!E$37</f>
        <v>-13.440197705840401</v>
      </c>
      <c r="F28" s="52">
        <f>'KEY FINANCIAL RATIOS'!F$37</f>
        <v>11.274805007505574</v>
      </c>
      <c r="G28" s="52">
        <f>'KEY FINANCIAL RATIOS'!G$37</f>
        <v>-36.073613838688921</v>
      </c>
      <c r="H28" s="82"/>
    </row>
    <row r="29" spans="2:11" x14ac:dyDescent="0.3">
      <c r="B29" s="3" t="s">
        <v>231</v>
      </c>
      <c r="C29" s="49">
        <f>'RATIO ANALYSIS'!C$28</f>
        <v>0.12582061846334949</v>
      </c>
      <c r="D29" s="49">
        <f>'RATIO ANALYSIS'!D$28</f>
        <v>0.14221476359698279</v>
      </c>
      <c r="E29" s="49">
        <f>'RATIO ANALYSIS'!E$28</f>
        <v>9.3316390714030945E-2</v>
      </c>
      <c r="F29" s="49">
        <f>'RATIO ANALYSIS'!F$28</f>
        <v>0.11717530634609637</v>
      </c>
      <c r="G29" s="49">
        <f>'RATIO ANALYSIS'!G$28</f>
        <v>8.7023548546778864E-2</v>
      </c>
      <c r="H29" s="209"/>
    </row>
    <row r="30" spans="2:11" x14ac:dyDescent="0.3">
      <c r="B30" s="3" t="s">
        <v>230</v>
      </c>
      <c r="C30" s="49">
        <f>'RATIO ANALYSIS'!C$26</f>
        <v>0.1460896878764314</v>
      </c>
      <c r="D30" s="49">
        <f>'RATIO ANALYSIS'!D$26</f>
        <v>0.14491090403792706</v>
      </c>
      <c r="E30" s="49">
        <f>'RATIO ANALYSIS'!E$26</f>
        <v>0.12052719726633254</v>
      </c>
      <c r="F30" s="49">
        <f>'RATIO ANALYSIS'!F$26</f>
        <v>0.14143698787837747</v>
      </c>
      <c r="G30" s="49">
        <f>'RATIO ANALYSIS'!G$26</f>
        <v>9.4669913695601224E-2</v>
      </c>
      <c r="H30" s="209"/>
    </row>
    <row r="31" spans="2:11" ht="7.05" customHeight="1" x14ac:dyDescent="0.3">
      <c r="B31" s="51"/>
      <c r="C31" s="51"/>
      <c r="D31" s="51"/>
      <c r="E31" s="51"/>
      <c r="F31" s="51"/>
      <c r="G31" s="51"/>
      <c r="H31" s="51"/>
      <c r="I31" s="51"/>
      <c r="J31" s="51"/>
      <c r="K31" s="51"/>
    </row>
    <row r="32" spans="2:11" ht="7.05" customHeight="1" x14ac:dyDescent="0.3"/>
    <row r="33" spans="2:11" x14ac:dyDescent="0.3">
      <c r="B33" s="107" t="s">
        <v>232</v>
      </c>
      <c r="C33" s="109" t="s">
        <v>269</v>
      </c>
      <c r="D33" s="109" t="s">
        <v>233</v>
      </c>
      <c r="E33" s="109" t="s">
        <v>534</v>
      </c>
      <c r="F33" s="520" t="s">
        <v>533</v>
      </c>
      <c r="G33" s="520"/>
      <c r="H33" s="220"/>
      <c r="J33" s="520" t="s">
        <v>263</v>
      </c>
      <c r="K33" s="520"/>
    </row>
    <row r="34" spans="2:11" ht="7.05" customHeight="1" x14ac:dyDescent="0.3">
      <c r="C34" s="16"/>
      <c r="D34" s="16"/>
      <c r="E34" s="16"/>
      <c r="H34" s="78"/>
    </row>
    <row r="35" spans="2:11" x14ac:dyDescent="0.3">
      <c r="B35" s="53" t="s">
        <v>536</v>
      </c>
      <c r="C35" s="16">
        <v>165335150</v>
      </c>
      <c r="D35" s="249">
        <v>0.57269999999999999</v>
      </c>
      <c r="E35" s="16">
        <v>21000</v>
      </c>
      <c r="F35" s="213"/>
      <c r="H35" s="221"/>
    </row>
    <row r="36" spans="2:11" x14ac:dyDescent="0.3">
      <c r="B36" s="53" t="s">
        <v>537</v>
      </c>
      <c r="C36" s="16">
        <v>7000000</v>
      </c>
      <c r="D36" s="249">
        <v>2.4500000000000001E-2</v>
      </c>
      <c r="E36" s="16">
        <v>885</v>
      </c>
      <c r="F36" s="213"/>
      <c r="H36" s="221"/>
    </row>
    <row r="37" spans="2:11" x14ac:dyDescent="0.3">
      <c r="B37" s="53" t="s">
        <v>538</v>
      </c>
      <c r="C37" s="16">
        <v>6500000</v>
      </c>
      <c r="D37" s="249">
        <v>2.29E-2</v>
      </c>
      <c r="E37" s="16">
        <v>820</v>
      </c>
      <c r="F37" s="213"/>
      <c r="H37" s="221"/>
    </row>
    <row r="38" spans="2:11" x14ac:dyDescent="0.3">
      <c r="B38" s="53" t="s">
        <v>539</v>
      </c>
      <c r="C38" s="16">
        <v>4900000</v>
      </c>
      <c r="D38" s="249">
        <v>1.7399999999999999E-2</v>
      </c>
      <c r="E38" s="16">
        <v>620</v>
      </c>
      <c r="F38" s="213"/>
      <c r="H38" s="221"/>
    </row>
    <row r="39" spans="2:11" x14ac:dyDescent="0.3">
      <c r="B39" s="53" t="s">
        <v>540</v>
      </c>
      <c r="C39" s="16">
        <v>4800000</v>
      </c>
      <c r="D39" s="249">
        <v>1.72E-2</v>
      </c>
      <c r="E39" s="16">
        <v>610</v>
      </c>
      <c r="F39" s="213"/>
      <c r="H39" s="221"/>
    </row>
    <row r="40" spans="2:11" x14ac:dyDescent="0.3">
      <c r="B40" s="53" t="s">
        <v>541</v>
      </c>
      <c r="C40" s="16">
        <v>4500000</v>
      </c>
      <c r="D40" s="249">
        <v>1.61E-2</v>
      </c>
      <c r="E40" s="16">
        <v>570</v>
      </c>
      <c r="F40" s="213"/>
      <c r="H40" s="221"/>
    </row>
    <row r="41" spans="2:11" x14ac:dyDescent="0.3">
      <c r="B41" s="53" t="s">
        <v>542</v>
      </c>
      <c r="C41" s="16">
        <v>4200000</v>
      </c>
      <c r="D41" s="249">
        <v>1.49E-2</v>
      </c>
      <c r="E41" s="16">
        <v>530</v>
      </c>
      <c r="F41" s="213"/>
      <c r="H41" s="221"/>
    </row>
    <row r="42" spans="2:11" x14ac:dyDescent="0.3">
      <c r="B42" s="53" t="s">
        <v>543</v>
      </c>
      <c r="C42" s="16">
        <v>4100000</v>
      </c>
      <c r="D42" s="249">
        <v>1.47E-2</v>
      </c>
      <c r="E42" s="16">
        <v>520</v>
      </c>
      <c r="F42" s="213"/>
      <c r="H42" s="221"/>
    </row>
    <row r="43" spans="2:11" x14ac:dyDescent="0.3">
      <c r="B43" s="53" t="s">
        <v>535</v>
      </c>
      <c r="C43" s="16">
        <v>3800000</v>
      </c>
      <c r="D43" s="249">
        <v>1.37E-2</v>
      </c>
      <c r="E43" s="16">
        <v>480</v>
      </c>
      <c r="F43" s="213"/>
      <c r="H43" s="221"/>
    </row>
    <row r="44" spans="2:11" x14ac:dyDescent="0.3">
      <c r="B44" s="54" t="s">
        <v>544</v>
      </c>
      <c r="C44" s="16">
        <v>3500000</v>
      </c>
      <c r="D44" s="249">
        <v>1.26E-2</v>
      </c>
      <c r="E44" s="16">
        <v>440</v>
      </c>
      <c r="F44" s="213"/>
      <c r="H44" s="221"/>
    </row>
    <row r="45" spans="2:11" ht="7.05" customHeight="1" x14ac:dyDescent="0.3">
      <c r="B45" s="51"/>
      <c r="C45" s="51"/>
      <c r="D45" s="51"/>
      <c r="E45" s="51"/>
      <c r="F45" s="51"/>
      <c r="G45" s="51"/>
      <c r="H45" s="51"/>
      <c r="I45" s="51"/>
      <c r="J45" s="51"/>
      <c r="K45" s="51"/>
    </row>
    <row r="46" spans="2:11" ht="7.05" customHeight="1" x14ac:dyDescent="0.3"/>
    <row r="47" spans="2:11" x14ac:dyDescent="0.3">
      <c r="B47" s="107" t="s">
        <v>258</v>
      </c>
      <c r="C47" s="520" t="s">
        <v>260</v>
      </c>
      <c r="D47" s="520"/>
      <c r="E47" s="187" t="s">
        <v>261</v>
      </c>
      <c r="F47" s="520" t="s">
        <v>262</v>
      </c>
      <c r="G47" s="520"/>
      <c r="H47" s="222"/>
      <c r="J47" s="520" t="s">
        <v>259</v>
      </c>
      <c r="K47" s="520"/>
    </row>
    <row r="48" spans="2:11" ht="7.05" customHeight="1" x14ac:dyDescent="0.3">
      <c r="H48" s="78"/>
    </row>
    <row r="49" spans="2:11" x14ac:dyDescent="0.3">
      <c r="B49" s="3" t="s">
        <v>524</v>
      </c>
      <c r="C49" s="516" t="s">
        <v>532</v>
      </c>
      <c r="D49" s="516"/>
      <c r="E49" s="250">
        <v>18.68</v>
      </c>
      <c r="F49" s="519" t="s">
        <v>525</v>
      </c>
      <c r="G49" s="516"/>
      <c r="H49" s="221"/>
      <c r="J49" s="3" t="s">
        <v>264</v>
      </c>
      <c r="K49" s="3">
        <f>'PV FCFF'!$C$52</f>
        <v>11499</v>
      </c>
    </row>
    <row r="50" spans="2:11" x14ac:dyDescent="0.3">
      <c r="B50" s="3" t="s">
        <v>528</v>
      </c>
      <c r="C50" s="516" t="s">
        <v>531</v>
      </c>
      <c r="D50" s="516"/>
      <c r="E50" s="250">
        <v>8.35</v>
      </c>
      <c r="F50" s="519" t="s">
        <v>526</v>
      </c>
      <c r="G50" s="516"/>
      <c r="H50" s="221"/>
      <c r="J50" s="3" t="s">
        <v>2874</v>
      </c>
      <c r="K50" s="3">
        <f>'INCOME STATEMENT'!$G$44</f>
        <v>29.99561253839029</v>
      </c>
    </row>
    <row r="51" spans="2:11" x14ac:dyDescent="0.3">
      <c r="B51" s="3" t="s">
        <v>529</v>
      </c>
      <c r="C51" s="516" t="s">
        <v>530</v>
      </c>
      <c r="D51" s="516"/>
      <c r="E51" s="250">
        <v>4.3</v>
      </c>
      <c r="F51" s="519" t="s">
        <v>527</v>
      </c>
      <c r="G51" s="516"/>
      <c r="H51" s="221"/>
      <c r="J51" s="1" t="s">
        <v>286</v>
      </c>
      <c r="K51" s="1">
        <f>K49*K50</f>
        <v>344919.54857894994</v>
      </c>
    </row>
    <row r="52" spans="2:11" ht="7.05" customHeight="1" x14ac:dyDescent="0.3">
      <c r="B52" s="51"/>
      <c r="C52" s="212"/>
      <c r="D52" s="212"/>
      <c r="E52" s="55"/>
      <c r="F52" s="211"/>
      <c r="G52" s="212"/>
      <c r="H52" s="212"/>
      <c r="I52" s="51"/>
      <c r="J52" s="20"/>
      <c r="K52" s="20"/>
    </row>
    <row r="53" spans="2:11" ht="7.05" customHeight="1" x14ac:dyDescent="0.3">
      <c r="C53" s="213"/>
      <c r="D53" s="213"/>
      <c r="E53" s="224"/>
      <c r="F53" s="214"/>
      <c r="G53" s="213"/>
      <c r="H53" s="213"/>
      <c r="J53" s="1"/>
      <c r="K53" s="1"/>
    </row>
    <row r="54" spans="2:11" ht="14.4" customHeight="1" x14ac:dyDescent="0.3">
      <c r="B54" s="517" t="s">
        <v>445</v>
      </c>
      <c r="C54" s="517"/>
      <c r="D54" s="517"/>
      <c r="E54" s="517"/>
      <c r="F54" s="517"/>
      <c r="G54" s="517"/>
      <c r="H54" s="223"/>
      <c r="J54" s="3" t="s">
        <v>265</v>
      </c>
      <c r="K54" s="3">
        <f>'BALANCE SHEET'!$G$17</f>
        <v>467</v>
      </c>
    </row>
    <row r="55" spans="2:11" ht="14.4" customHeight="1" x14ac:dyDescent="0.3">
      <c r="B55" s="518"/>
      <c r="C55" s="518"/>
      <c r="D55" s="518"/>
      <c r="E55" s="518"/>
      <c r="F55" s="518"/>
      <c r="G55" s="518"/>
      <c r="H55" s="223"/>
      <c r="J55" s="3" t="s">
        <v>266</v>
      </c>
      <c r="K55" s="3">
        <f>'BALANCE SHEET'!G44+'BALANCE SHEET'!G56</f>
        <v>23030</v>
      </c>
    </row>
    <row r="56" spans="2:11" ht="14.4" customHeight="1" x14ac:dyDescent="0.3">
      <c r="B56" s="518"/>
      <c r="C56" s="518"/>
      <c r="D56" s="518"/>
      <c r="E56" s="518"/>
      <c r="F56" s="518"/>
      <c r="G56" s="518"/>
      <c r="H56" s="223"/>
      <c r="J56" s="3" t="s">
        <v>267</v>
      </c>
      <c r="K56" s="375">
        <v>15</v>
      </c>
    </row>
    <row r="57" spans="2:11" ht="14.4" customHeight="1" x14ac:dyDescent="0.3">
      <c r="B57" s="518"/>
      <c r="C57" s="518"/>
      <c r="D57" s="518"/>
      <c r="E57" s="518"/>
      <c r="F57" s="518"/>
      <c r="G57" s="518"/>
      <c r="H57" s="223"/>
      <c r="J57" s="1" t="s">
        <v>268</v>
      </c>
      <c r="K57" s="1">
        <f>K51+K55-K54-K56</f>
        <v>367467.54857894994</v>
      </c>
    </row>
    <row r="58" spans="2:11" ht="14.4" customHeight="1" x14ac:dyDescent="0.3">
      <c r="B58" s="518"/>
      <c r="C58" s="518"/>
      <c r="D58" s="518"/>
      <c r="E58" s="518"/>
      <c r="F58" s="518"/>
      <c r="G58" s="518"/>
      <c r="H58" s="210"/>
    </row>
    <row r="59" spans="2:11" x14ac:dyDescent="0.3">
      <c r="B59" s="105"/>
      <c r="C59" s="105"/>
      <c r="D59" s="105"/>
      <c r="E59" s="105"/>
      <c r="F59" s="105"/>
      <c r="G59" s="105"/>
      <c r="H59" s="105"/>
      <c r="I59" s="105"/>
      <c r="J59" s="105"/>
      <c r="K59" s="105"/>
    </row>
  </sheetData>
  <mergeCells count="15">
    <mergeCell ref="F33:G33"/>
    <mergeCell ref="C7:K7"/>
    <mergeCell ref="J9:K9"/>
    <mergeCell ref="J23:K23"/>
    <mergeCell ref="J47:K47"/>
    <mergeCell ref="C47:D47"/>
    <mergeCell ref="F47:G47"/>
    <mergeCell ref="J33:K33"/>
    <mergeCell ref="C49:D49"/>
    <mergeCell ref="B54:G58"/>
    <mergeCell ref="C50:D50"/>
    <mergeCell ref="C51:D51"/>
    <mergeCell ref="F49:G49"/>
    <mergeCell ref="F50:G50"/>
    <mergeCell ref="F51:G51"/>
  </mergeCells>
  <printOptions horizontalCentered="1" verticalCentered="1"/>
  <pageMargins left="0" right="0" top="0" bottom="0" header="0" footer="0"/>
  <pageSetup paperSize="9" scale="69" orientation="landscape" horizontalDpi="1200" verticalDpi="1200" r:id="rId1"/>
  <colBreaks count="1" manualBreakCount="1">
    <brk id="11" max="43" man="1"/>
  </colBreaks>
  <ignoredErrors>
    <ignoredError sqref="G49 G50 G51"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workbookViewId="0"/>
  </sheetViews>
  <sheetFormatPr defaultRowHeight="14.4" x14ac:dyDescent="0.3"/>
  <cols>
    <col min="1" max="16384" width="8.88671875" style="53"/>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zoomScale="70" zoomScaleNormal="70" workbookViewId="0">
      <pane xSplit="2" ySplit="7" topLeftCell="C8" activePane="bottomRight" state="frozen"/>
      <selection pane="topRight" activeCell="C1" sqref="C1"/>
      <selection pane="bottomLeft" activeCell="A13" sqref="A13"/>
      <selection pane="bottomRight"/>
    </sheetView>
  </sheetViews>
  <sheetFormatPr defaultColWidth="16.77734375" defaultRowHeight="14.4" x14ac:dyDescent="0.3"/>
  <cols>
    <col min="1" max="1" width="2" style="190" customWidth="1"/>
    <col min="2" max="2" width="44.77734375" style="190" customWidth="1"/>
    <col min="3" max="7" width="16.77734375" style="190"/>
    <col min="8" max="9" width="2" style="190" customWidth="1"/>
    <col min="10" max="14" width="16.77734375" style="190"/>
    <col min="15" max="16" width="2" style="190" customWidth="1"/>
    <col min="17" max="21" width="16.77734375" style="190"/>
    <col min="22" max="23" width="2" style="190" customWidth="1"/>
    <col min="24" max="16384" width="16.77734375" style="190"/>
  </cols>
  <sheetData>
    <row r="1" spans="2:28" ht="15.6" x14ac:dyDescent="0.4">
      <c r="B1" s="188" t="s">
        <v>342</v>
      </c>
      <c r="C1" s="189"/>
      <c r="D1" s="189"/>
      <c r="E1" s="189"/>
      <c r="F1" s="189"/>
      <c r="G1" s="189"/>
      <c r="H1" s="189"/>
      <c r="I1" s="189"/>
      <c r="J1" s="189"/>
      <c r="K1" s="189"/>
      <c r="L1" s="189"/>
      <c r="M1" s="189"/>
      <c r="N1" s="189"/>
      <c r="O1" s="189"/>
      <c r="P1" s="189"/>
      <c r="Q1" s="189"/>
      <c r="R1" s="189"/>
      <c r="S1" s="189"/>
      <c r="T1" s="189"/>
      <c r="U1" s="189"/>
      <c r="V1" s="189"/>
      <c r="W1" s="189"/>
      <c r="X1" s="189"/>
      <c r="Y1" s="189"/>
      <c r="Z1" s="189"/>
      <c r="AA1" s="189"/>
      <c r="AB1" s="189"/>
    </row>
    <row r="2" spans="2:28" ht="23.4" x14ac:dyDescent="0.45">
      <c r="B2" s="191" t="s">
        <v>341</v>
      </c>
      <c r="C2" s="189"/>
      <c r="D2" s="189"/>
      <c r="E2" s="189"/>
      <c r="F2" s="189"/>
      <c r="G2" s="189"/>
      <c r="H2" s="189"/>
      <c r="I2" s="189"/>
      <c r="J2" s="189"/>
      <c r="K2" s="189"/>
      <c r="L2" s="189"/>
      <c r="M2" s="189"/>
      <c r="N2" s="189"/>
      <c r="O2" s="189"/>
      <c r="P2" s="189"/>
      <c r="Q2" s="189"/>
      <c r="R2" s="189"/>
      <c r="S2" s="189"/>
      <c r="T2" s="189"/>
      <c r="U2" s="189"/>
      <c r="V2" s="189"/>
      <c r="W2" s="189"/>
      <c r="X2" s="189"/>
      <c r="Y2" s="189"/>
      <c r="Z2" s="189"/>
      <c r="AA2" s="189"/>
      <c r="AB2" s="189"/>
    </row>
    <row r="3" spans="2:28" x14ac:dyDescent="0.3">
      <c r="B3" s="189" t="s">
        <v>343</v>
      </c>
      <c r="C3" s="189"/>
      <c r="D3" s="189"/>
      <c r="E3" s="189"/>
      <c r="F3" s="189"/>
      <c r="G3" s="189"/>
      <c r="H3" s="189"/>
      <c r="I3" s="189"/>
      <c r="J3" s="189"/>
      <c r="K3" s="189"/>
      <c r="L3" s="189"/>
      <c r="M3" s="189"/>
      <c r="N3" s="189"/>
      <c r="O3" s="189"/>
      <c r="P3" s="189"/>
      <c r="Q3" s="189"/>
      <c r="R3" s="189"/>
      <c r="S3" s="189"/>
      <c r="T3" s="189"/>
      <c r="U3" s="189"/>
      <c r="V3" s="189"/>
      <c r="W3" s="189"/>
      <c r="X3" s="189"/>
      <c r="Y3" s="189"/>
      <c r="Z3" s="189"/>
      <c r="AA3" s="189"/>
      <c r="AB3" s="189"/>
    </row>
    <row r="5" spans="2:28" x14ac:dyDescent="0.3">
      <c r="B5" s="192" t="s">
        <v>463</v>
      </c>
      <c r="C5" s="192"/>
      <c r="D5" s="192"/>
      <c r="E5" s="189"/>
      <c r="F5" s="192"/>
      <c r="G5" s="192"/>
      <c r="H5" s="197"/>
      <c r="J5" s="192" t="s">
        <v>459</v>
      </c>
      <c r="K5" s="284" t="s">
        <v>2529</v>
      </c>
      <c r="L5" s="286" t="s">
        <v>2543</v>
      </c>
      <c r="M5" s="285">
        <v>0.11</v>
      </c>
      <c r="N5" s="192"/>
      <c r="O5" s="280"/>
      <c r="Q5" s="192" t="s">
        <v>459</v>
      </c>
      <c r="R5" s="284" t="s">
        <v>2530</v>
      </c>
      <c r="S5" s="286" t="s">
        <v>2543</v>
      </c>
      <c r="T5" s="285">
        <v>0.08</v>
      </c>
      <c r="U5" s="192"/>
      <c r="V5" s="197"/>
      <c r="X5" s="192" t="s">
        <v>459</v>
      </c>
      <c r="Y5" s="284" t="s">
        <v>2531</v>
      </c>
      <c r="Z5" s="286" t="s">
        <v>2543</v>
      </c>
      <c r="AA5" s="285">
        <v>0.05</v>
      </c>
      <c r="AB5" s="192"/>
    </row>
    <row r="6" spans="2:28" x14ac:dyDescent="0.3">
      <c r="H6" s="197"/>
      <c r="O6" s="197"/>
      <c r="V6" s="197"/>
    </row>
    <row r="7" spans="2:28" x14ac:dyDescent="0.3">
      <c r="B7" s="192" t="s">
        <v>1</v>
      </c>
      <c r="C7" s="110">
        <v>44440</v>
      </c>
      <c r="D7" s="110">
        <f>EDATE(C7,12)</f>
        <v>44805</v>
      </c>
      <c r="E7" s="110">
        <f>EDATE(D7,12)</f>
        <v>45170</v>
      </c>
      <c r="F7" s="110">
        <f>EDATE(E7,12)</f>
        <v>45536</v>
      </c>
      <c r="G7" s="110">
        <f>EDATE(F7,12)</f>
        <v>45901</v>
      </c>
      <c r="H7" s="197"/>
      <c r="J7" s="279">
        <v>46266</v>
      </c>
      <c r="K7" s="279">
        <f>EDATE(J7,12)</f>
        <v>46631</v>
      </c>
      <c r="L7" s="279">
        <f t="shared" ref="L7:N7" si="0">EDATE(K7,12)</f>
        <v>46997</v>
      </c>
      <c r="M7" s="279">
        <f t="shared" si="0"/>
        <v>47362</v>
      </c>
      <c r="N7" s="279">
        <f t="shared" si="0"/>
        <v>47727</v>
      </c>
      <c r="O7" s="281"/>
      <c r="Q7" s="279">
        <v>46266</v>
      </c>
      <c r="R7" s="279">
        <f>EDATE(Q7,12)</f>
        <v>46631</v>
      </c>
      <c r="S7" s="279">
        <f t="shared" ref="S7:U7" si="1">EDATE(R7,12)</f>
        <v>46997</v>
      </c>
      <c r="T7" s="279">
        <f t="shared" si="1"/>
        <v>47362</v>
      </c>
      <c r="U7" s="279">
        <f t="shared" si="1"/>
        <v>47727</v>
      </c>
      <c r="V7" s="197"/>
      <c r="X7" s="279">
        <v>46266</v>
      </c>
      <c r="Y7" s="279">
        <f>EDATE(X7,12)</f>
        <v>46631</v>
      </c>
      <c r="Z7" s="279">
        <f t="shared" ref="Z7:AB7" si="2">EDATE(Y7,12)</f>
        <v>46997</v>
      </c>
      <c r="AA7" s="279">
        <f t="shared" si="2"/>
        <v>47362</v>
      </c>
      <c r="AB7" s="279">
        <f t="shared" si="2"/>
        <v>47727</v>
      </c>
    </row>
    <row r="8" spans="2:28" ht="7.05" customHeight="1" x14ac:dyDescent="0.3">
      <c r="H8" s="197"/>
      <c r="O8" s="197"/>
      <c r="V8" s="197"/>
    </row>
    <row r="9" spans="2:28" x14ac:dyDescent="0.3">
      <c r="B9" s="199" t="s">
        <v>2535</v>
      </c>
      <c r="C9" s="49"/>
      <c r="D9" s="49"/>
      <c r="E9" s="49"/>
      <c r="F9" s="49"/>
      <c r="G9" s="49"/>
      <c r="H9" s="197"/>
      <c r="J9" s="49"/>
      <c r="K9" s="49"/>
      <c r="L9" s="49"/>
      <c r="M9" s="49"/>
      <c r="N9" s="49"/>
      <c r="O9" s="197"/>
      <c r="Q9" s="49"/>
      <c r="R9" s="49"/>
      <c r="S9" s="49"/>
      <c r="T9" s="49"/>
      <c r="U9" s="49"/>
      <c r="V9" s="197"/>
    </row>
    <row r="10" spans="2:28" ht="7.05" customHeight="1" x14ac:dyDescent="0.3">
      <c r="H10" s="197"/>
      <c r="O10" s="197"/>
      <c r="V10" s="197"/>
    </row>
    <row r="11" spans="2:28" x14ac:dyDescent="0.3">
      <c r="B11" s="357" t="s">
        <v>2523</v>
      </c>
      <c r="C11" s="195">
        <v>41250</v>
      </c>
      <c r="D11" s="195">
        <v>48058</v>
      </c>
      <c r="E11" s="195">
        <v>57457</v>
      </c>
      <c r="F11" s="195">
        <v>67706</v>
      </c>
      <c r="G11" s="195">
        <v>72148</v>
      </c>
      <c r="H11" s="197"/>
      <c r="J11" s="195">
        <f>$J$15*J$17</f>
        <v>82372.402285714299</v>
      </c>
      <c r="K11" s="195">
        <f t="shared" ref="K11:N11" si="3">$J$15*K$17</f>
        <v>91433.366537142865</v>
      </c>
      <c r="L11" s="195">
        <f t="shared" si="3"/>
        <v>101491.03685622859</v>
      </c>
      <c r="M11" s="195">
        <f t="shared" si="3"/>
        <v>112655.05091041373</v>
      </c>
      <c r="N11" s="195">
        <f t="shared" si="3"/>
        <v>125047.10651055924</v>
      </c>
      <c r="O11" s="197"/>
      <c r="Q11" s="195">
        <f>$Q$15*Q$17</f>
        <v>77919.840000000011</v>
      </c>
      <c r="R11" s="195">
        <f t="shared" ref="R11:U11" si="4">$Q$15*R$17</f>
        <v>84153.427200000006</v>
      </c>
      <c r="S11" s="195">
        <f t="shared" si="4"/>
        <v>90885.701376000012</v>
      </c>
      <c r="T11" s="195">
        <f t="shared" si="4"/>
        <v>98156.557486080012</v>
      </c>
      <c r="U11" s="195">
        <f t="shared" si="4"/>
        <v>106009.0820849664</v>
      </c>
      <c r="V11" s="197"/>
      <c r="X11" s="195">
        <f>$X$15*X$17</f>
        <v>73590.960000000006</v>
      </c>
      <c r="Y11" s="195">
        <f t="shared" ref="Y11:AB11" si="5">$X$15*Y$17</f>
        <v>77270.508000000002</v>
      </c>
      <c r="Z11" s="195">
        <f t="shared" si="5"/>
        <v>81134.033400000015</v>
      </c>
      <c r="AA11" s="195">
        <f t="shared" si="5"/>
        <v>85190.73507000001</v>
      </c>
      <c r="AB11" s="195">
        <f t="shared" si="5"/>
        <v>89450.271823500021</v>
      </c>
    </row>
    <row r="12" spans="2:28" ht="7.05" customHeight="1" x14ac:dyDescent="0.3">
      <c r="B12" s="193"/>
      <c r="C12" s="193"/>
      <c r="D12" s="193"/>
      <c r="E12" s="193"/>
      <c r="F12" s="193"/>
      <c r="G12" s="193"/>
      <c r="H12" s="197"/>
      <c r="J12" s="193"/>
      <c r="K12" s="193"/>
      <c r="L12" s="193"/>
      <c r="M12" s="193"/>
      <c r="N12" s="193"/>
      <c r="O12" s="197"/>
      <c r="Q12" s="193"/>
      <c r="R12" s="193"/>
      <c r="S12" s="193"/>
      <c r="T12" s="193"/>
      <c r="U12" s="193"/>
      <c r="V12" s="197"/>
      <c r="X12" s="193"/>
      <c r="Y12" s="193"/>
      <c r="Z12" s="193"/>
      <c r="AA12" s="193"/>
      <c r="AB12" s="193"/>
    </row>
    <row r="13" spans="2:28" ht="14.4" customHeight="1" x14ac:dyDescent="0.3">
      <c r="B13" s="199" t="s">
        <v>2544</v>
      </c>
      <c r="C13" s="199">
        <v>0</v>
      </c>
      <c r="D13" s="199">
        <v>0</v>
      </c>
      <c r="E13" s="199">
        <v>0</v>
      </c>
      <c r="F13" s="199">
        <v>0</v>
      </c>
      <c r="G13" s="199">
        <v>0</v>
      </c>
      <c r="H13" s="197"/>
      <c r="J13" s="433">
        <f>J$11+(J$11*0.08)</f>
        <v>88962.194468571441</v>
      </c>
      <c r="K13" s="433">
        <f t="shared" ref="K13:N13" si="6">K$11+(K$11*0.08)</f>
        <v>98748.035860114294</v>
      </c>
      <c r="L13" s="433">
        <f t="shared" si="6"/>
        <v>109610.31980472688</v>
      </c>
      <c r="M13" s="433">
        <f t="shared" si="6"/>
        <v>121667.45498324683</v>
      </c>
      <c r="N13" s="433">
        <f t="shared" si="6"/>
        <v>135050.87503140399</v>
      </c>
      <c r="O13" s="280"/>
      <c r="P13" s="193"/>
      <c r="Q13" s="433">
        <f>Q$11+(Q$11*0.08)</f>
        <v>84153.427200000006</v>
      </c>
      <c r="R13" s="433">
        <f t="shared" ref="R13:U13" si="7">R$11+(R$11*0.08)</f>
        <v>90885.701376000012</v>
      </c>
      <c r="S13" s="433">
        <f t="shared" si="7"/>
        <v>98156.557486080012</v>
      </c>
      <c r="T13" s="433">
        <f t="shared" si="7"/>
        <v>106009.08208496642</v>
      </c>
      <c r="U13" s="433">
        <f t="shared" si="7"/>
        <v>114489.80865176371</v>
      </c>
      <c r="V13" s="280"/>
      <c r="W13" s="193"/>
      <c r="X13" s="433">
        <f>X$11+(X$11*0.08)</f>
        <v>79478.236800000013</v>
      </c>
      <c r="Y13" s="433">
        <f t="shared" ref="Y13:AB13" si="8">Y$11+(Y$11*0.08)</f>
        <v>83452.148639999999</v>
      </c>
      <c r="Z13" s="433">
        <f t="shared" si="8"/>
        <v>87624.756072000018</v>
      </c>
      <c r="AA13" s="433">
        <f t="shared" si="8"/>
        <v>92005.993875600005</v>
      </c>
      <c r="AB13" s="433">
        <f t="shared" si="8"/>
        <v>96606.293569380025</v>
      </c>
    </row>
    <row r="14" spans="2:28" ht="7.05" customHeight="1" x14ac:dyDescent="0.3">
      <c r="B14" s="287"/>
      <c r="C14" s="289"/>
      <c r="D14" s="289"/>
      <c r="E14" s="289"/>
      <c r="F14" s="289"/>
      <c r="G14" s="289"/>
      <c r="H14" s="197"/>
      <c r="J14" s="288"/>
      <c r="K14" s="288"/>
      <c r="L14" s="288"/>
      <c r="M14" s="288"/>
      <c r="N14" s="288"/>
      <c r="O14" s="197"/>
      <c r="Q14" s="288"/>
      <c r="R14" s="288"/>
      <c r="S14" s="288"/>
      <c r="T14" s="288"/>
      <c r="U14" s="288"/>
      <c r="V14" s="197"/>
      <c r="X14" s="288"/>
      <c r="Y14" s="288"/>
      <c r="Z14" s="288"/>
      <c r="AA14" s="288"/>
      <c r="AB14" s="288"/>
    </row>
    <row r="15" spans="2:28" x14ac:dyDescent="0.3">
      <c r="B15" s="358" t="s">
        <v>2524</v>
      </c>
      <c r="C15" s="278">
        <v>350</v>
      </c>
      <c r="D15" s="244">
        <v>0</v>
      </c>
      <c r="E15" s="244">
        <v>0</v>
      </c>
      <c r="F15" s="244">
        <v>0</v>
      </c>
      <c r="G15" s="244">
        <v>0</v>
      </c>
      <c r="H15" s="197"/>
      <c r="J15" s="434">
        <v>360</v>
      </c>
      <c r="K15" s="244">
        <v>0</v>
      </c>
      <c r="L15" s="244">
        <v>0</v>
      </c>
      <c r="M15" s="244">
        <v>0</v>
      </c>
      <c r="N15" s="244">
        <v>0</v>
      </c>
      <c r="O15" s="197"/>
      <c r="Q15" s="434">
        <v>350</v>
      </c>
      <c r="R15" s="244">
        <v>0</v>
      </c>
      <c r="S15" s="244">
        <v>0</v>
      </c>
      <c r="T15" s="244">
        <v>0</v>
      </c>
      <c r="U15" s="244">
        <v>0</v>
      </c>
      <c r="V15" s="197"/>
      <c r="X15" s="434">
        <v>340</v>
      </c>
      <c r="Y15" s="244">
        <v>0</v>
      </c>
      <c r="Z15" s="244">
        <v>0</v>
      </c>
      <c r="AA15" s="244">
        <v>0</v>
      </c>
      <c r="AB15" s="244">
        <v>0</v>
      </c>
    </row>
    <row r="16" spans="2:28" ht="14.4" customHeight="1" x14ac:dyDescent="0.3">
      <c r="B16" s="359" t="s">
        <v>2525</v>
      </c>
      <c r="C16" s="291">
        <v>0.05</v>
      </c>
      <c r="D16" s="203">
        <v>0</v>
      </c>
      <c r="E16" s="203">
        <v>0</v>
      </c>
      <c r="F16" s="203">
        <v>0</v>
      </c>
      <c r="G16" s="203">
        <v>0</v>
      </c>
      <c r="H16" s="197"/>
      <c r="J16" s="292">
        <f>$C$16</f>
        <v>0.05</v>
      </c>
      <c r="K16" s="203">
        <v>0</v>
      </c>
      <c r="L16" s="203">
        <v>0</v>
      </c>
      <c r="M16" s="203">
        <v>0</v>
      </c>
      <c r="N16" s="203">
        <v>0</v>
      </c>
      <c r="O16" s="197"/>
      <c r="Q16" s="292">
        <f>$J$16</f>
        <v>0.05</v>
      </c>
      <c r="R16" s="203">
        <v>0</v>
      </c>
      <c r="S16" s="203">
        <v>0</v>
      </c>
      <c r="T16" s="203">
        <v>0</v>
      </c>
      <c r="U16" s="203">
        <v>0</v>
      </c>
      <c r="V16" s="197"/>
      <c r="X16" s="292">
        <f>$Q$16</f>
        <v>0.05</v>
      </c>
      <c r="Y16" s="203">
        <v>0</v>
      </c>
      <c r="Z16" s="203">
        <v>0</v>
      </c>
      <c r="AA16" s="203">
        <v>0</v>
      </c>
      <c r="AB16" s="203">
        <v>0</v>
      </c>
    </row>
    <row r="17" spans="2:28" x14ac:dyDescent="0.3">
      <c r="B17" s="350" t="s">
        <v>2526</v>
      </c>
      <c r="C17" s="243">
        <f>C$11/$C$15</f>
        <v>117.85714285714286</v>
      </c>
      <c r="D17" s="243">
        <f t="shared" ref="D17:G17" si="9">D$11/$C$15</f>
        <v>137.30857142857144</v>
      </c>
      <c r="E17" s="243">
        <f t="shared" si="9"/>
        <v>164.16285714285715</v>
      </c>
      <c r="F17" s="243">
        <f t="shared" si="9"/>
        <v>193.44571428571427</v>
      </c>
      <c r="G17" s="243">
        <f t="shared" si="9"/>
        <v>206.13714285714286</v>
      </c>
      <c r="H17" s="197"/>
      <c r="J17" s="243">
        <f>$G$17+($G$17*$M$5)</f>
        <v>228.81222857142859</v>
      </c>
      <c r="K17" s="243">
        <f>J$17+(J$17*$M$5)</f>
        <v>253.98157371428573</v>
      </c>
      <c r="L17" s="243">
        <f t="shared" ref="L17:N17" si="10">K$17+(K$17*$M$5)</f>
        <v>281.91954682285717</v>
      </c>
      <c r="M17" s="243">
        <f t="shared" si="10"/>
        <v>312.93069697337148</v>
      </c>
      <c r="N17" s="243">
        <f t="shared" si="10"/>
        <v>347.35307364044235</v>
      </c>
      <c r="O17" s="197"/>
      <c r="Q17" s="243">
        <f>$G$17+($G$17*$T$5)</f>
        <v>222.6281142857143</v>
      </c>
      <c r="R17" s="243">
        <f>Q$17+(Q$17*$T$5)</f>
        <v>240.43836342857145</v>
      </c>
      <c r="S17" s="243">
        <f t="shared" ref="S17:U17" si="11">R$17+(R$17*$T$5)</f>
        <v>259.67343250285717</v>
      </c>
      <c r="T17" s="243">
        <f t="shared" si="11"/>
        <v>280.44730710308573</v>
      </c>
      <c r="U17" s="243">
        <f t="shared" si="11"/>
        <v>302.88309167133258</v>
      </c>
      <c r="V17" s="197"/>
      <c r="X17" s="243">
        <f>$G$17+($G$17*$AA$5)</f>
        <v>216.44400000000002</v>
      </c>
      <c r="Y17" s="243">
        <f>X$17+(X$17*$AA$5)</f>
        <v>227.26620000000003</v>
      </c>
      <c r="Z17" s="243">
        <f t="shared" ref="Z17:AB17" si="12">Y$17+(Y$17*$AA$5)</f>
        <v>238.62951000000004</v>
      </c>
      <c r="AA17" s="243">
        <f t="shared" si="12"/>
        <v>250.56098550000004</v>
      </c>
      <c r="AB17" s="243">
        <f t="shared" si="12"/>
        <v>263.08903477500007</v>
      </c>
    </row>
    <row r="18" spans="2:28" ht="14.4" customHeight="1" x14ac:dyDescent="0.3">
      <c r="C18" s="49"/>
      <c r="D18" s="49"/>
      <c r="E18" s="49"/>
      <c r="F18" s="49"/>
      <c r="G18" s="49"/>
      <c r="H18" s="197"/>
      <c r="O18" s="197"/>
      <c r="V18" s="197"/>
    </row>
    <row r="19" spans="2:28" x14ac:dyDescent="0.3">
      <c r="B19" s="357" t="s">
        <v>2527</v>
      </c>
      <c r="C19" s="195">
        <f>(C$17*$C$16)*10</f>
        <v>58.928571428571431</v>
      </c>
      <c r="D19" s="195">
        <f>(D$17*$C$16)*10</f>
        <v>68.65428571428572</v>
      </c>
      <c r="E19" s="195">
        <f>(E$17*$C$16)*10</f>
        <v>82.081428571428589</v>
      </c>
      <c r="F19" s="195">
        <f>(F$17*$C$16)*10</f>
        <v>96.722857142857137</v>
      </c>
      <c r="G19" s="195">
        <f>(G$17*$C$16)*10</f>
        <v>103.06857142857143</v>
      </c>
      <c r="H19" s="197"/>
      <c r="J19" s="195">
        <f>$G$19+($G$19*$M$5)</f>
        <v>114.4061142857143</v>
      </c>
      <c r="K19" s="195">
        <f>J$19+(J$19*$M$5)</f>
        <v>126.99078685714287</v>
      </c>
      <c r="L19" s="195">
        <f t="shared" ref="L19:N19" si="13">K$19+(K$19*$M$5)</f>
        <v>140.95977341142859</v>
      </c>
      <c r="M19" s="195">
        <f t="shared" si="13"/>
        <v>156.46534848668574</v>
      </c>
      <c r="N19" s="195">
        <f t="shared" si="13"/>
        <v>173.67653682022117</v>
      </c>
      <c r="O19" s="197"/>
      <c r="Q19" s="195">
        <f>$G$19+($G$19*$T$5)</f>
        <v>111.31405714285715</v>
      </c>
      <c r="R19" s="195">
        <f>Q$19+(Q$19*$T$5)</f>
        <v>120.21918171428572</v>
      </c>
      <c r="S19" s="195">
        <f t="shared" ref="S19:U19" si="14">R$19+(R$19*$T$5)</f>
        <v>129.83671625142858</v>
      </c>
      <c r="T19" s="195">
        <f t="shared" si="14"/>
        <v>140.22365355154287</v>
      </c>
      <c r="U19" s="195">
        <f t="shared" si="14"/>
        <v>151.44154583566629</v>
      </c>
      <c r="V19" s="197"/>
      <c r="X19" s="195">
        <f>$G$19+($G$19*$AA$5)</f>
        <v>108.22200000000001</v>
      </c>
      <c r="Y19" s="195">
        <f>X$19+(X$19*$AA$5)</f>
        <v>113.63310000000001</v>
      </c>
      <c r="Z19" s="195">
        <f t="shared" ref="Z19:AB19" si="15">Y$19+(Y$19*$AA$5)</f>
        <v>119.31475500000002</v>
      </c>
      <c r="AA19" s="195">
        <f t="shared" si="15"/>
        <v>125.28049275000002</v>
      </c>
      <c r="AB19" s="195">
        <f t="shared" si="15"/>
        <v>131.54451738750004</v>
      </c>
    </row>
    <row r="20" spans="2:28" x14ac:dyDescent="0.3">
      <c r="D20" s="49"/>
      <c r="E20" s="49"/>
      <c r="F20" s="49"/>
      <c r="G20" s="49"/>
      <c r="H20" s="197"/>
      <c r="O20" s="197"/>
      <c r="V20" s="197"/>
    </row>
    <row r="21" spans="2:28" x14ac:dyDescent="0.3">
      <c r="B21" s="360" t="s">
        <v>2528</v>
      </c>
      <c r="C21" s="295">
        <v>2988</v>
      </c>
      <c r="D21" s="295">
        <v>3648</v>
      </c>
      <c r="E21" s="295">
        <v>4878</v>
      </c>
      <c r="F21" s="295">
        <v>2099</v>
      </c>
      <c r="G21" s="295">
        <v>2766</v>
      </c>
      <c r="H21" s="197"/>
      <c r="J21" s="295">
        <f>(J$13-J$11)-(J$25+J$29+J$33+J$37+J$41+J$45+J$49+J$53)</f>
        <v>5394.0121828571419</v>
      </c>
      <c r="K21" s="295">
        <f t="shared" ref="K21:N21" si="16">(K$13-K$11)-(K$25+K$29+K$33+K$37+K$41+K$45+K$49+K$53)</f>
        <v>6118.8893229714295</v>
      </c>
      <c r="L21" s="295">
        <f t="shared" si="16"/>
        <v>6923.5029484982942</v>
      </c>
      <c r="M21" s="295">
        <f t="shared" si="16"/>
        <v>7816.6240728331022</v>
      </c>
      <c r="N21" s="295">
        <f t="shared" si="16"/>
        <v>8807.9885208447504</v>
      </c>
      <c r="O21" s="197"/>
      <c r="Q21" s="295">
        <f t="shared" ref="Q21:U21" si="17">(Q$13-Q$11)-(Q$25+Q$29+Q$33+Q$37+Q$41+Q$45+Q$49+Q$53)</f>
        <v>5428.8671999999942</v>
      </c>
      <c r="R21" s="295">
        <f t="shared" si="17"/>
        <v>5927.554176000006</v>
      </c>
      <c r="S21" s="295">
        <f t="shared" si="17"/>
        <v>6466.1361100799995</v>
      </c>
      <c r="T21" s="295">
        <f t="shared" si="17"/>
        <v>7047.8045988864042</v>
      </c>
      <c r="U21" s="295">
        <f t="shared" si="17"/>
        <v>7676.0065667973113</v>
      </c>
      <c r="V21" s="197"/>
      <c r="X21" s="295">
        <f t="shared" ref="X21:AB21" si="18">(X$13-X$11)-(X$25+X$29+X$33+X$37+X$41+X$45+X$49+X$53)</f>
        <v>5385.9268000000066</v>
      </c>
      <c r="Y21" s="295">
        <f t="shared" si="18"/>
        <v>5680.2906399999974</v>
      </c>
      <c r="Z21" s="295">
        <f t="shared" si="18"/>
        <v>5989.3726720000031</v>
      </c>
      <c r="AA21" s="295">
        <f t="shared" si="18"/>
        <v>6313.9088055999946</v>
      </c>
      <c r="AB21" s="295">
        <f t="shared" si="18"/>
        <v>6654.6717458800031</v>
      </c>
    </row>
    <row r="22" spans="2:28" ht="7.05" customHeight="1" x14ac:dyDescent="0.3">
      <c r="B22" s="361"/>
      <c r="C22" s="193"/>
      <c r="D22" s="193"/>
      <c r="E22" s="193"/>
      <c r="F22" s="193"/>
      <c r="G22" s="193"/>
      <c r="H22" s="197"/>
      <c r="J22" s="309"/>
      <c r="K22" s="193"/>
      <c r="L22" s="193"/>
      <c r="M22" s="193"/>
      <c r="N22" s="193"/>
      <c r="O22" s="197"/>
      <c r="Q22" s="309"/>
      <c r="R22" s="193"/>
      <c r="S22" s="193"/>
      <c r="T22" s="193"/>
      <c r="U22" s="193"/>
      <c r="V22" s="197"/>
      <c r="X22" s="309"/>
      <c r="Y22" s="193"/>
      <c r="Z22" s="193"/>
      <c r="AA22" s="193"/>
      <c r="AB22" s="193"/>
    </row>
    <row r="23" spans="2:28" x14ac:dyDescent="0.3">
      <c r="B23" s="350" t="s">
        <v>2532</v>
      </c>
      <c r="C23" s="296">
        <f>C$21/'INCOME STATEMENT'!C$11</f>
        <v>6.6808272778088318E-2</v>
      </c>
      <c r="D23" s="296">
        <f>D$21/'INCOME STATEMENT'!D$11</f>
        <v>6.9355154858007292E-2</v>
      </c>
      <c r="E23" s="296">
        <f>E$21/'INCOME STATEMENT'!E$11</f>
        <v>7.7134749251976359E-2</v>
      </c>
      <c r="F23" s="296">
        <f>F$21/'INCOME STATEMENT'!F$11</f>
        <v>2.960173746262763E-2</v>
      </c>
      <c r="G23" s="296">
        <f>G$21/'INCOME STATEMENT'!G$11</f>
        <v>3.6416299124481598E-2</v>
      </c>
      <c r="H23" s="197"/>
      <c r="J23" s="296">
        <f>J$21/J$13</f>
        <v>6.0632634065279696E-2</v>
      </c>
      <c r="K23" s="296">
        <f t="shared" ref="K23:N23" si="19">K$21/K$13</f>
        <v>6.1964668660745827E-2</v>
      </c>
      <c r="L23" s="296">
        <f t="shared" si="19"/>
        <v>6.3164699827832474E-2</v>
      </c>
      <c r="M23" s="296">
        <f t="shared" si="19"/>
        <v>6.4245808987369896E-2</v>
      </c>
      <c r="N23" s="296">
        <f t="shared" si="19"/>
        <v>6.5219781203169458E-2</v>
      </c>
      <c r="O23" s="197"/>
      <c r="Q23" s="296">
        <f>Q$21/Q$13</f>
        <v>6.4511540178841267E-2</v>
      </c>
      <c r="R23" s="296">
        <f t="shared" ref="R23:U23" si="20">R$21/R$13</f>
        <v>6.5219876022932721E-2</v>
      </c>
      <c r="S23" s="296">
        <f t="shared" si="20"/>
        <v>6.587574254523941E-2</v>
      </c>
      <c r="T23" s="296">
        <f t="shared" si="20"/>
        <v>6.6483026362190167E-2</v>
      </c>
      <c r="U23" s="296">
        <f t="shared" si="20"/>
        <v>6.7045326192700053E-2</v>
      </c>
      <c r="V23" s="197"/>
      <c r="X23" s="296">
        <f>X$21/X$13</f>
        <v>6.7766057940530533E-2</v>
      </c>
      <c r="Y23" s="296">
        <f t="shared" ref="Y23:AB23" si="21">Y$21/Y$13</f>
        <v>6.8066439661175357E-2</v>
      </c>
      <c r="Z23" s="296">
        <f t="shared" si="21"/>
        <v>6.8352517490361059E-2</v>
      </c>
      <c r="AA23" s="296">
        <f t="shared" si="21"/>
        <v>6.8624972565775891E-2</v>
      </c>
      <c r="AB23" s="296">
        <f t="shared" si="21"/>
        <v>6.8884453589980632E-2</v>
      </c>
    </row>
    <row r="24" spans="2:28" ht="14.4" customHeight="1" x14ac:dyDescent="0.3">
      <c r="B24" s="194"/>
      <c r="H24" s="197"/>
      <c r="O24" s="197"/>
      <c r="V24" s="197"/>
    </row>
    <row r="25" spans="2:28" x14ac:dyDescent="0.3">
      <c r="B25" s="357" t="s">
        <v>2533</v>
      </c>
      <c r="C25" s="282">
        <v>0.33</v>
      </c>
      <c r="D25" s="282">
        <v>1.38</v>
      </c>
      <c r="E25" s="282">
        <v>1.04</v>
      </c>
      <c r="F25" s="282">
        <v>4.29</v>
      </c>
      <c r="G25" s="195">
        <v>19</v>
      </c>
      <c r="H25" s="197"/>
      <c r="J25" s="290">
        <v>4.29</v>
      </c>
      <c r="K25" s="282">
        <f>$J$25</f>
        <v>4.29</v>
      </c>
      <c r="L25" s="282">
        <f t="shared" ref="L25:N25" si="22">$J$25</f>
        <v>4.29</v>
      </c>
      <c r="M25" s="282">
        <f t="shared" si="22"/>
        <v>4.29</v>
      </c>
      <c r="N25" s="282">
        <f t="shared" si="22"/>
        <v>4.29</v>
      </c>
      <c r="O25" s="197"/>
      <c r="Q25" s="290">
        <v>1.46</v>
      </c>
      <c r="R25" s="282">
        <f>$Q$25</f>
        <v>1.46</v>
      </c>
      <c r="S25" s="282">
        <f t="shared" ref="S25:U25" si="23">$Q$25</f>
        <v>1.46</v>
      </c>
      <c r="T25" s="282">
        <f t="shared" si="23"/>
        <v>1.46</v>
      </c>
      <c r="U25" s="282">
        <f t="shared" si="23"/>
        <v>1.46</v>
      </c>
      <c r="V25" s="197"/>
      <c r="X25" s="290">
        <v>0.24</v>
      </c>
      <c r="Y25" s="282">
        <f>$X$25</f>
        <v>0.24</v>
      </c>
      <c r="Z25" s="282">
        <f t="shared" ref="Z25:AB25" si="24">$X$25</f>
        <v>0.24</v>
      </c>
      <c r="AA25" s="282">
        <f t="shared" si="24"/>
        <v>0.24</v>
      </c>
      <c r="AB25" s="282">
        <f t="shared" si="24"/>
        <v>0.24</v>
      </c>
    </row>
    <row r="26" spans="2:28" ht="7.05" customHeight="1" x14ac:dyDescent="0.3">
      <c r="H26" s="197"/>
      <c r="O26" s="197"/>
      <c r="V26" s="197"/>
    </row>
    <row r="27" spans="2:28" x14ac:dyDescent="0.3">
      <c r="B27" s="199" t="s">
        <v>2534</v>
      </c>
      <c r="H27" s="197"/>
      <c r="O27" s="197"/>
      <c r="V27" s="197"/>
    </row>
    <row r="28" spans="2:28" ht="7.05" customHeight="1" x14ac:dyDescent="0.3">
      <c r="H28" s="197"/>
      <c r="O28" s="197"/>
      <c r="V28" s="197"/>
    </row>
    <row r="29" spans="2:28" x14ac:dyDescent="0.3">
      <c r="B29" s="360" t="s">
        <v>2536</v>
      </c>
      <c r="C29" s="295">
        <v>72</v>
      </c>
      <c r="D29" s="295">
        <v>122</v>
      </c>
      <c r="E29" s="295">
        <v>144</v>
      </c>
      <c r="F29" s="295">
        <v>130</v>
      </c>
      <c r="G29" s="295">
        <v>117</v>
      </c>
      <c r="H29" s="197"/>
      <c r="J29" s="306">
        <v>136</v>
      </c>
      <c r="K29" s="295">
        <f>$J$29</f>
        <v>136</v>
      </c>
      <c r="L29" s="295">
        <f t="shared" ref="L29:N29" si="25">$J$29</f>
        <v>136</v>
      </c>
      <c r="M29" s="295">
        <f t="shared" si="25"/>
        <v>136</v>
      </c>
      <c r="N29" s="295">
        <f t="shared" si="25"/>
        <v>136</v>
      </c>
      <c r="O29" s="197"/>
      <c r="Q29" s="306">
        <v>99</v>
      </c>
      <c r="R29" s="295">
        <f>$Q$29</f>
        <v>99</v>
      </c>
      <c r="S29" s="295">
        <f t="shared" ref="S29:U29" si="26">$Q$29</f>
        <v>99</v>
      </c>
      <c r="T29" s="295">
        <f t="shared" si="26"/>
        <v>99</v>
      </c>
      <c r="U29" s="295">
        <f t="shared" si="26"/>
        <v>99</v>
      </c>
      <c r="V29" s="197"/>
      <c r="X29" s="306">
        <v>59</v>
      </c>
      <c r="Y29" s="295">
        <f>$X$29</f>
        <v>59</v>
      </c>
      <c r="Z29" s="295">
        <f t="shared" ref="Z29:AB29" si="27">$X$29</f>
        <v>59</v>
      </c>
      <c r="AA29" s="295">
        <f t="shared" si="27"/>
        <v>59</v>
      </c>
      <c r="AB29" s="295">
        <f t="shared" si="27"/>
        <v>59</v>
      </c>
    </row>
    <row r="30" spans="2:28" ht="7.05" customHeight="1" x14ac:dyDescent="0.3">
      <c r="B30" s="194"/>
      <c r="H30" s="197"/>
      <c r="O30" s="197"/>
      <c r="V30" s="197"/>
    </row>
    <row r="31" spans="2:28" x14ac:dyDescent="0.3">
      <c r="B31" s="350" t="s">
        <v>2532</v>
      </c>
      <c r="C31" s="296">
        <f>C$29/'INCOME STATEMENT'!C$11</f>
        <v>1.6098378982671883E-3</v>
      </c>
      <c r="D31" s="296">
        <f>D$29/'INCOME STATEMENT'!D$11</f>
        <v>2.319443227159235E-3</v>
      </c>
      <c r="E31" s="296">
        <f>E$29/'INCOME STATEMENT'!E$11</f>
        <v>2.2770405683240251E-3</v>
      </c>
      <c r="F31" s="296">
        <f>F$29/'INCOME STATEMENT'!F$11</f>
        <v>1.8333615388954703E-3</v>
      </c>
      <c r="G31" s="296">
        <f>G$29/'INCOME STATEMENT'!G$11</f>
        <v>1.5403857547231913E-3</v>
      </c>
      <c r="H31" s="307"/>
      <c r="I31" s="308"/>
      <c r="J31" s="296">
        <f>J$29/J$13</f>
        <v>1.5287392674204555E-3</v>
      </c>
      <c r="K31" s="296">
        <f t="shared" ref="K31:N31" si="28">K$29/K$13</f>
        <v>1.3772425832616717E-3</v>
      </c>
      <c r="L31" s="296">
        <f t="shared" si="28"/>
        <v>1.2407590840195239E-3</v>
      </c>
      <c r="M31" s="296">
        <f t="shared" si="28"/>
        <v>1.1178009765941657E-3</v>
      </c>
      <c r="N31" s="296">
        <f t="shared" si="28"/>
        <v>1.0070279068415907E-3</v>
      </c>
      <c r="O31" s="307"/>
      <c r="P31" s="308"/>
      <c r="Q31" s="296">
        <f t="shared" ref="Q31:U31" si="29">Q$29/Q$13</f>
        <v>1.1764226757481364E-3</v>
      </c>
      <c r="R31" s="296">
        <f t="shared" si="29"/>
        <v>1.0892802553223483E-3</v>
      </c>
      <c r="S31" s="296">
        <f t="shared" si="29"/>
        <v>1.0085928290021744E-3</v>
      </c>
      <c r="T31" s="296">
        <f t="shared" si="29"/>
        <v>9.3388224907608737E-4</v>
      </c>
      <c r="U31" s="296">
        <f t="shared" si="29"/>
        <v>8.6470578618156257E-4</v>
      </c>
      <c r="V31" s="307"/>
      <c r="W31" s="308"/>
      <c r="X31" s="296">
        <f t="shared" ref="X31:AB31" si="30">X$29/X$13</f>
        <v>7.4234158148812868E-4</v>
      </c>
      <c r="Y31" s="296">
        <f t="shared" si="30"/>
        <v>7.0699198236964648E-4</v>
      </c>
      <c r="Z31" s="296">
        <f t="shared" si="30"/>
        <v>6.7332569749490125E-4</v>
      </c>
      <c r="AA31" s="296">
        <f t="shared" si="30"/>
        <v>6.412625690427633E-4</v>
      </c>
      <c r="AB31" s="296">
        <f t="shared" si="30"/>
        <v>6.1072625623120294E-4</v>
      </c>
    </row>
    <row r="32" spans="2:28" x14ac:dyDescent="0.3">
      <c r="B32" s="194"/>
      <c r="H32" s="197"/>
      <c r="O32" s="197"/>
      <c r="V32" s="197"/>
    </row>
    <row r="33" spans="2:28" x14ac:dyDescent="0.3">
      <c r="B33" s="360" t="s">
        <v>2537</v>
      </c>
      <c r="C33" s="297">
        <v>0.16</v>
      </c>
      <c r="D33" s="297">
        <v>0.23</v>
      </c>
      <c r="E33" s="297">
        <v>0.49</v>
      </c>
      <c r="F33" s="297">
        <v>0.11</v>
      </c>
      <c r="G33" s="297">
        <v>0.44</v>
      </c>
      <c r="H33" s="197"/>
      <c r="J33" s="167">
        <v>0.49</v>
      </c>
      <c r="K33" s="297">
        <f>$J$33</f>
        <v>0.49</v>
      </c>
      <c r="L33" s="297">
        <f t="shared" ref="L33:N33" si="31">$J$33</f>
        <v>0.49</v>
      </c>
      <c r="M33" s="297">
        <f t="shared" si="31"/>
        <v>0.49</v>
      </c>
      <c r="N33" s="297">
        <f t="shared" si="31"/>
        <v>0.49</v>
      </c>
      <c r="O33" s="197"/>
      <c r="Q33" s="167">
        <v>0.26</v>
      </c>
      <c r="R33" s="297">
        <f>$Q$33</f>
        <v>0.26</v>
      </c>
      <c r="S33" s="297">
        <f t="shared" ref="S33:U33" si="32">$Q$33</f>
        <v>0.26</v>
      </c>
      <c r="T33" s="297">
        <f t="shared" si="32"/>
        <v>0.26</v>
      </c>
      <c r="U33" s="297">
        <f t="shared" si="32"/>
        <v>0.26</v>
      </c>
      <c r="V33" s="197"/>
      <c r="X33" s="167">
        <v>0.11</v>
      </c>
      <c r="Y33" s="297">
        <f>$X$33</f>
        <v>0.11</v>
      </c>
      <c r="Z33" s="297">
        <f t="shared" ref="Z33:AB33" si="33">$X$33</f>
        <v>0.11</v>
      </c>
      <c r="AA33" s="297">
        <f t="shared" si="33"/>
        <v>0.11</v>
      </c>
      <c r="AB33" s="297">
        <f t="shared" si="33"/>
        <v>0.11</v>
      </c>
    </row>
    <row r="34" spans="2:28" ht="7.05" customHeight="1" x14ac:dyDescent="0.3">
      <c r="B34" s="194"/>
      <c r="H34" s="197"/>
      <c r="O34" s="197"/>
      <c r="V34" s="197"/>
    </row>
    <row r="35" spans="2:28" x14ac:dyDescent="0.3">
      <c r="B35" s="350" t="s">
        <v>2532</v>
      </c>
      <c r="C35" s="430">
        <f>C$33/'INCOME STATEMENT'!C$11</f>
        <v>3.5774175517048632E-6</v>
      </c>
      <c r="D35" s="298">
        <f>D$33/'INCOME STATEMENT'!D$11</f>
        <v>4.3727208380870827E-6</v>
      </c>
      <c r="E35" s="298">
        <f>E$33/'INCOME STATEMENT'!E$11</f>
        <v>7.7482630449914751E-6</v>
      </c>
      <c r="F35" s="298">
        <f>F$33/'INCOME STATEMENT'!F$11</f>
        <v>1.5513059175269363E-6</v>
      </c>
      <c r="G35" s="298">
        <f>G$33/'INCOME STATEMENT'!G$11</f>
        <v>5.7929036929761041E-6</v>
      </c>
      <c r="H35" s="307"/>
      <c r="I35" s="308"/>
      <c r="J35" s="298">
        <f>J$33/J$13</f>
        <v>5.5079576546766408E-6</v>
      </c>
      <c r="K35" s="298">
        <f t="shared" ref="K35:N35" si="34">K$33/K$13</f>
        <v>4.9621240132221997E-6</v>
      </c>
      <c r="L35" s="298">
        <f t="shared" si="34"/>
        <v>4.4703819938938728E-6</v>
      </c>
      <c r="M35" s="298">
        <f t="shared" si="34"/>
        <v>4.0273711656701556E-6</v>
      </c>
      <c r="N35" s="298">
        <f t="shared" si="34"/>
        <v>3.6282623114145543E-6</v>
      </c>
      <c r="O35" s="307"/>
      <c r="P35" s="308"/>
      <c r="Q35" s="298">
        <f t="shared" ref="Q35:U35" si="35">Q$33/Q$13</f>
        <v>3.0895949060052067E-6</v>
      </c>
      <c r="R35" s="298">
        <f t="shared" si="35"/>
        <v>2.8607360240788946E-6</v>
      </c>
      <c r="S35" s="298">
        <f t="shared" si="35"/>
        <v>2.6488296519249024E-6</v>
      </c>
      <c r="T35" s="298">
        <f t="shared" si="35"/>
        <v>2.4526200480786135E-6</v>
      </c>
      <c r="U35" s="298">
        <f t="shared" si="35"/>
        <v>2.2709444889616794E-6</v>
      </c>
      <c r="V35" s="307"/>
      <c r="W35" s="308"/>
      <c r="X35" s="298">
        <f t="shared" ref="X35:AB35" si="36">X$33/X$13</f>
        <v>1.3840266773507484E-6</v>
      </c>
      <c r="Y35" s="298">
        <f t="shared" si="36"/>
        <v>1.3181206450959512E-6</v>
      </c>
      <c r="Z35" s="298">
        <f t="shared" si="36"/>
        <v>1.2553529953294769E-6</v>
      </c>
      <c r="AA35" s="298">
        <f t="shared" si="36"/>
        <v>1.1955742812661687E-6</v>
      </c>
      <c r="AB35" s="298">
        <f t="shared" si="36"/>
        <v>1.1386421726344462E-6</v>
      </c>
    </row>
    <row r="36" spans="2:28" x14ac:dyDescent="0.3">
      <c r="B36" s="194"/>
      <c r="H36" s="197"/>
      <c r="O36" s="197"/>
      <c r="V36" s="197"/>
    </row>
    <row r="37" spans="2:28" x14ac:dyDescent="0.3">
      <c r="B37" s="360" t="s">
        <v>2542</v>
      </c>
      <c r="C37" s="295">
        <v>23</v>
      </c>
      <c r="D37" s="295">
        <v>27</v>
      </c>
      <c r="E37" s="295">
        <v>32</v>
      </c>
      <c r="F37" s="295">
        <v>57</v>
      </c>
      <c r="G37" s="295">
        <v>40</v>
      </c>
      <c r="H37" s="197"/>
      <c r="J37" s="306">
        <v>57</v>
      </c>
      <c r="K37" s="295">
        <f>$J$37</f>
        <v>57</v>
      </c>
      <c r="L37" s="295">
        <f t="shared" ref="L37:N37" si="37">$J$37</f>
        <v>57</v>
      </c>
      <c r="M37" s="295">
        <f t="shared" si="37"/>
        <v>57</v>
      </c>
      <c r="N37" s="295">
        <f t="shared" si="37"/>
        <v>57</v>
      </c>
      <c r="O37" s="197"/>
      <c r="Q37" s="306">
        <v>32</v>
      </c>
      <c r="R37" s="295">
        <f>$Q$37</f>
        <v>32</v>
      </c>
      <c r="S37" s="295">
        <f t="shared" ref="S37:U37" si="38">$Q$37</f>
        <v>32</v>
      </c>
      <c r="T37" s="295">
        <f t="shared" si="38"/>
        <v>32</v>
      </c>
      <c r="U37" s="295">
        <f t="shared" si="38"/>
        <v>32</v>
      </c>
      <c r="V37" s="197"/>
      <c r="X37" s="306">
        <v>22</v>
      </c>
      <c r="Y37" s="295">
        <f>$X$37</f>
        <v>22</v>
      </c>
      <c r="Z37" s="295">
        <f t="shared" ref="Z37:AB37" si="39">$X$37</f>
        <v>22</v>
      </c>
      <c r="AA37" s="295">
        <f t="shared" si="39"/>
        <v>22</v>
      </c>
      <c r="AB37" s="295">
        <f t="shared" si="39"/>
        <v>22</v>
      </c>
    </row>
    <row r="38" spans="2:28" ht="7.05" customHeight="1" x14ac:dyDescent="0.3">
      <c r="B38" s="194"/>
      <c r="H38" s="197"/>
      <c r="O38" s="197"/>
      <c r="V38" s="197"/>
    </row>
    <row r="39" spans="2:28" x14ac:dyDescent="0.3">
      <c r="B39" s="350" t="s">
        <v>2532</v>
      </c>
      <c r="C39" s="296">
        <f>C$37/'INCOME STATEMENT'!C$11</f>
        <v>5.1425377305757412E-4</v>
      </c>
      <c r="D39" s="296">
        <f>D$37/'INCOME STATEMENT'!D$11</f>
        <v>5.1331940273196186E-4</v>
      </c>
      <c r="E39" s="296">
        <f>E$37/'INCOME STATEMENT'!E$11</f>
        <v>5.0600901518311678E-4</v>
      </c>
      <c r="F39" s="296">
        <f>F$37/'INCOME STATEMENT'!F$11</f>
        <v>8.0385852090032153E-4</v>
      </c>
      <c r="G39" s="296">
        <f>G$37/'INCOME STATEMENT'!G$11</f>
        <v>5.2662760845237312E-4</v>
      </c>
      <c r="H39" s="307"/>
      <c r="I39" s="308"/>
      <c r="J39" s="296">
        <f>J$37/J$13</f>
        <v>6.407216047276909E-4</v>
      </c>
      <c r="K39" s="296">
        <f t="shared" ref="K39:N39" si="40">K$37/K$13</f>
        <v>5.7722667092584767E-4</v>
      </c>
      <c r="L39" s="296">
        <f t="shared" si="40"/>
        <v>5.2002402786112401E-4</v>
      </c>
      <c r="M39" s="296">
        <f t="shared" si="40"/>
        <v>4.6849011519020179E-4</v>
      </c>
      <c r="N39" s="296">
        <f t="shared" si="40"/>
        <v>4.2206316683801961E-4</v>
      </c>
      <c r="O39" s="307"/>
      <c r="P39" s="308"/>
      <c r="Q39" s="296">
        <f t="shared" ref="Q39:U39" si="41">Q$37/Q$13</f>
        <v>3.8025783458525616E-4</v>
      </c>
      <c r="R39" s="296">
        <f t="shared" si="41"/>
        <v>3.520905875789409E-4</v>
      </c>
      <c r="S39" s="296">
        <f t="shared" si="41"/>
        <v>3.2600980331383417E-4</v>
      </c>
      <c r="T39" s="296">
        <f t="shared" si="41"/>
        <v>3.0186092899429088E-4</v>
      </c>
      <c r="U39" s="296">
        <f t="shared" si="41"/>
        <v>2.7950086017989901E-4</v>
      </c>
      <c r="V39" s="307"/>
      <c r="W39" s="308"/>
      <c r="X39" s="296">
        <f t="shared" ref="X39:AB39" si="42">X$37/X$13</f>
        <v>2.7680533547014968E-4</v>
      </c>
      <c r="Y39" s="296">
        <f t="shared" si="42"/>
        <v>2.6362412901919025E-4</v>
      </c>
      <c r="Z39" s="296">
        <f t="shared" si="42"/>
        <v>2.5107059906589541E-4</v>
      </c>
      <c r="AA39" s="296">
        <f t="shared" si="42"/>
        <v>2.3911485625323375E-4</v>
      </c>
      <c r="AB39" s="296">
        <f t="shared" si="42"/>
        <v>2.2772843452688923E-4</v>
      </c>
    </row>
    <row r="40" spans="2:28" x14ac:dyDescent="0.3">
      <c r="B40" s="194"/>
      <c r="H40" s="197"/>
      <c r="O40" s="197"/>
      <c r="V40" s="197"/>
    </row>
    <row r="41" spans="2:28" x14ac:dyDescent="0.3">
      <c r="B41" s="360" t="s">
        <v>2541</v>
      </c>
      <c r="C41" s="295">
        <v>50</v>
      </c>
      <c r="D41" s="295">
        <v>59</v>
      </c>
      <c r="E41" s="295">
        <v>68</v>
      </c>
      <c r="F41" s="295">
        <v>36</v>
      </c>
      <c r="G41" s="295">
        <v>7</v>
      </c>
      <c r="H41" s="197"/>
      <c r="J41" s="306">
        <v>63</v>
      </c>
      <c r="K41" s="295">
        <f>$J$41</f>
        <v>63</v>
      </c>
      <c r="L41" s="295">
        <f t="shared" ref="L41:N41" si="43">$J$41</f>
        <v>63</v>
      </c>
      <c r="M41" s="295">
        <f t="shared" si="43"/>
        <v>63</v>
      </c>
      <c r="N41" s="295">
        <f t="shared" si="43"/>
        <v>63</v>
      </c>
      <c r="O41" s="197"/>
      <c r="Q41" s="306">
        <v>43</v>
      </c>
      <c r="R41" s="295">
        <f>$Q$41</f>
        <v>43</v>
      </c>
      <c r="S41" s="295">
        <f t="shared" ref="S41:U41" si="44">$Q$41</f>
        <v>43</v>
      </c>
      <c r="T41" s="295">
        <f t="shared" si="44"/>
        <v>43</v>
      </c>
      <c r="U41" s="295">
        <f t="shared" si="44"/>
        <v>43</v>
      </c>
      <c r="V41" s="197"/>
      <c r="X41" s="306">
        <v>30</v>
      </c>
      <c r="Y41" s="295">
        <f>$X$41</f>
        <v>30</v>
      </c>
      <c r="Z41" s="295">
        <f t="shared" ref="Z41:AB41" si="45">$X$41</f>
        <v>30</v>
      </c>
      <c r="AA41" s="295">
        <f t="shared" si="45"/>
        <v>30</v>
      </c>
      <c r="AB41" s="295">
        <f t="shared" si="45"/>
        <v>30</v>
      </c>
    </row>
    <row r="42" spans="2:28" ht="7.05" customHeight="1" x14ac:dyDescent="0.3">
      <c r="B42" s="194"/>
      <c r="H42" s="197"/>
      <c r="O42" s="197"/>
      <c r="V42" s="197"/>
    </row>
    <row r="43" spans="2:28" x14ac:dyDescent="0.3">
      <c r="B43" s="350" t="s">
        <v>2532</v>
      </c>
      <c r="C43" s="296">
        <f>C$41/'INCOME STATEMENT'!C$11</f>
        <v>1.1179429849077697E-3</v>
      </c>
      <c r="D43" s="296">
        <f>D$41/'INCOME STATEMENT'!D$11</f>
        <v>1.1216979541179908E-3</v>
      </c>
      <c r="E43" s="296">
        <f>E$41/'INCOME STATEMENT'!E$11</f>
        <v>1.075269157264123E-3</v>
      </c>
      <c r="F43" s="296">
        <f>F$41/'INCOME STATEMENT'!F$11</f>
        <v>5.0770011846336101E-4</v>
      </c>
      <c r="G43" s="296">
        <f>G$41/'INCOME STATEMENT'!G$11</f>
        <v>9.2159831479165301E-5</v>
      </c>
      <c r="H43" s="307"/>
      <c r="I43" s="308"/>
      <c r="J43" s="296">
        <f>J$41/J$13</f>
        <v>7.0816598417271096E-4</v>
      </c>
      <c r="K43" s="296">
        <f t="shared" ref="K43:N43" si="46">K$41/K$13</f>
        <v>6.3798737312856853E-4</v>
      </c>
      <c r="L43" s="296">
        <f t="shared" si="46"/>
        <v>5.7476339921492647E-4</v>
      </c>
      <c r="M43" s="296">
        <f t="shared" si="46"/>
        <v>5.1780486415759148E-4</v>
      </c>
      <c r="N43" s="296">
        <f t="shared" si="46"/>
        <v>4.664908686104427E-4</v>
      </c>
      <c r="O43" s="307"/>
      <c r="P43" s="308"/>
      <c r="Q43" s="296">
        <f t="shared" ref="Q43:U43" si="47">Q$41/Q$13</f>
        <v>5.1097146522393797E-4</v>
      </c>
      <c r="R43" s="296">
        <f t="shared" si="47"/>
        <v>4.7312172705920181E-4</v>
      </c>
      <c r="S43" s="296">
        <f t="shared" si="47"/>
        <v>4.3807567320296463E-4</v>
      </c>
      <c r="T43" s="296">
        <f t="shared" si="47"/>
        <v>4.0562562333607834E-4</v>
      </c>
      <c r="U43" s="296">
        <f t="shared" si="47"/>
        <v>3.7557928086673928E-4</v>
      </c>
      <c r="V43" s="307"/>
      <c r="W43" s="308"/>
      <c r="X43" s="296">
        <f t="shared" ref="X43:AB43" si="48">X$41/X$13</f>
        <v>3.7746182109565869E-4</v>
      </c>
      <c r="Y43" s="296">
        <f t="shared" si="48"/>
        <v>3.5948744866253212E-4</v>
      </c>
      <c r="Z43" s="296">
        <f t="shared" si="48"/>
        <v>3.4236899872622099E-4</v>
      </c>
      <c r="AA43" s="296">
        <f t="shared" si="48"/>
        <v>3.2606571307259148E-4</v>
      </c>
      <c r="AB43" s="296">
        <f t="shared" si="48"/>
        <v>3.1053877435484897E-4</v>
      </c>
    </row>
    <row r="44" spans="2:28" x14ac:dyDescent="0.3">
      <c r="B44" s="194"/>
      <c r="H44" s="197"/>
      <c r="O44" s="197"/>
      <c r="V44" s="197"/>
    </row>
    <row r="45" spans="2:28" x14ac:dyDescent="0.3">
      <c r="B45" s="360" t="s">
        <v>2540</v>
      </c>
      <c r="C45" s="295">
        <v>35</v>
      </c>
      <c r="D45" s="295">
        <v>85</v>
      </c>
      <c r="E45" s="295">
        <v>74</v>
      </c>
      <c r="F45" s="295">
        <v>46</v>
      </c>
      <c r="G45" s="295">
        <v>54</v>
      </c>
      <c r="H45" s="197"/>
      <c r="J45" s="306">
        <v>86</v>
      </c>
      <c r="K45" s="295">
        <f>$J$45</f>
        <v>86</v>
      </c>
      <c r="L45" s="295">
        <f t="shared" ref="L45:N45" si="49">$J$45</f>
        <v>86</v>
      </c>
      <c r="M45" s="295">
        <f t="shared" si="49"/>
        <v>86</v>
      </c>
      <c r="N45" s="295">
        <f t="shared" si="49"/>
        <v>86</v>
      </c>
      <c r="O45" s="197"/>
      <c r="Q45" s="306">
        <v>54</v>
      </c>
      <c r="R45" s="295">
        <f>$Q$45</f>
        <v>54</v>
      </c>
      <c r="S45" s="295">
        <f t="shared" ref="S45:U45" si="50">$Q$45</f>
        <v>54</v>
      </c>
      <c r="T45" s="295">
        <f t="shared" si="50"/>
        <v>54</v>
      </c>
      <c r="U45" s="295">
        <f t="shared" si="50"/>
        <v>54</v>
      </c>
      <c r="V45" s="197"/>
      <c r="X45" s="306">
        <v>28</v>
      </c>
      <c r="Y45" s="295">
        <f>$X$45</f>
        <v>28</v>
      </c>
      <c r="Z45" s="295">
        <f t="shared" ref="Z45:AB45" si="51">$X$45</f>
        <v>28</v>
      </c>
      <c r="AA45" s="295">
        <f t="shared" si="51"/>
        <v>28</v>
      </c>
      <c r="AB45" s="295">
        <f t="shared" si="51"/>
        <v>28</v>
      </c>
    </row>
    <row r="46" spans="2:28" ht="7.05" customHeight="1" x14ac:dyDescent="0.3">
      <c r="B46" s="194"/>
      <c r="H46" s="197"/>
      <c r="O46" s="197"/>
      <c r="V46" s="197"/>
    </row>
    <row r="47" spans="2:28" x14ac:dyDescent="0.3">
      <c r="B47" s="350" t="s">
        <v>2532</v>
      </c>
      <c r="C47" s="296">
        <f>C$45/'INCOME STATEMENT'!C$11</f>
        <v>7.8256008943543883E-4</v>
      </c>
      <c r="D47" s="296">
        <f>D$45/'INCOME STATEMENT'!D$11</f>
        <v>1.6160055271191394E-3</v>
      </c>
      <c r="E47" s="296">
        <f>E$45/'INCOME STATEMENT'!E$11</f>
        <v>1.1701458476109574E-3</v>
      </c>
      <c r="F47" s="296">
        <f>F$45/'INCOME STATEMENT'!F$11</f>
        <v>6.4872792914762796E-4</v>
      </c>
      <c r="G47" s="296">
        <f>G$45/'INCOME STATEMENT'!G$11</f>
        <v>7.1094727141070367E-4</v>
      </c>
      <c r="H47" s="307"/>
      <c r="I47" s="308"/>
      <c r="J47" s="296">
        <f>J$45/J$13</f>
        <v>9.66702772045288E-4</v>
      </c>
      <c r="K47" s="296">
        <f t="shared" ref="K47:N47" si="52">K$45/K$13</f>
        <v>8.7090339823899822E-4</v>
      </c>
      <c r="L47" s="296">
        <f t="shared" si="52"/>
        <v>7.8459765607116945E-4</v>
      </c>
      <c r="M47" s="296">
        <f t="shared" si="52"/>
        <v>7.0684473519925183E-4</v>
      </c>
      <c r="N47" s="296">
        <f t="shared" si="52"/>
        <v>6.3679705873806469E-4</v>
      </c>
      <c r="O47" s="307"/>
      <c r="P47" s="308"/>
      <c r="Q47" s="296">
        <f t="shared" ref="Q47:U47" si="53">Q$45/Q$13</f>
        <v>6.4168509586261984E-4</v>
      </c>
      <c r="R47" s="296">
        <f t="shared" si="53"/>
        <v>5.9415286653946272E-4</v>
      </c>
      <c r="S47" s="296">
        <f t="shared" si="53"/>
        <v>5.5014154309209514E-4</v>
      </c>
      <c r="T47" s="296">
        <f t="shared" si="53"/>
        <v>5.0939031767786587E-4</v>
      </c>
      <c r="U47" s="296">
        <f t="shared" si="53"/>
        <v>4.7165770155357955E-4</v>
      </c>
      <c r="V47" s="307"/>
      <c r="W47" s="308"/>
      <c r="X47" s="296">
        <f t="shared" ref="X47:AB47" si="54">X$45/X$13</f>
        <v>3.522976996892814E-4</v>
      </c>
      <c r="Y47" s="296">
        <f t="shared" si="54"/>
        <v>3.3552161875169666E-4</v>
      </c>
      <c r="Z47" s="296">
        <f t="shared" si="54"/>
        <v>3.1954439881113961E-4</v>
      </c>
      <c r="AA47" s="296">
        <f t="shared" si="54"/>
        <v>3.0432799886775204E-4</v>
      </c>
      <c r="AB47" s="296">
        <f t="shared" si="54"/>
        <v>2.8983618939785902E-4</v>
      </c>
    </row>
    <row r="48" spans="2:28" x14ac:dyDescent="0.3">
      <c r="B48" s="194"/>
      <c r="H48" s="197"/>
      <c r="O48" s="197"/>
      <c r="V48" s="197"/>
    </row>
    <row r="49" spans="2:28" x14ac:dyDescent="0.3">
      <c r="B49" s="360" t="s">
        <v>2539</v>
      </c>
      <c r="C49" s="295">
        <v>282</v>
      </c>
      <c r="D49" s="295">
        <v>530</v>
      </c>
      <c r="E49" s="295">
        <v>406</v>
      </c>
      <c r="F49" s="295">
        <v>698</v>
      </c>
      <c r="G49" s="295">
        <v>695</v>
      </c>
      <c r="H49" s="197"/>
      <c r="J49" s="306">
        <v>698</v>
      </c>
      <c r="K49" s="295">
        <f>$J$49</f>
        <v>698</v>
      </c>
      <c r="L49" s="295">
        <f t="shared" ref="L49:N49" si="55">$J$49</f>
        <v>698</v>
      </c>
      <c r="M49" s="295">
        <f t="shared" si="55"/>
        <v>698</v>
      </c>
      <c r="N49" s="295">
        <f t="shared" si="55"/>
        <v>698</v>
      </c>
      <c r="O49" s="197"/>
      <c r="Q49" s="306">
        <v>459</v>
      </c>
      <c r="R49" s="295">
        <f>$Q$49</f>
        <v>459</v>
      </c>
      <c r="S49" s="295">
        <f t="shared" ref="S49:U49" si="56">$Q$49</f>
        <v>459</v>
      </c>
      <c r="T49" s="295">
        <f t="shared" si="56"/>
        <v>459</v>
      </c>
      <c r="U49" s="295">
        <f t="shared" si="56"/>
        <v>459</v>
      </c>
      <c r="V49" s="197"/>
      <c r="X49" s="306">
        <v>282</v>
      </c>
      <c r="Y49" s="295">
        <f>$X$49</f>
        <v>282</v>
      </c>
      <c r="Z49" s="295">
        <f t="shared" ref="Z49:AB49" si="57">$X$49</f>
        <v>282</v>
      </c>
      <c r="AA49" s="295">
        <f t="shared" si="57"/>
        <v>282</v>
      </c>
      <c r="AB49" s="295">
        <f t="shared" si="57"/>
        <v>282</v>
      </c>
    </row>
    <row r="50" spans="2:28" ht="7.05" customHeight="1" x14ac:dyDescent="0.3">
      <c r="B50" s="194"/>
      <c r="H50" s="197"/>
      <c r="O50" s="197"/>
      <c r="V50" s="197"/>
    </row>
    <row r="51" spans="2:28" x14ac:dyDescent="0.3">
      <c r="B51" s="350" t="s">
        <v>2532</v>
      </c>
      <c r="C51" s="296">
        <f>C$49/'INCOME STATEMENT'!C$11</f>
        <v>6.3051984348798211E-3</v>
      </c>
      <c r="D51" s="296">
        <f>D$49/'INCOME STATEMENT'!D$11</f>
        <v>1.0076269757331105E-2</v>
      </c>
      <c r="E51" s="296">
        <f>E$49/'INCOME STATEMENT'!E$11</f>
        <v>6.4199893801357936E-3</v>
      </c>
      <c r="F51" s="296">
        <f>F$49/'INCOME STATEMENT'!F$11</f>
        <v>9.8437411857618326E-3</v>
      </c>
      <c r="G51" s="296">
        <f>G$49/'INCOME STATEMENT'!G$11</f>
        <v>9.1501546968599835E-3</v>
      </c>
      <c r="H51" s="307"/>
      <c r="I51" s="308"/>
      <c r="J51" s="296">
        <f>J$49/J$13</f>
        <v>7.846029475437338E-3</v>
      </c>
      <c r="K51" s="296">
        <f t="shared" ref="K51:N51" si="58">K$49/K$13</f>
        <v>7.0684950229165204E-3</v>
      </c>
      <c r="L51" s="296">
        <f t="shared" si="58"/>
        <v>6.3680135341590265E-3</v>
      </c>
      <c r="M51" s="296">
        <f t="shared" si="58"/>
        <v>5.7369491298729976E-3</v>
      </c>
      <c r="N51" s="296">
        <f t="shared" si="58"/>
        <v>5.1684226395252225E-3</v>
      </c>
      <c r="O51" s="307"/>
      <c r="P51" s="308"/>
      <c r="Q51" s="296">
        <f t="shared" ref="Q51:U51" si="59">Q$49/Q$13</f>
        <v>5.4543233148322684E-3</v>
      </c>
      <c r="R51" s="296">
        <f t="shared" si="59"/>
        <v>5.0502993655854329E-3</v>
      </c>
      <c r="S51" s="296">
        <f t="shared" si="59"/>
        <v>4.6762031162828083E-3</v>
      </c>
      <c r="T51" s="296">
        <f t="shared" si="59"/>
        <v>4.3298177002618595E-3</v>
      </c>
      <c r="U51" s="296">
        <f t="shared" si="59"/>
        <v>4.0090904632054261E-3</v>
      </c>
      <c r="V51" s="307"/>
      <c r="W51" s="308"/>
      <c r="X51" s="296">
        <f t="shared" ref="X51:AB51" si="60">X$49/X$13</f>
        <v>3.5481411182991915E-3</v>
      </c>
      <c r="Y51" s="296">
        <f t="shared" si="60"/>
        <v>3.3791820174278019E-3</v>
      </c>
      <c r="Z51" s="296">
        <f t="shared" si="60"/>
        <v>3.2182685880264776E-3</v>
      </c>
      <c r="AA51" s="296">
        <f t="shared" si="60"/>
        <v>3.0650177028823597E-3</v>
      </c>
      <c r="AB51" s="296">
        <f t="shared" si="60"/>
        <v>2.9190644789355803E-3</v>
      </c>
    </row>
    <row r="52" spans="2:28" x14ac:dyDescent="0.3">
      <c r="B52" s="194"/>
      <c r="H52" s="197"/>
      <c r="O52" s="197"/>
      <c r="V52" s="197"/>
    </row>
    <row r="53" spans="2:28" x14ac:dyDescent="0.3">
      <c r="B53" s="360" t="s">
        <v>2538</v>
      </c>
      <c r="C53" s="295">
        <v>23</v>
      </c>
      <c r="D53" s="295">
        <v>64</v>
      </c>
      <c r="E53" s="295">
        <v>175</v>
      </c>
      <c r="F53" s="295">
        <v>127</v>
      </c>
      <c r="G53" s="295">
        <v>125</v>
      </c>
      <c r="H53" s="197"/>
      <c r="J53" s="306">
        <v>151</v>
      </c>
      <c r="K53" s="295">
        <f>$J$53</f>
        <v>151</v>
      </c>
      <c r="L53" s="295">
        <f t="shared" ref="L53:N53" si="61">$J$53</f>
        <v>151</v>
      </c>
      <c r="M53" s="295">
        <f t="shared" si="61"/>
        <v>151</v>
      </c>
      <c r="N53" s="295">
        <f t="shared" si="61"/>
        <v>151</v>
      </c>
      <c r="O53" s="310"/>
      <c r="P53" s="311"/>
      <c r="Q53" s="306">
        <v>116</v>
      </c>
      <c r="R53" s="295">
        <f>$Q$53</f>
        <v>116</v>
      </c>
      <c r="S53" s="295">
        <f t="shared" ref="S53:U53" si="62">$Q$53</f>
        <v>116</v>
      </c>
      <c r="T53" s="295">
        <f t="shared" si="62"/>
        <v>116</v>
      </c>
      <c r="U53" s="295">
        <f t="shared" si="62"/>
        <v>116</v>
      </c>
      <c r="V53" s="310"/>
      <c r="W53" s="311"/>
      <c r="X53" s="306">
        <v>80</v>
      </c>
      <c r="Y53" s="295">
        <f>$X$53</f>
        <v>80</v>
      </c>
      <c r="Z53" s="295">
        <f t="shared" ref="Z53:AB53" si="63">$X$53</f>
        <v>80</v>
      </c>
      <c r="AA53" s="295">
        <f t="shared" si="63"/>
        <v>80</v>
      </c>
      <c r="AB53" s="295">
        <f t="shared" si="63"/>
        <v>80</v>
      </c>
    </row>
    <row r="54" spans="2:28" ht="7.05" customHeight="1" x14ac:dyDescent="0.3">
      <c r="B54" s="194"/>
      <c r="H54" s="197"/>
      <c r="O54" s="197"/>
      <c r="V54" s="197"/>
    </row>
    <row r="55" spans="2:28" x14ac:dyDescent="0.3">
      <c r="B55" s="350" t="s">
        <v>2532</v>
      </c>
      <c r="C55" s="296">
        <f>C$53/'INCOME STATEMENT'!C$11</f>
        <v>5.1425377305757412E-4</v>
      </c>
      <c r="D55" s="296">
        <f>D$53/'INCOME STATEMENT'!D$11</f>
        <v>1.2167571027720577E-3</v>
      </c>
      <c r="E55" s="296">
        <f>E$53/'INCOME STATEMENT'!E$11</f>
        <v>2.7672368017826695E-3</v>
      </c>
      <c r="F55" s="296">
        <f>F$53/'INCOME STATEMENT'!F$11</f>
        <v>1.7910531956901901E-3</v>
      </c>
      <c r="G55" s="296">
        <f>G$53/'INCOME STATEMENT'!G$11</f>
        <v>1.6457112764136661E-3</v>
      </c>
      <c r="H55" s="307"/>
      <c r="I55" s="308"/>
      <c r="J55" s="296">
        <f>J$53/J$13</f>
        <v>1.6973502160330058E-3</v>
      </c>
      <c r="K55" s="296">
        <f t="shared" ref="K55:N55" si="64">K$53/K$13</f>
        <v>1.5291443387684736E-3</v>
      </c>
      <c r="L55" s="296">
        <f t="shared" si="64"/>
        <v>1.3776075124040301E-3</v>
      </c>
      <c r="M55" s="296">
        <f t="shared" si="64"/>
        <v>1.2410878490126398E-3</v>
      </c>
      <c r="N55" s="296">
        <f t="shared" si="64"/>
        <v>1.1180971612726484E-3</v>
      </c>
      <c r="O55" s="307"/>
      <c r="P55" s="308"/>
      <c r="Q55" s="296">
        <f t="shared" ref="Q55:U55" si="65">Q$53/Q$13</f>
        <v>1.3784346503715537E-3</v>
      </c>
      <c r="R55" s="296">
        <f t="shared" si="65"/>
        <v>1.2763283799736608E-3</v>
      </c>
      <c r="S55" s="296">
        <f t="shared" si="65"/>
        <v>1.1817855370126488E-3</v>
      </c>
      <c r="T55" s="296">
        <f t="shared" si="65"/>
        <v>1.0942458676043044E-3</v>
      </c>
      <c r="U55" s="296">
        <f t="shared" si="65"/>
        <v>1.0131906181521338E-3</v>
      </c>
      <c r="V55" s="307"/>
      <c r="W55" s="308"/>
      <c r="X55" s="296">
        <f t="shared" ref="X55:AB55" si="66">X$53/X$13</f>
        <v>1.0065648562550898E-3</v>
      </c>
      <c r="Y55" s="296">
        <f t="shared" si="66"/>
        <v>9.5863319643341898E-4</v>
      </c>
      <c r="Z55" s="296">
        <f t="shared" si="66"/>
        <v>9.12983996603256E-4</v>
      </c>
      <c r="AA55" s="296">
        <f t="shared" si="66"/>
        <v>8.6950856819357732E-4</v>
      </c>
      <c r="AB55" s="296">
        <f t="shared" si="66"/>
        <v>8.2810339827959719E-4</v>
      </c>
    </row>
    <row r="57" spans="2:28" x14ac:dyDescent="0.3">
      <c r="B57" s="189"/>
      <c r="C57" s="189"/>
      <c r="D57" s="189"/>
      <c r="E57" s="189"/>
      <c r="F57" s="189"/>
      <c r="G57" s="189"/>
      <c r="H57" s="189"/>
      <c r="I57" s="189"/>
      <c r="J57" s="293"/>
      <c r="K57" s="293"/>
      <c r="L57" s="293"/>
      <c r="M57" s="293"/>
      <c r="N57" s="189"/>
      <c r="O57" s="189"/>
      <c r="P57" s="189"/>
      <c r="Q57" s="189"/>
      <c r="R57" s="189"/>
      <c r="S57" s="189"/>
      <c r="T57" s="189"/>
      <c r="U57" s="189"/>
      <c r="V57" s="189"/>
      <c r="W57" s="189"/>
      <c r="X57" s="189"/>
      <c r="Y57" s="189"/>
      <c r="Z57" s="189"/>
      <c r="AA57" s="189"/>
      <c r="AB57" s="189"/>
    </row>
    <row r="59" spans="2:28" x14ac:dyDescent="0.3">
      <c r="B59" s="522" t="s">
        <v>2856</v>
      </c>
      <c r="C59" s="522"/>
      <c r="D59" s="522"/>
      <c r="E59" s="522"/>
      <c r="F59" s="522"/>
      <c r="G59" s="522"/>
      <c r="H59" s="522"/>
      <c r="I59" s="522"/>
      <c r="J59" s="522"/>
      <c r="K59" s="522"/>
      <c r="L59" s="522"/>
      <c r="M59" s="522"/>
      <c r="N59" s="522"/>
      <c r="O59" s="522"/>
      <c r="P59" s="522"/>
      <c r="Q59" s="522"/>
      <c r="R59" s="522"/>
      <c r="S59" s="522"/>
      <c r="T59" s="522"/>
      <c r="U59" s="522"/>
      <c r="V59" s="522"/>
      <c r="W59" s="522"/>
      <c r="X59" s="522"/>
      <c r="Y59" s="522"/>
      <c r="Z59" s="522"/>
      <c r="AA59" s="522"/>
      <c r="AB59" s="522"/>
    </row>
  </sheetData>
  <mergeCells count="1">
    <mergeCell ref="B59:AB59"/>
  </mergeCells>
  <printOptions horizontalCentered="1" verticalCentered="1"/>
  <pageMargins left="0" right="0" top="0" bottom="0" header="0" footer="0"/>
  <pageSetup paperSize="9" scale="36" orientation="landscape" horizontalDpi="1200" verticalDpi="1200" r:id="rId1"/>
  <colBreaks count="1" manualBreakCount="1">
    <brk id="28" max="104857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3"/>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190" customWidth="1"/>
    <col min="2" max="2" width="44.77734375" style="190" customWidth="1"/>
    <col min="3" max="7" width="16.77734375" style="190"/>
    <col min="8" max="9" width="2" style="190" customWidth="1"/>
    <col min="10" max="14" width="16.77734375" style="190"/>
    <col min="15" max="16" width="2" style="190" customWidth="1"/>
    <col min="17" max="21" width="16.77734375" style="190"/>
    <col min="22" max="23" width="2" style="190" customWidth="1"/>
    <col min="24" max="16384" width="16.77734375" style="190"/>
  </cols>
  <sheetData>
    <row r="1" spans="2:28" ht="15.6" x14ac:dyDescent="0.4">
      <c r="B1" s="104" t="s">
        <v>342</v>
      </c>
      <c r="C1" s="105"/>
      <c r="D1" s="105"/>
      <c r="E1" s="105"/>
      <c r="F1" s="105"/>
      <c r="G1" s="105"/>
      <c r="H1" s="105"/>
      <c r="I1" s="105"/>
      <c r="J1" s="105"/>
      <c r="K1" s="105"/>
      <c r="L1" s="105"/>
      <c r="M1" s="105"/>
      <c r="N1" s="105"/>
      <c r="O1" s="105"/>
      <c r="P1" s="105"/>
      <c r="Q1" s="105"/>
      <c r="R1" s="105"/>
      <c r="S1" s="105"/>
      <c r="T1" s="105"/>
      <c r="U1" s="105"/>
      <c r="V1" s="105"/>
      <c r="W1" s="105"/>
      <c r="X1" s="105"/>
      <c r="Y1" s="105"/>
      <c r="Z1" s="105"/>
      <c r="AA1" s="105"/>
      <c r="AB1" s="105"/>
    </row>
    <row r="2" spans="2:28" ht="23.4" x14ac:dyDescent="0.45">
      <c r="B2" s="106" t="s">
        <v>341</v>
      </c>
      <c r="C2" s="105"/>
      <c r="D2" s="105"/>
      <c r="E2" s="105"/>
      <c r="F2" s="105"/>
      <c r="G2" s="105"/>
      <c r="H2" s="105"/>
      <c r="I2" s="105"/>
      <c r="J2" s="105"/>
      <c r="K2" s="105"/>
      <c r="L2" s="105"/>
      <c r="M2" s="105"/>
      <c r="N2" s="105"/>
      <c r="O2" s="105"/>
      <c r="P2" s="105"/>
      <c r="Q2" s="105"/>
      <c r="R2" s="105"/>
      <c r="S2" s="105"/>
      <c r="T2" s="105"/>
      <c r="U2" s="105"/>
      <c r="V2" s="105"/>
      <c r="W2" s="105"/>
      <c r="X2" s="105"/>
      <c r="Y2" s="105"/>
      <c r="Z2" s="105"/>
      <c r="AA2" s="105"/>
      <c r="AB2" s="105"/>
    </row>
    <row r="3" spans="2:28" x14ac:dyDescent="0.3">
      <c r="B3" s="105" t="s">
        <v>343</v>
      </c>
      <c r="C3" s="105"/>
      <c r="D3" s="105"/>
      <c r="E3" s="105"/>
      <c r="F3" s="105"/>
      <c r="G3" s="105"/>
      <c r="H3" s="105"/>
      <c r="I3" s="105"/>
      <c r="J3" s="105"/>
      <c r="K3" s="105"/>
      <c r="L3" s="105"/>
      <c r="M3" s="105"/>
      <c r="N3" s="105"/>
      <c r="O3" s="105"/>
      <c r="P3" s="105"/>
      <c r="Q3" s="105"/>
      <c r="R3" s="105"/>
      <c r="S3" s="105"/>
      <c r="T3" s="105"/>
      <c r="U3" s="105"/>
      <c r="V3" s="105"/>
      <c r="W3" s="105"/>
      <c r="X3" s="105"/>
      <c r="Y3" s="105"/>
      <c r="Z3" s="105"/>
      <c r="AA3" s="105"/>
      <c r="AB3" s="105"/>
    </row>
    <row r="4" spans="2:28" x14ac:dyDescent="0.3">
      <c r="B4" s="3"/>
      <c r="C4" s="3"/>
      <c r="D4" s="3"/>
      <c r="E4" s="3"/>
      <c r="F4" s="3"/>
      <c r="G4" s="3"/>
    </row>
    <row r="5" spans="2:28" x14ac:dyDescent="0.3">
      <c r="B5" s="107" t="s">
        <v>2545</v>
      </c>
      <c r="C5" s="107"/>
      <c r="D5" s="107"/>
      <c r="E5" s="105"/>
      <c r="F5" s="107"/>
      <c r="G5" s="107"/>
      <c r="H5" s="197"/>
      <c r="J5" s="107" t="s">
        <v>459</v>
      </c>
      <c r="K5" s="283" t="str">
        <f>'REVENUE SCHEDULE'!$K$5</f>
        <v>(Best Case)</v>
      </c>
      <c r="L5" s="107"/>
      <c r="M5" s="105"/>
      <c r="N5" s="107"/>
      <c r="O5" s="198"/>
      <c r="Q5" s="107" t="s">
        <v>459</v>
      </c>
      <c r="R5" s="283" t="str">
        <f>'REVENUE SCHEDULE'!$R$5</f>
        <v>(Base Case)</v>
      </c>
      <c r="S5" s="107"/>
      <c r="T5" s="105"/>
      <c r="U5" s="107"/>
      <c r="V5" s="197"/>
      <c r="X5" s="107" t="s">
        <v>459</v>
      </c>
      <c r="Y5" s="283" t="str">
        <f>'REVENUE SCHEDULE'!$Y$5</f>
        <v>(Worst Case)</v>
      </c>
      <c r="Z5" s="107"/>
      <c r="AA5" s="105"/>
      <c r="AB5" s="107"/>
    </row>
    <row r="6" spans="2:28" x14ac:dyDescent="0.3">
      <c r="B6" s="3"/>
      <c r="C6" s="3"/>
      <c r="D6" s="3"/>
      <c r="E6" s="3"/>
      <c r="F6" s="3"/>
      <c r="G6" s="3"/>
      <c r="H6" s="197"/>
      <c r="J6" s="3"/>
      <c r="K6" s="3"/>
      <c r="L6" s="3"/>
      <c r="M6" s="3"/>
      <c r="N6" s="3"/>
      <c r="O6" s="78"/>
      <c r="Q6" s="3"/>
      <c r="R6" s="3"/>
      <c r="S6" s="3"/>
      <c r="T6" s="3"/>
      <c r="U6" s="3"/>
      <c r="V6" s="197"/>
      <c r="X6" s="3"/>
      <c r="Y6" s="3"/>
      <c r="Z6" s="3"/>
      <c r="AA6" s="3"/>
      <c r="AB6" s="3"/>
    </row>
    <row r="7" spans="2:28" x14ac:dyDescent="0.3">
      <c r="B7" s="107" t="s">
        <v>1</v>
      </c>
      <c r="C7" s="110">
        <v>44440</v>
      </c>
      <c r="D7" s="110">
        <f>EDATE(C7,12)</f>
        <v>44805</v>
      </c>
      <c r="E7" s="110">
        <f t="shared" ref="E7:G7" si="0">EDATE(D7,12)</f>
        <v>45170</v>
      </c>
      <c r="F7" s="110">
        <f t="shared" si="0"/>
        <v>45536</v>
      </c>
      <c r="G7" s="110">
        <f t="shared" si="0"/>
        <v>45901</v>
      </c>
      <c r="H7" s="197"/>
      <c r="J7" s="279">
        <v>46266</v>
      </c>
      <c r="K7" s="279">
        <f>EDATE(J7,12)</f>
        <v>46631</v>
      </c>
      <c r="L7" s="279">
        <f t="shared" ref="L7:N7" si="1">EDATE(K7,12)</f>
        <v>46997</v>
      </c>
      <c r="M7" s="279">
        <f t="shared" si="1"/>
        <v>47362</v>
      </c>
      <c r="N7" s="279">
        <f t="shared" si="1"/>
        <v>47727</v>
      </c>
      <c r="O7" s="300"/>
      <c r="Q7" s="279">
        <v>46266</v>
      </c>
      <c r="R7" s="279">
        <f>EDATE(Q7,12)</f>
        <v>46631</v>
      </c>
      <c r="S7" s="279">
        <f t="shared" ref="S7:U7" si="2">EDATE(R7,12)</f>
        <v>46997</v>
      </c>
      <c r="T7" s="279">
        <f t="shared" si="2"/>
        <v>47362</v>
      </c>
      <c r="U7" s="279">
        <f t="shared" si="2"/>
        <v>47727</v>
      </c>
      <c r="V7" s="197"/>
      <c r="X7" s="279">
        <v>46266</v>
      </c>
      <c r="Y7" s="279">
        <f>EDATE(X7,12)</f>
        <v>46631</v>
      </c>
      <c r="Z7" s="279">
        <f t="shared" ref="Z7:AB7" si="3">EDATE(Y7,12)</f>
        <v>46997</v>
      </c>
      <c r="AA7" s="279">
        <f t="shared" si="3"/>
        <v>47362</v>
      </c>
      <c r="AB7" s="279">
        <f t="shared" si="3"/>
        <v>47727</v>
      </c>
    </row>
    <row r="8" spans="2:28" ht="7.05" customHeight="1" x14ac:dyDescent="0.3">
      <c r="H8" s="197"/>
      <c r="O8" s="197"/>
      <c r="V8" s="197"/>
    </row>
    <row r="9" spans="2:28" x14ac:dyDescent="0.3">
      <c r="B9" s="199" t="s">
        <v>2546</v>
      </c>
      <c r="H9" s="197"/>
      <c r="O9" s="197"/>
      <c r="V9" s="197"/>
    </row>
    <row r="10" spans="2:28" ht="7.05" customHeight="1" x14ac:dyDescent="0.3">
      <c r="B10" s="199"/>
      <c r="H10" s="197"/>
      <c r="O10" s="197"/>
      <c r="V10" s="197"/>
    </row>
    <row r="11" spans="2:28" x14ac:dyDescent="0.3">
      <c r="B11" s="199" t="s">
        <v>2749</v>
      </c>
      <c r="C11" s="193">
        <f>'INCOME STATEMENT'!C$12</f>
        <v>734</v>
      </c>
      <c r="D11" s="193">
        <f>'INCOME STATEMENT'!D$12</f>
        <v>507.81</v>
      </c>
      <c r="E11" s="193">
        <f>'INCOME STATEMENT'!E$12</f>
        <v>503.08</v>
      </c>
      <c r="F11" s="193">
        <f>'INCOME STATEMENT'!F$12</f>
        <v>617</v>
      </c>
      <c r="G11" s="193">
        <f>'INCOME STATEMENT'!G$12</f>
        <v>744</v>
      </c>
      <c r="H11" s="280"/>
      <c r="I11" s="193"/>
      <c r="J11" s="193">
        <f>J13+J17+J23+J27+J33+J37+J41+J45+J49</f>
        <v>1130.78</v>
      </c>
      <c r="K11" s="193">
        <f>$J$11</f>
        <v>1130.78</v>
      </c>
      <c r="L11" s="193">
        <f t="shared" ref="L11:N11" si="4">$J$11</f>
        <v>1130.78</v>
      </c>
      <c r="M11" s="193">
        <f t="shared" si="4"/>
        <v>1130.78</v>
      </c>
      <c r="N11" s="193">
        <f t="shared" si="4"/>
        <v>1130.78</v>
      </c>
      <c r="O11" s="280"/>
      <c r="P11" s="193"/>
      <c r="Q11" s="193">
        <f>Q13+Q17+Q23+Q27+Q33+Q37+Q41+Q45+Q49</f>
        <v>621.18000000000006</v>
      </c>
      <c r="R11" s="193">
        <f>$Q$11</f>
        <v>621.18000000000006</v>
      </c>
      <c r="S11" s="193">
        <f t="shared" ref="S11:U11" si="5">$Q$11</f>
        <v>621.18000000000006</v>
      </c>
      <c r="T11" s="193">
        <f t="shared" si="5"/>
        <v>621.18000000000006</v>
      </c>
      <c r="U11" s="193">
        <f t="shared" si="5"/>
        <v>621.18000000000006</v>
      </c>
      <c r="V11" s="280"/>
      <c r="W11" s="193"/>
      <c r="X11" s="193">
        <f>X13+X17+X23+X27+X33+X37+X41+X45+X49</f>
        <v>274</v>
      </c>
      <c r="Y11" s="193">
        <f t="shared" ref="Y11:AB11" si="6">Y13+Y17+Y23+Y27+Y33+Y37+Y41+Y45+Y49</f>
        <v>274</v>
      </c>
      <c r="Z11" s="193">
        <f t="shared" si="6"/>
        <v>274</v>
      </c>
      <c r="AA11" s="193">
        <f t="shared" si="6"/>
        <v>274</v>
      </c>
      <c r="AB11" s="193">
        <f t="shared" si="6"/>
        <v>274</v>
      </c>
    </row>
    <row r="12" spans="2:28" ht="7.05" customHeight="1" x14ac:dyDescent="0.3">
      <c r="H12" s="197"/>
      <c r="O12" s="197"/>
      <c r="V12" s="197"/>
    </row>
    <row r="13" spans="2:28" x14ac:dyDescent="0.3">
      <c r="B13" s="325" t="s">
        <v>2547</v>
      </c>
      <c r="C13" s="295">
        <v>20</v>
      </c>
      <c r="D13" s="295">
        <v>18</v>
      </c>
      <c r="E13" s="295">
        <v>17</v>
      </c>
      <c r="F13" s="295">
        <v>0</v>
      </c>
      <c r="G13" s="295">
        <v>0</v>
      </c>
      <c r="H13" s="280"/>
      <c r="I13" s="193"/>
      <c r="J13" s="306">
        <v>20</v>
      </c>
      <c r="K13" s="295">
        <f>$J$13</f>
        <v>20</v>
      </c>
      <c r="L13" s="295">
        <f t="shared" ref="L13:N13" si="7">$J$13</f>
        <v>20</v>
      </c>
      <c r="M13" s="295">
        <f t="shared" si="7"/>
        <v>20</v>
      </c>
      <c r="N13" s="295">
        <f t="shared" si="7"/>
        <v>20</v>
      </c>
      <c r="O13" s="280"/>
      <c r="P13" s="193"/>
      <c r="Q13" s="295">
        <v>11</v>
      </c>
      <c r="R13" s="295">
        <f>$Q$13</f>
        <v>11</v>
      </c>
      <c r="S13" s="295">
        <f t="shared" ref="S13:U13" si="8">$Q$13</f>
        <v>11</v>
      </c>
      <c r="T13" s="295">
        <f t="shared" si="8"/>
        <v>11</v>
      </c>
      <c r="U13" s="295">
        <f t="shared" si="8"/>
        <v>11</v>
      </c>
      <c r="V13" s="280"/>
      <c r="W13" s="193"/>
      <c r="X13" s="306">
        <v>0</v>
      </c>
      <c r="Y13" s="295">
        <f>$X$13</f>
        <v>0</v>
      </c>
      <c r="Z13" s="295">
        <f t="shared" ref="Z13:AB13" si="9">$X$13</f>
        <v>0</v>
      </c>
      <c r="AA13" s="295">
        <f t="shared" si="9"/>
        <v>0</v>
      </c>
      <c r="AB13" s="295">
        <f t="shared" si="9"/>
        <v>0</v>
      </c>
    </row>
    <row r="14" spans="2:28" ht="7.05" customHeight="1" x14ac:dyDescent="0.3">
      <c r="B14" s="194"/>
      <c r="H14" s="197"/>
      <c r="O14" s="197"/>
      <c r="V14" s="197"/>
    </row>
    <row r="15" spans="2:28" x14ac:dyDescent="0.3">
      <c r="B15" s="350" t="s">
        <v>2558</v>
      </c>
      <c r="C15" s="296">
        <f>C$13/C$11</f>
        <v>2.7247956403269755E-2</v>
      </c>
      <c r="D15" s="296">
        <f t="shared" ref="D15:G15" si="10">D$13/D$11</f>
        <v>3.5446328351154958E-2</v>
      </c>
      <c r="E15" s="296">
        <f t="shared" si="10"/>
        <v>3.3791842251729348E-2</v>
      </c>
      <c r="F15" s="296">
        <f t="shared" si="10"/>
        <v>0</v>
      </c>
      <c r="G15" s="296">
        <f t="shared" si="10"/>
        <v>0</v>
      </c>
      <c r="H15" s="307"/>
      <c r="I15" s="308"/>
      <c r="J15" s="296">
        <f>J13/J11</f>
        <v>1.7686906383204515E-2</v>
      </c>
      <c r="K15" s="296">
        <f t="shared" ref="K15:N15" si="11">K13/K11</f>
        <v>1.7686906383204515E-2</v>
      </c>
      <c r="L15" s="296">
        <f t="shared" si="11"/>
        <v>1.7686906383204515E-2</v>
      </c>
      <c r="M15" s="296">
        <f t="shared" si="11"/>
        <v>1.7686906383204515E-2</v>
      </c>
      <c r="N15" s="296">
        <f t="shared" si="11"/>
        <v>1.7686906383204515E-2</v>
      </c>
      <c r="O15" s="307"/>
      <c r="P15" s="308"/>
      <c r="Q15" s="296">
        <f>Q13/Q11</f>
        <v>1.7708232718374704E-2</v>
      </c>
      <c r="R15" s="296">
        <f t="shared" ref="R15:U15" si="12">R13/R11</f>
        <v>1.7708232718374704E-2</v>
      </c>
      <c r="S15" s="296">
        <f t="shared" si="12"/>
        <v>1.7708232718374704E-2</v>
      </c>
      <c r="T15" s="296">
        <f t="shared" si="12"/>
        <v>1.7708232718374704E-2</v>
      </c>
      <c r="U15" s="296">
        <f t="shared" si="12"/>
        <v>1.7708232718374704E-2</v>
      </c>
      <c r="V15" s="307"/>
      <c r="W15" s="308"/>
      <c r="X15" s="296"/>
      <c r="Y15" s="296"/>
      <c r="Z15" s="296"/>
      <c r="AA15" s="296"/>
      <c r="AB15" s="296"/>
    </row>
    <row r="16" spans="2:28" ht="14.4" customHeight="1" x14ac:dyDescent="0.3">
      <c r="B16" s="194"/>
      <c r="H16" s="197"/>
      <c r="O16" s="197"/>
      <c r="V16" s="197"/>
    </row>
    <row r="17" spans="2:28" x14ac:dyDescent="0.3">
      <c r="B17" s="325" t="s">
        <v>2548</v>
      </c>
      <c r="C17" s="295">
        <v>165</v>
      </c>
      <c r="D17" s="295">
        <v>249</v>
      </c>
      <c r="E17" s="295">
        <v>348</v>
      </c>
      <c r="F17" s="295">
        <v>193</v>
      </c>
      <c r="G17" s="295">
        <v>311</v>
      </c>
      <c r="H17" s="280"/>
      <c r="I17" s="193"/>
      <c r="J17" s="306">
        <v>348</v>
      </c>
      <c r="K17" s="295">
        <f>$J$17</f>
        <v>348</v>
      </c>
      <c r="L17" s="295">
        <f t="shared" ref="L17:N17" si="13">$J$17</f>
        <v>348</v>
      </c>
      <c r="M17" s="295">
        <f t="shared" si="13"/>
        <v>348</v>
      </c>
      <c r="N17" s="295">
        <f t="shared" si="13"/>
        <v>348</v>
      </c>
      <c r="O17" s="280"/>
      <c r="P17" s="193"/>
      <c r="Q17" s="295">
        <f>AVERAGE(C17:G17)</f>
        <v>253.2</v>
      </c>
      <c r="R17" s="295">
        <f>$Q$17</f>
        <v>253.2</v>
      </c>
      <c r="S17" s="295">
        <f t="shared" ref="S17:U17" si="14">$Q$17</f>
        <v>253.2</v>
      </c>
      <c r="T17" s="295">
        <f t="shared" si="14"/>
        <v>253.2</v>
      </c>
      <c r="U17" s="295">
        <f t="shared" si="14"/>
        <v>253.2</v>
      </c>
      <c r="V17" s="280"/>
      <c r="W17" s="193"/>
      <c r="X17" s="306">
        <v>165</v>
      </c>
      <c r="Y17" s="295">
        <f>$X$17</f>
        <v>165</v>
      </c>
      <c r="Z17" s="295">
        <f t="shared" ref="Z17:AB17" si="15">$X$17</f>
        <v>165</v>
      </c>
      <c r="AA17" s="295">
        <f t="shared" si="15"/>
        <v>165</v>
      </c>
      <c r="AB17" s="295">
        <f t="shared" si="15"/>
        <v>165</v>
      </c>
    </row>
    <row r="18" spans="2:28" ht="7.05" customHeight="1" x14ac:dyDescent="0.3">
      <c r="B18" s="194"/>
      <c r="H18" s="197"/>
      <c r="O18" s="197"/>
      <c r="V18" s="197"/>
    </row>
    <row r="19" spans="2:28" x14ac:dyDescent="0.3">
      <c r="B19" s="350" t="s">
        <v>2558</v>
      </c>
      <c r="C19" s="296">
        <f>C$17/C$11</f>
        <v>0.22479564032697547</v>
      </c>
      <c r="D19" s="296">
        <f t="shared" ref="D19:G19" si="16">D$17/D$11</f>
        <v>0.49034087552431027</v>
      </c>
      <c r="E19" s="296">
        <f t="shared" si="16"/>
        <v>0.69173888844716547</v>
      </c>
      <c r="F19" s="296">
        <f t="shared" si="16"/>
        <v>0.31280388978930307</v>
      </c>
      <c r="G19" s="296">
        <f t="shared" si="16"/>
        <v>0.41801075268817206</v>
      </c>
      <c r="H19" s="307"/>
      <c r="I19" s="308"/>
      <c r="J19" s="296">
        <f>J17/J11</f>
        <v>0.30775217106775854</v>
      </c>
      <c r="K19" s="296">
        <f t="shared" ref="K19:N19" si="17">K17/K11</f>
        <v>0.30775217106775854</v>
      </c>
      <c r="L19" s="296">
        <f t="shared" si="17"/>
        <v>0.30775217106775854</v>
      </c>
      <c r="M19" s="296">
        <f t="shared" si="17"/>
        <v>0.30775217106775854</v>
      </c>
      <c r="N19" s="296">
        <f t="shared" si="17"/>
        <v>0.30775217106775854</v>
      </c>
      <c r="O19" s="307"/>
      <c r="P19" s="308"/>
      <c r="Q19" s="296">
        <f>Q17/Q11</f>
        <v>0.40761132039022502</v>
      </c>
      <c r="R19" s="296">
        <f t="shared" ref="R19:U19" si="18">R17/R11</f>
        <v>0.40761132039022502</v>
      </c>
      <c r="S19" s="296">
        <f t="shared" si="18"/>
        <v>0.40761132039022502</v>
      </c>
      <c r="T19" s="296">
        <f t="shared" si="18"/>
        <v>0.40761132039022502</v>
      </c>
      <c r="U19" s="296">
        <f t="shared" si="18"/>
        <v>0.40761132039022502</v>
      </c>
      <c r="V19" s="307"/>
      <c r="W19" s="308"/>
      <c r="X19" s="296">
        <f>X17/X11</f>
        <v>0.6021897810218978</v>
      </c>
      <c r="Y19" s="296">
        <f t="shared" ref="Y19:AB19" si="19">Y17/Y11</f>
        <v>0.6021897810218978</v>
      </c>
      <c r="Z19" s="296">
        <f t="shared" si="19"/>
        <v>0.6021897810218978</v>
      </c>
      <c r="AA19" s="296">
        <f t="shared" si="19"/>
        <v>0.6021897810218978</v>
      </c>
      <c r="AB19" s="296">
        <f t="shared" si="19"/>
        <v>0.6021897810218978</v>
      </c>
    </row>
    <row r="20" spans="2:28" ht="7.05" customHeight="1" x14ac:dyDescent="0.3">
      <c r="B20" s="194"/>
      <c r="H20" s="197"/>
      <c r="O20" s="197"/>
      <c r="V20" s="197"/>
    </row>
    <row r="21" spans="2:28" x14ac:dyDescent="0.3">
      <c r="B21" s="355" t="s">
        <v>2549</v>
      </c>
      <c r="H21" s="197"/>
      <c r="O21" s="197"/>
      <c r="V21" s="197"/>
    </row>
    <row r="22" spans="2:28" ht="7.05" customHeight="1" x14ac:dyDescent="0.3">
      <c r="B22" s="194"/>
      <c r="H22" s="197"/>
      <c r="O22" s="197"/>
      <c r="V22" s="197"/>
    </row>
    <row r="23" spans="2:28" x14ac:dyDescent="0.3">
      <c r="B23" s="325" t="s">
        <v>2550</v>
      </c>
      <c r="C23" s="295">
        <v>0</v>
      </c>
      <c r="D23" s="295">
        <v>0</v>
      </c>
      <c r="E23" s="295">
        <v>0</v>
      </c>
      <c r="F23" s="297">
        <v>0.16</v>
      </c>
      <c r="G23" s="297">
        <v>0.78</v>
      </c>
      <c r="H23" s="280"/>
      <c r="I23" s="193"/>
      <c r="J23" s="306">
        <v>0.78</v>
      </c>
      <c r="K23" s="295">
        <f>$J$23</f>
        <v>0.78</v>
      </c>
      <c r="L23" s="295">
        <f t="shared" ref="L23:N23" si="20">$J$23</f>
        <v>0.78</v>
      </c>
      <c r="M23" s="295">
        <f t="shared" si="20"/>
        <v>0.78</v>
      </c>
      <c r="N23" s="295">
        <f t="shared" si="20"/>
        <v>0.78</v>
      </c>
      <c r="O23" s="280"/>
      <c r="P23" s="193"/>
      <c r="Q23" s="295">
        <v>0</v>
      </c>
      <c r="R23" s="295">
        <f>$Q$23</f>
        <v>0</v>
      </c>
      <c r="S23" s="295">
        <f t="shared" ref="S23:U23" si="21">$Q$23</f>
        <v>0</v>
      </c>
      <c r="T23" s="295">
        <f t="shared" si="21"/>
        <v>0</v>
      </c>
      <c r="U23" s="295">
        <f t="shared" si="21"/>
        <v>0</v>
      </c>
      <c r="V23" s="280"/>
      <c r="W23" s="193"/>
      <c r="X23" s="306">
        <v>0</v>
      </c>
      <c r="Y23" s="295">
        <f>$X$23</f>
        <v>0</v>
      </c>
      <c r="Z23" s="295">
        <f t="shared" ref="Z23:AB23" si="22">$X$23</f>
        <v>0</v>
      </c>
      <c r="AA23" s="295">
        <f t="shared" si="22"/>
        <v>0</v>
      </c>
      <c r="AB23" s="295">
        <f t="shared" si="22"/>
        <v>0</v>
      </c>
    </row>
    <row r="24" spans="2:28" ht="7.05" customHeight="1" x14ac:dyDescent="0.3">
      <c r="B24" s="194"/>
      <c r="H24" s="197"/>
      <c r="O24" s="197"/>
      <c r="V24" s="197"/>
    </row>
    <row r="25" spans="2:28" x14ac:dyDescent="0.3">
      <c r="B25" s="350" t="s">
        <v>2558</v>
      </c>
      <c r="C25" s="296">
        <f>C$23/C$11</f>
        <v>0</v>
      </c>
      <c r="D25" s="296">
        <f t="shared" ref="D25:G25" si="23">D$23/D$11</f>
        <v>0</v>
      </c>
      <c r="E25" s="296">
        <f t="shared" si="23"/>
        <v>0</v>
      </c>
      <c r="F25" s="296">
        <f t="shared" si="23"/>
        <v>2.5931928687196112E-4</v>
      </c>
      <c r="G25" s="296">
        <f t="shared" si="23"/>
        <v>1.0483870967741935E-3</v>
      </c>
      <c r="H25" s="307"/>
      <c r="I25" s="308"/>
      <c r="J25" s="296">
        <f>J23/J11</f>
        <v>6.8978934894497611E-4</v>
      </c>
      <c r="K25" s="296">
        <f t="shared" ref="K25:N25" si="24">K23/K11</f>
        <v>6.8978934894497611E-4</v>
      </c>
      <c r="L25" s="296">
        <f t="shared" si="24"/>
        <v>6.8978934894497611E-4</v>
      </c>
      <c r="M25" s="296">
        <f t="shared" si="24"/>
        <v>6.8978934894497611E-4</v>
      </c>
      <c r="N25" s="296">
        <f t="shared" si="24"/>
        <v>6.8978934894497611E-4</v>
      </c>
      <c r="O25" s="307"/>
      <c r="P25" s="308"/>
      <c r="Q25" s="296">
        <f>Q23/Q11</f>
        <v>0</v>
      </c>
      <c r="R25" s="296">
        <f t="shared" ref="R25:U25" si="25">R23/R11</f>
        <v>0</v>
      </c>
      <c r="S25" s="296">
        <f t="shared" si="25"/>
        <v>0</v>
      </c>
      <c r="T25" s="296">
        <f t="shared" si="25"/>
        <v>0</v>
      </c>
      <c r="U25" s="296">
        <f t="shared" si="25"/>
        <v>0</v>
      </c>
      <c r="V25" s="307"/>
      <c r="W25" s="308"/>
      <c r="X25" s="296"/>
      <c r="Y25" s="296"/>
      <c r="Z25" s="296"/>
      <c r="AA25" s="296"/>
      <c r="AB25" s="296"/>
    </row>
    <row r="26" spans="2:28" x14ac:dyDescent="0.3">
      <c r="B26" s="194"/>
      <c r="C26" s="49"/>
      <c r="D26" s="49"/>
      <c r="E26" s="49"/>
      <c r="F26" s="49"/>
      <c r="G26" s="49"/>
      <c r="H26" s="197"/>
      <c r="J26" s="49"/>
      <c r="K26" s="49"/>
      <c r="L26" s="49"/>
      <c r="M26" s="49"/>
      <c r="N26" s="49"/>
      <c r="O26" s="197"/>
      <c r="Q26" s="49"/>
      <c r="R26" s="49"/>
      <c r="S26" s="49"/>
      <c r="T26" s="49"/>
      <c r="U26" s="49"/>
      <c r="V26" s="197"/>
      <c r="X26" s="49"/>
      <c r="Y26" s="49"/>
      <c r="Z26" s="49"/>
      <c r="AA26" s="49"/>
      <c r="AB26" s="49"/>
    </row>
    <row r="27" spans="2:28" x14ac:dyDescent="0.3">
      <c r="B27" s="325" t="s">
        <v>2551</v>
      </c>
      <c r="C27" s="295">
        <v>1</v>
      </c>
      <c r="D27" s="295">
        <v>7</v>
      </c>
      <c r="E27" s="295">
        <v>5</v>
      </c>
      <c r="F27" s="295">
        <v>6</v>
      </c>
      <c r="G27" s="295">
        <v>0</v>
      </c>
      <c r="H27" s="280"/>
      <c r="I27" s="193"/>
      <c r="J27" s="306">
        <v>7</v>
      </c>
      <c r="K27" s="295">
        <f>$J$27</f>
        <v>7</v>
      </c>
      <c r="L27" s="295">
        <f t="shared" ref="L27:N27" si="26">$J$27</f>
        <v>7</v>
      </c>
      <c r="M27" s="295">
        <f t="shared" si="26"/>
        <v>7</v>
      </c>
      <c r="N27" s="295">
        <f t="shared" si="26"/>
        <v>7</v>
      </c>
      <c r="O27" s="280"/>
      <c r="P27" s="193"/>
      <c r="Q27" s="295">
        <f>AVERAGE(C27:G27)</f>
        <v>3.8</v>
      </c>
      <c r="R27" s="295">
        <f>$Q$27</f>
        <v>3.8</v>
      </c>
      <c r="S27" s="295">
        <f t="shared" ref="S27:U27" si="27">$Q$27</f>
        <v>3.8</v>
      </c>
      <c r="T27" s="295">
        <f t="shared" si="27"/>
        <v>3.8</v>
      </c>
      <c r="U27" s="295">
        <f t="shared" si="27"/>
        <v>3.8</v>
      </c>
      <c r="V27" s="280"/>
      <c r="W27" s="193"/>
      <c r="X27" s="306">
        <v>0</v>
      </c>
      <c r="Y27" s="295">
        <f>$X$27</f>
        <v>0</v>
      </c>
      <c r="Z27" s="295">
        <f t="shared" ref="Z27:AB27" si="28">$X$27</f>
        <v>0</v>
      </c>
      <c r="AA27" s="295">
        <f t="shared" si="28"/>
        <v>0</v>
      </c>
      <c r="AB27" s="295">
        <f t="shared" si="28"/>
        <v>0</v>
      </c>
    </row>
    <row r="28" spans="2:28" ht="7.05" customHeight="1" x14ac:dyDescent="0.3">
      <c r="B28" s="194"/>
      <c r="H28" s="197"/>
      <c r="O28" s="197"/>
      <c r="V28" s="197"/>
    </row>
    <row r="29" spans="2:28" x14ac:dyDescent="0.3">
      <c r="B29" s="350" t="s">
        <v>2558</v>
      </c>
      <c r="C29" s="296">
        <f>C$27/C$11</f>
        <v>1.3623978201634877E-3</v>
      </c>
      <c r="D29" s="296">
        <f t="shared" ref="D29:G29" si="29">D$27/D$11</f>
        <v>1.3784683247671374E-2</v>
      </c>
      <c r="E29" s="296">
        <f t="shared" si="29"/>
        <v>9.9387771328615735E-3</v>
      </c>
      <c r="F29" s="296">
        <f t="shared" si="29"/>
        <v>9.7244732576985422E-3</v>
      </c>
      <c r="G29" s="296">
        <f t="shared" si="29"/>
        <v>0</v>
      </c>
      <c r="H29" s="307"/>
      <c r="I29" s="308"/>
      <c r="J29" s="296">
        <f>J27/J11</f>
        <v>6.1904172341215799E-3</v>
      </c>
      <c r="K29" s="296">
        <f t="shared" ref="K29:N29" si="30">K27/K11</f>
        <v>6.1904172341215799E-3</v>
      </c>
      <c r="L29" s="296">
        <f t="shared" si="30"/>
        <v>6.1904172341215799E-3</v>
      </c>
      <c r="M29" s="296">
        <f t="shared" si="30"/>
        <v>6.1904172341215799E-3</v>
      </c>
      <c r="N29" s="296">
        <f t="shared" si="30"/>
        <v>6.1904172341215799E-3</v>
      </c>
      <c r="O29" s="307"/>
      <c r="P29" s="308"/>
      <c r="Q29" s="296">
        <f>Q27/Q11</f>
        <v>6.1173894845294435E-3</v>
      </c>
      <c r="R29" s="296">
        <f t="shared" ref="R29:U29" si="31">R27/R11</f>
        <v>6.1173894845294435E-3</v>
      </c>
      <c r="S29" s="296">
        <f t="shared" si="31"/>
        <v>6.1173894845294435E-3</v>
      </c>
      <c r="T29" s="296">
        <f t="shared" si="31"/>
        <v>6.1173894845294435E-3</v>
      </c>
      <c r="U29" s="296">
        <f t="shared" si="31"/>
        <v>6.1173894845294435E-3</v>
      </c>
      <c r="V29" s="307"/>
      <c r="W29" s="308"/>
      <c r="X29" s="296"/>
      <c r="Y29" s="296"/>
      <c r="Z29" s="296"/>
      <c r="AA29" s="296"/>
      <c r="AB29" s="296"/>
    </row>
    <row r="30" spans="2:28" ht="7.05" customHeight="1" x14ac:dyDescent="0.3">
      <c r="B30" s="194"/>
      <c r="H30" s="197"/>
      <c r="O30" s="197"/>
      <c r="V30" s="197"/>
    </row>
    <row r="31" spans="2:28" x14ac:dyDescent="0.3">
      <c r="B31" s="355" t="s">
        <v>2552</v>
      </c>
      <c r="H31" s="197"/>
      <c r="O31" s="197"/>
      <c r="V31" s="197"/>
    </row>
    <row r="32" spans="2:28" ht="7.05" customHeight="1" x14ac:dyDescent="0.3">
      <c r="B32" s="194"/>
      <c r="H32" s="197"/>
      <c r="O32" s="197"/>
      <c r="V32" s="197"/>
    </row>
    <row r="33" spans="2:28" x14ac:dyDescent="0.3">
      <c r="B33" s="325" t="s">
        <v>2553</v>
      </c>
      <c r="C33" s="295">
        <v>0</v>
      </c>
      <c r="D33" s="295">
        <v>0</v>
      </c>
      <c r="E33" s="295">
        <v>11</v>
      </c>
      <c r="F33" s="295">
        <v>101</v>
      </c>
      <c r="G33" s="295">
        <v>37</v>
      </c>
      <c r="H33" s="280"/>
      <c r="I33" s="193"/>
      <c r="J33" s="306">
        <v>101</v>
      </c>
      <c r="K33" s="295">
        <f>$J$33</f>
        <v>101</v>
      </c>
      <c r="L33" s="295">
        <f t="shared" ref="L33:N33" si="32">$J$33</f>
        <v>101</v>
      </c>
      <c r="M33" s="295">
        <f t="shared" si="32"/>
        <v>101</v>
      </c>
      <c r="N33" s="295">
        <f t="shared" si="32"/>
        <v>101</v>
      </c>
      <c r="O33" s="280"/>
      <c r="P33" s="193"/>
      <c r="Q33" s="295">
        <f>AVERAGE(C33:G33)</f>
        <v>29.8</v>
      </c>
      <c r="R33" s="295">
        <f>$Q$33</f>
        <v>29.8</v>
      </c>
      <c r="S33" s="295">
        <f t="shared" ref="S33:U33" si="33">$Q$33</f>
        <v>29.8</v>
      </c>
      <c r="T33" s="295">
        <f t="shared" si="33"/>
        <v>29.8</v>
      </c>
      <c r="U33" s="295">
        <f t="shared" si="33"/>
        <v>29.8</v>
      </c>
      <c r="V33" s="280"/>
      <c r="W33" s="193"/>
      <c r="X33" s="306">
        <v>0</v>
      </c>
      <c r="Y33" s="295">
        <f>$X$33</f>
        <v>0</v>
      </c>
      <c r="Z33" s="295">
        <f t="shared" ref="Z33:AB33" si="34">$X$33</f>
        <v>0</v>
      </c>
      <c r="AA33" s="295">
        <f t="shared" si="34"/>
        <v>0</v>
      </c>
      <c r="AB33" s="295">
        <f t="shared" si="34"/>
        <v>0</v>
      </c>
    </row>
    <row r="34" spans="2:28" ht="7.05" customHeight="1" x14ac:dyDescent="0.3">
      <c r="B34" s="194"/>
      <c r="H34" s="197"/>
      <c r="O34" s="197"/>
      <c r="V34" s="197"/>
    </row>
    <row r="35" spans="2:28" x14ac:dyDescent="0.3">
      <c r="B35" s="350" t="s">
        <v>2558</v>
      </c>
      <c r="C35" s="296">
        <f>C$33/C$11</f>
        <v>0</v>
      </c>
      <c r="D35" s="296">
        <f t="shared" ref="D35:G35" si="35">D$33/D$11</f>
        <v>0</v>
      </c>
      <c r="E35" s="296">
        <f t="shared" si="35"/>
        <v>2.186530969229546E-2</v>
      </c>
      <c r="F35" s="296">
        <f t="shared" si="35"/>
        <v>0.16369529983792544</v>
      </c>
      <c r="G35" s="296">
        <f t="shared" si="35"/>
        <v>4.9731182795698922E-2</v>
      </c>
      <c r="H35" s="307"/>
      <c r="I35" s="308"/>
      <c r="J35" s="296">
        <f>J33/J11</f>
        <v>8.9318877235182795E-2</v>
      </c>
      <c r="K35" s="296">
        <f t="shared" ref="K35:N35" si="36">K33/K11</f>
        <v>8.9318877235182795E-2</v>
      </c>
      <c r="L35" s="296">
        <f t="shared" si="36"/>
        <v>8.9318877235182795E-2</v>
      </c>
      <c r="M35" s="296">
        <f t="shared" si="36"/>
        <v>8.9318877235182795E-2</v>
      </c>
      <c r="N35" s="296">
        <f t="shared" si="36"/>
        <v>8.9318877235182795E-2</v>
      </c>
      <c r="O35" s="307"/>
      <c r="P35" s="308"/>
      <c r="Q35" s="296">
        <f>Q33/Q11</f>
        <v>4.7973212273415111E-2</v>
      </c>
      <c r="R35" s="296">
        <f t="shared" ref="R35:U35" si="37">R33/R11</f>
        <v>4.7973212273415111E-2</v>
      </c>
      <c r="S35" s="296">
        <f t="shared" si="37"/>
        <v>4.7973212273415111E-2</v>
      </c>
      <c r="T35" s="296">
        <f t="shared" si="37"/>
        <v>4.7973212273415111E-2</v>
      </c>
      <c r="U35" s="296">
        <f t="shared" si="37"/>
        <v>4.7973212273415111E-2</v>
      </c>
      <c r="V35" s="307"/>
      <c r="W35" s="308"/>
      <c r="X35" s="243"/>
      <c r="Y35" s="243"/>
      <c r="Z35" s="243"/>
      <c r="AA35" s="243"/>
      <c r="AB35" s="243"/>
    </row>
    <row r="36" spans="2:28" ht="14.4" customHeight="1" x14ac:dyDescent="0.3">
      <c r="B36" s="194"/>
      <c r="H36" s="197"/>
      <c r="O36" s="197"/>
      <c r="V36" s="197"/>
    </row>
    <row r="37" spans="2:28" x14ac:dyDescent="0.3">
      <c r="B37" s="325" t="s">
        <v>2554</v>
      </c>
      <c r="C37" s="295">
        <v>4</v>
      </c>
      <c r="D37" s="295">
        <v>3</v>
      </c>
      <c r="E37" s="297">
        <v>0.24</v>
      </c>
      <c r="F37" s="297">
        <v>0.66</v>
      </c>
      <c r="G37" s="295">
        <v>52</v>
      </c>
      <c r="H37" s="280"/>
      <c r="I37" s="193"/>
      <c r="J37" s="306">
        <v>4</v>
      </c>
      <c r="K37" s="295">
        <f>$J$37</f>
        <v>4</v>
      </c>
      <c r="L37" s="295">
        <f t="shared" ref="L37:N37" si="38">$J$37</f>
        <v>4</v>
      </c>
      <c r="M37" s="295">
        <f t="shared" si="38"/>
        <v>4</v>
      </c>
      <c r="N37" s="295">
        <f t="shared" si="38"/>
        <v>4</v>
      </c>
      <c r="O37" s="280"/>
      <c r="P37" s="193"/>
      <c r="Q37" s="295">
        <f>AVERAGE(C37:G37)</f>
        <v>11.98</v>
      </c>
      <c r="R37" s="295">
        <f>$Q$37</f>
        <v>11.98</v>
      </c>
      <c r="S37" s="295">
        <f t="shared" ref="S37:U37" si="39">$Q$37</f>
        <v>11.98</v>
      </c>
      <c r="T37" s="295">
        <f t="shared" si="39"/>
        <v>11.98</v>
      </c>
      <c r="U37" s="295">
        <f t="shared" si="39"/>
        <v>11.98</v>
      </c>
      <c r="V37" s="280"/>
      <c r="W37" s="193"/>
      <c r="X37" s="306">
        <v>0</v>
      </c>
      <c r="Y37" s="295">
        <f>$X$37</f>
        <v>0</v>
      </c>
      <c r="Z37" s="295">
        <f t="shared" ref="Z37:AB37" si="40">$X$37</f>
        <v>0</v>
      </c>
      <c r="AA37" s="295">
        <f t="shared" si="40"/>
        <v>0</v>
      </c>
      <c r="AB37" s="295">
        <f t="shared" si="40"/>
        <v>0</v>
      </c>
    </row>
    <row r="38" spans="2:28" ht="7.05" customHeight="1" x14ac:dyDescent="0.3">
      <c r="B38" s="194"/>
      <c r="H38" s="197"/>
      <c r="O38" s="197"/>
      <c r="V38" s="197"/>
    </row>
    <row r="39" spans="2:28" x14ac:dyDescent="0.3">
      <c r="B39" s="350" t="s">
        <v>2558</v>
      </c>
      <c r="C39" s="296">
        <f>C$37/C$11</f>
        <v>5.4495912806539508E-3</v>
      </c>
      <c r="D39" s="296">
        <f t="shared" ref="D39:G39" si="41">D$37/D$11</f>
        <v>5.90772139185916E-3</v>
      </c>
      <c r="E39" s="296">
        <f t="shared" si="41"/>
        <v>4.770613023773555E-4</v>
      </c>
      <c r="F39" s="296">
        <f t="shared" si="41"/>
        <v>1.0696920583468396E-3</v>
      </c>
      <c r="G39" s="296">
        <f t="shared" si="41"/>
        <v>6.9892473118279563E-2</v>
      </c>
      <c r="H39" s="307"/>
      <c r="I39" s="308"/>
      <c r="J39" s="296">
        <f>J37/J11</f>
        <v>3.5373812766409029E-3</v>
      </c>
      <c r="K39" s="296">
        <f t="shared" ref="K39:N39" si="42">K37/K11</f>
        <v>3.5373812766409029E-3</v>
      </c>
      <c r="L39" s="296">
        <f t="shared" si="42"/>
        <v>3.5373812766409029E-3</v>
      </c>
      <c r="M39" s="296">
        <f t="shared" si="42"/>
        <v>3.5373812766409029E-3</v>
      </c>
      <c r="N39" s="296">
        <f t="shared" si="42"/>
        <v>3.5373812766409029E-3</v>
      </c>
      <c r="O39" s="307"/>
      <c r="P39" s="308"/>
      <c r="Q39" s="296">
        <f>Q37/Q11</f>
        <v>1.928587526964809E-2</v>
      </c>
      <c r="R39" s="296">
        <f t="shared" ref="R39:U39" si="43">R37/R11</f>
        <v>1.928587526964809E-2</v>
      </c>
      <c r="S39" s="296">
        <f t="shared" si="43"/>
        <v>1.928587526964809E-2</v>
      </c>
      <c r="T39" s="296">
        <f t="shared" si="43"/>
        <v>1.928587526964809E-2</v>
      </c>
      <c r="U39" s="296">
        <f t="shared" si="43"/>
        <v>1.928587526964809E-2</v>
      </c>
      <c r="V39" s="307"/>
      <c r="W39" s="308"/>
      <c r="X39" s="243"/>
      <c r="Y39" s="243"/>
      <c r="Z39" s="243"/>
      <c r="AA39" s="243"/>
      <c r="AB39" s="243"/>
    </row>
    <row r="40" spans="2:28" ht="14.4" customHeight="1" x14ac:dyDescent="0.3">
      <c r="B40" s="194"/>
      <c r="H40" s="197"/>
      <c r="O40" s="197"/>
      <c r="V40" s="197"/>
    </row>
    <row r="41" spans="2:28" x14ac:dyDescent="0.3">
      <c r="B41" s="325" t="s">
        <v>2555</v>
      </c>
      <c r="C41" s="295">
        <v>419</v>
      </c>
      <c r="D41" s="295">
        <v>0</v>
      </c>
      <c r="E41" s="295">
        <v>66</v>
      </c>
      <c r="F41" s="295">
        <v>206</v>
      </c>
      <c r="G41" s="295">
        <v>105</v>
      </c>
      <c r="H41" s="280"/>
      <c r="I41" s="193"/>
      <c r="J41" s="306">
        <v>419</v>
      </c>
      <c r="K41" s="295">
        <f>$J$41</f>
        <v>419</v>
      </c>
      <c r="L41" s="295">
        <f t="shared" ref="L41:N41" si="44">$J$41</f>
        <v>419</v>
      </c>
      <c r="M41" s="295">
        <f t="shared" si="44"/>
        <v>419</v>
      </c>
      <c r="N41" s="295">
        <f t="shared" si="44"/>
        <v>419</v>
      </c>
      <c r="O41" s="280"/>
      <c r="P41" s="193"/>
      <c r="Q41" s="295">
        <f>AVERAGE(C41:G41)</f>
        <v>159.19999999999999</v>
      </c>
      <c r="R41" s="295">
        <f>$Q$41</f>
        <v>159.19999999999999</v>
      </c>
      <c r="S41" s="295">
        <f t="shared" ref="S41:U41" si="45">$Q$41</f>
        <v>159.19999999999999</v>
      </c>
      <c r="T41" s="295">
        <f t="shared" si="45"/>
        <v>159.19999999999999</v>
      </c>
      <c r="U41" s="295">
        <f t="shared" si="45"/>
        <v>159.19999999999999</v>
      </c>
      <c r="V41" s="280"/>
      <c r="W41" s="193"/>
      <c r="X41" s="306">
        <v>66</v>
      </c>
      <c r="Y41" s="295">
        <f>$X$41</f>
        <v>66</v>
      </c>
      <c r="Z41" s="295">
        <f t="shared" ref="Z41:AB41" si="46">$X$41</f>
        <v>66</v>
      </c>
      <c r="AA41" s="295">
        <f t="shared" si="46"/>
        <v>66</v>
      </c>
      <c r="AB41" s="295">
        <f t="shared" si="46"/>
        <v>66</v>
      </c>
    </row>
    <row r="42" spans="2:28" ht="7.05" customHeight="1" x14ac:dyDescent="0.3">
      <c r="B42" s="194"/>
      <c r="H42" s="197"/>
      <c r="O42" s="197"/>
      <c r="V42" s="197"/>
    </row>
    <row r="43" spans="2:28" x14ac:dyDescent="0.3">
      <c r="B43" s="350" t="s">
        <v>2558</v>
      </c>
      <c r="C43" s="296">
        <f>C$41/C$11</f>
        <v>0.57084468664850141</v>
      </c>
      <c r="D43" s="296">
        <f t="shared" ref="D43:G43" si="47">D$41/D$11</f>
        <v>0</v>
      </c>
      <c r="E43" s="296">
        <f t="shared" si="47"/>
        <v>0.13119185815377277</v>
      </c>
      <c r="F43" s="296">
        <f t="shared" si="47"/>
        <v>0.33387358184764993</v>
      </c>
      <c r="G43" s="296">
        <f t="shared" si="47"/>
        <v>0.14112903225806453</v>
      </c>
      <c r="H43" s="307"/>
      <c r="I43" s="308"/>
      <c r="J43" s="296">
        <f>J41/J11</f>
        <v>0.37054068872813456</v>
      </c>
      <c r="K43" s="296">
        <f t="shared" ref="K43:N43" si="48">K41/K11</f>
        <v>0.37054068872813456</v>
      </c>
      <c r="L43" s="296">
        <f t="shared" si="48"/>
        <v>0.37054068872813456</v>
      </c>
      <c r="M43" s="296">
        <f t="shared" si="48"/>
        <v>0.37054068872813456</v>
      </c>
      <c r="N43" s="296">
        <f t="shared" si="48"/>
        <v>0.37054068872813456</v>
      </c>
      <c r="O43" s="307"/>
      <c r="P43" s="308"/>
      <c r="Q43" s="296">
        <f>Q41/Q11</f>
        <v>0.25628642261502299</v>
      </c>
      <c r="R43" s="296">
        <f t="shared" ref="R43:U43" si="49">R41/R11</f>
        <v>0.25628642261502299</v>
      </c>
      <c r="S43" s="296">
        <f t="shared" si="49"/>
        <v>0.25628642261502299</v>
      </c>
      <c r="T43" s="296">
        <f t="shared" si="49"/>
        <v>0.25628642261502299</v>
      </c>
      <c r="U43" s="296">
        <f t="shared" si="49"/>
        <v>0.25628642261502299</v>
      </c>
      <c r="V43" s="307"/>
      <c r="W43" s="308"/>
      <c r="X43" s="296">
        <f>X41/X11</f>
        <v>0.24087591240875914</v>
      </c>
      <c r="Y43" s="296">
        <f t="shared" ref="Y43:AB43" si="50">Y41/Y11</f>
        <v>0.24087591240875914</v>
      </c>
      <c r="Z43" s="296">
        <f t="shared" si="50"/>
        <v>0.24087591240875914</v>
      </c>
      <c r="AA43" s="296">
        <f t="shared" si="50"/>
        <v>0.24087591240875914</v>
      </c>
      <c r="AB43" s="296">
        <f t="shared" si="50"/>
        <v>0.24087591240875914</v>
      </c>
    </row>
    <row r="44" spans="2:28" x14ac:dyDescent="0.3">
      <c r="B44" s="194"/>
      <c r="H44" s="197"/>
      <c r="O44" s="197"/>
      <c r="V44" s="197"/>
    </row>
    <row r="45" spans="2:28" x14ac:dyDescent="0.3">
      <c r="B45" s="325" t="s">
        <v>2556</v>
      </c>
      <c r="C45" s="295">
        <v>100</v>
      </c>
      <c r="D45" s="295">
        <v>186</v>
      </c>
      <c r="E45" s="295">
        <v>31</v>
      </c>
      <c r="F45" s="295">
        <v>97</v>
      </c>
      <c r="G45" s="295">
        <v>226</v>
      </c>
      <c r="H45" s="280"/>
      <c r="I45" s="193"/>
      <c r="J45" s="306">
        <v>186</v>
      </c>
      <c r="K45" s="295">
        <f>$J$45</f>
        <v>186</v>
      </c>
      <c r="L45" s="295">
        <f t="shared" ref="L45:N45" si="51">$J$45</f>
        <v>186</v>
      </c>
      <c r="M45" s="295">
        <f t="shared" si="51"/>
        <v>186</v>
      </c>
      <c r="N45" s="295">
        <f t="shared" si="51"/>
        <v>186</v>
      </c>
      <c r="O45" s="280"/>
      <c r="P45" s="193"/>
      <c r="Q45" s="295">
        <f>AVERAGE(C45:G45)</f>
        <v>128</v>
      </c>
      <c r="R45" s="295">
        <f>$Q$45</f>
        <v>128</v>
      </c>
      <c r="S45" s="295">
        <f t="shared" ref="S45:U45" si="52">$Q$45</f>
        <v>128</v>
      </c>
      <c r="T45" s="295">
        <f t="shared" si="52"/>
        <v>128</v>
      </c>
      <c r="U45" s="295">
        <f t="shared" si="52"/>
        <v>128</v>
      </c>
      <c r="V45" s="280"/>
      <c r="W45" s="193"/>
      <c r="X45" s="306">
        <v>31</v>
      </c>
      <c r="Y45" s="295">
        <f>$X$45</f>
        <v>31</v>
      </c>
      <c r="Z45" s="295">
        <f t="shared" ref="Z45:AB45" si="53">$X$45</f>
        <v>31</v>
      </c>
      <c r="AA45" s="295">
        <f t="shared" si="53"/>
        <v>31</v>
      </c>
      <c r="AB45" s="295">
        <f t="shared" si="53"/>
        <v>31</v>
      </c>
    </row>
    <row r="46" spans="2:28" ht="7.05" customHeight="1" x14ac:dyDescent="0.3">
      <c r="B46" s="194"/>
      <c r="H46" s="197"/>
      <c r="O46" s="197"/>
      <c r="V46" s="197"/>
    </row>
    <row r="47" spans="2:28" x14ac:dyDescent="0.3">
      <c r="B47" s="350" t="s">
        <v>2558</v>
      </c>
      <c r="C47" s="296">
        <f>C$45/C$11</f>
        <v>0.13623978201634879</v>
      </c>
      <c r="D47" s="296">
        <f t="shared" ref="D47:G47" si="54">D$45/D$11</f>
        <v>0.36627872629526792</v>
      </c>
      <c r="E47" s="296">
        <f t="shared" si="54"/>
        <v>6.1620418223741751E-2</v>
      </c>
      <c r="F47" s="296">
        <f t="shared" si="54"/>
        <v>0.15721231766612642</v>
      </c>
      <c r="G47" s="296">
        <f t="shared" si="54"/>
        <v>0.30376344086021506</v>
      </c>
      <c r="H47" s="307"/>
      <c r="I47" s="308"/>
      <c r="J47" s="296">
        <f>J45/J11</f>
        <v>0.16448822936380197</v>
      </c>
      <c r="K47" s="296">
        <f t="shared" ref="K47:N47" si="55">K45/K11</f>
        <v>0.16448822936380197</v>
      </c>
      <c r="L47" s="296">
        <f t="shared" si="55"/>
        <v>0.16448822936380197</v>
      </c>
      <c r="M47" s="296">
        <f t="shared" si="55"/>
        <v>0.16448822936380197</v>
      </c>
      <c r="N47" s="296">
        <f t="shared" si="55"/>
        <v>0.16448822936380197</v>
      </c>
      <c r="O47" s="307"/>
      <c r="P47" s="308"/>
      <c r="Q47" s="296">
        <f>Q45/Q11</f>
        <v>0.20605943526836021</v>
      </c>
      <c r="R47" s="296">
        <f t="shared" ref="R47:U47" si="56">R45/R11</f>
        <v>0.20605943526836021</v>
      </c>
      <c r="S47" s="296">
        <f t="shared" si="56"/>
        <v>0.20605943526836021</v>
      </c>
      <c r="T47" s="296">
        <f t="shared" si="56"/>
        <v>0.20605943526836021</v>
      </c>
      <c r="U47" s="296">
        <f t="shared" si="56"/>
        <v>0.20605943526836021</v>
      </c>
      <c r="V47" s="307"/>
      <c r="W47" s="308"/>
      <c r="X47" s="296">
        <f>X45/X11</f>
        <v>0.11313868613138686</v>
      </c>
      <c r="Y47" s="296">
        <f t="shared" ref="Y47:AB47" si="57">Y45/Y11</f>
        <v>0.11313868613138686</v>
      </c>
      <c r="Z47" s="296">
        <f t="shared" si="57"/>
        <v>0.11313868613138686</v>
      </c>
      <c r="AA47" s="296">
        <f t="shared" si="57"/>
        <v>0.11313868613138686</v>
      </c>
      <c r="AB47" s="296">
        <f t="shared" si="57"/>
        <v>0.11313868613138686</v>
      </c>
    </row>
    <row r="48" spans="2:28" x14ac:dyDescent="0.3">
      <c r="B48" s="194"/>
      <c r="H48" s="197"/>
      <c r="O48" s="197"/>
      <c r="V48" s="197"/>
    </row>
    <row r="49" spans="2:28" x14ac:dyDescent="0.3">
      <c r="B49" s="356" t="s">
        <v>2557</v>
      </c>
      <c r="C49" s="195">
        <v>25</v>
      </c>
      <c r="D49" s="195">
        <v>45</v>
      </c>
      <c r="E49" s="195">
        <v>25</v>
      </c>
      <c r="F49" s="195">
        <v>14</v>
      </c>
      <c r="G49" s="195">
        <v>12</v>
      </c>
      <c r="H49" s="280"/>
      <c r="I49" s="193"/>
      <c r="J49" s="294">
        <v>45</v>
      </c>
      <c r="K49" s="195">
        <f>$J$49</f>
        <v>45</v>
      </c>
      <c r="L49" s="195">
        <f t="shared" ref="L49:N49" si="58">$J$49</f>
        <v>45</v>
      </c>
      <c r="M49" s="195">
        <f t="shared" si="58"/>
        <v>45</v>
      </c>
      <c r="N49" s="195">
        <f t="shared" si="58"/>
        <v>45</v>
      </c>
      <c r="O49" s="280"/>
      <c r="P49" s="193"/>
      <c r="Q49" s="195">
        <f>AVERAGE(C49:G49)</f>
        <v>24.2</v>
      </c>
      <c r="R49" s="195">
        <f>$Q$49</f>
        <v>24.2</v>
      </c>
      <c r="S49" s="195">
        <f t="shared" ref="S49:U49" si="59">$Q$49</f>
        <v>24.2</v>
      </c>
      <c r="T49" s="195">
        <f t="shared" si="59"/>
        <v>24.2</v>
      </c>
      <c r="U49" s="195">
        <f t="shared" si="59"/>
        <v>24.2</v>
      </c>
      <c r="V49" s="280"/>
      <c r="W49" s="193"/>
      <c r="X49" s="294">
        <v>12</v>
      </c>
      <c r="Y49" s="195">
        <f>$X$49</f>
        <v>12</v>
      </c>
      <c r="Z49" s="195">
        <f t="shared" ref="Z49:AB49" si="60">$X$49</f>
        <v>12</v>
      </c>
      <c r="AA49" s="195">
        <f t="shared" si="60"/>
        <v>12</v>
      </c>
      <c r="AB49" s="195">
        <f t="shared" si="60"/>
        <v>12</v>
      </c>
    </row>
    <row r="51" spans="2:28" x14ac:dyDescent="0.3">
      <c r="B51" s="331" t="s">
        <v>2633</v>
      </c>
      <c r="C51" s="331">
        <f>C13+C17+C23+C27</f>
        <v>186</v>
      </c>
      <c r="D51" s="331">
        <f>D13+D17+D23+D27</f>
        <v>274</v>
      </c>
      <c r="E51" s="331">
        <f>E13+E17+E23+E27</f>
        <v>370</v>
      </c>
      <c r="F51" s="331">
        <f>F13+F17+F23+F27</f>
        <v>199.16</v>
      </c>
      <c r="G51" s="189"/>
      <c r="H51" s="308"/>
      <c r="I51" s="308"/>
      <c r="J51" s="331">
        <f t="shared" ref="J51:N51" si="61">J13+J17+J23+J27</f>
        <v>375.78</v>
      </c>
      <c r="K51" s="331">
        <f t="shared" si="61"/>
        <v>375.78</v>
      </c>
      <c r="L51" s="331">
        <f t="shared" si="61"/>
        <v>375.78</v>
      </c>
      <c r="M51" s="331">
        <f t="shared" si="61"/>
        <v>375.78</v>
      </c>
      <c r="N51" s="331">
        <f t="shared" si="61"/>
        <v>375.78</v>
      </c>
      <c r="O51" s="308"/>
      <c r="P51" s="308"/>
      <c r="Q51" s="331">
        <f t="shared" ref="Q51:U51" si="62">Q13+Q17+Q23+Q27</f>
        <v>268</v>
      </c>
      <c r="R51" s="331">
        <f t="shared" si="62"/>
        <v>268</v>
      </c>
      <c r="S51" s="331">
        <f t="shared" si="62"/>
        <v>268</v>
      </c>
      <c r="T51" s="331">
        <f t="shared" si="62"/>
        <v>268</v>
      </c>
      <c r="U51" s="331">
        <f t="shared" si="62"/>
        <v>268</v>
      </c>
      <c r="V51" s="308"/>
      <c r="W51" s="308"/>
      <c r="X51" s="331">
        <f t="shared" ref="X51:AB51" si="63">X13+X17+X23+X27</f>
        <v>165</v>
      </c>
      <c r="Y51" s="331">
        <f t="shared" si="63"/>
        <v>165</v>
      </c>
      <c r="Z51" s="331">
        <f t="shared" si="63"/>
        <v>165</v>
      </c>
      <c r="AA51" s="331">
        <f t="shared" si="63"/>
        <v>165</v>
      </c>
      <c r="AB51" s="331">
        <f t="shared" si="63"/>
        <v>165</v>
      </c>
    </row>
    <row r="53" spans="2:28" x14ac:dyDescent="0.3">
      <c r="B53" s="522" t="s">
        <v>2581</v>
      </c>
      <c r="C53" s="522"/>
      <c r="D53" s="522"/>
      <c r="E53" s="522"/>
      <c r="F53" s="522"/>
      <c r="G53" s="522"/>
      <c r="H53" s="522"/>
      <c r="I53" s="522"/>
      <c r="J53" s="522"/>
      <c r="K53" s="522"/>
      <c r="L53" s="522"/>
      <c r="M53" s="522"/>
      <c r="N53" s="522"/>
      <c r="O53" s="522"/>
      <c r="P53" s="522"/>
      <c r="Q53" s="522"/>
      <c r="R53" s="522"/>
      <c r="S53" s="522"/>
      <c r="T53" s="522"/>
      <c r="U53" s="522"/>
      <c r="V53" s="522"/>
      <c r="W53" s="522"/>
      <c r="X53" s="522"/>
      <c r="Y53" s="522"/>
      <c r="Z53" s="522"/>
      <c r="AA53" s="522"/>
      <c r="AB53" s="522"/>
    </row>
  </sheetData>
  <mergeCells count="1">
    <mergeCell ref="B53:AB53"/>
  </mergeCells>
  <printOptions horizontalCentered="1" verticalCentered="1"/>
  <pageMargins left="0" right="0" top="0" bottom="0" header="0" footer="0"/>
  <pageSetup paperSize="9" scale="36" orientation="landscape" horizontalDpi="1200" verticalDpi="1200" r:id="rId1"/>
  <colBreaks count="1" manualBreakCount="1">
    <brk id="28" max="104857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45"/>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190" customWidth="1"/>
    <col min="2" max="2" width="44.77734375" style="190" customWidth="1"/>
    <col min="3" max="7" width="16.77734375" style="190"/>
    <col min="8" max="9" width="2" style="190" customWidth="1"/>
    <col min="10" max="14" width="16.77734375" style="190"/>
    <col min="15" max="16" width="2" style="190" customWidth="1"/>
    <col min="17" max="21" width="16.77734375" style="190"/>
    <col min="22" max="23" width="2" style="190" customWidth="1"/>
    <col min="24" max="16384" width="16.77734375" style="190"/>
  </cols>
  <sheetData>
    <row r="1" spans="2:28" ht="15.6" x14ac:dyDescent="0.4">
      <c r="B1" s="188" t="s">
        <v>342</v>
      </c>
      <c r="C1" s="189"/>
      <c r="D1" s="189"/>
      <c r="E1" s="189"/>
      <c r="F1" s="189"/>
      <c r="G1" s="189"/>
      <c r="H1" s="189"/>
      <c r="I1" s="189"/>
      <c r="J1" s="189"/>
      <c r="K1" s="189"/>
      <c r="L1" s="189"/>
      <c r="M1" s="189"/>
      <c r="N1" s="189"/>
      <c r="O1" s="189"/>
      <c r="P1" s="189"/>
      <c r="Q1" s="189"/>
      <c r="R1" s="189"/>
      <c r="S1" s="189"/>
      <c r="T1" s="189"/>
      <c r="U1" s="189"/>
      <c r="V1" s="189"/>
      <c r="W1" s="189"/>
      <c r="X1" s="189"/>
      <c r="Y1" s="189"/>
      <c r="Z1" s="189"/>
      <c r="AA1" s="189"/>
      <c r="AB1" s="189"/>
    </row>
    <row r="2" spans="2:28" ht="23.4" x14ac:dyDescent="0.45">
      <c r="B2" s="191" t="s">
        <v>341</v>
      </c>
      <c r="C2" s="189"/>
      <c r="D2" s="189"/>
      <c r="E2" s="189"/>
      <c r="F2" s="189"/>
      <c r="G2" s="189"/>
      <c r="H2" s="189"/>
      <c r="I2" s="189"/>
      <c r="J2" s="189"/>
      <c r="K2" s="189"/>
      <c r="L2" s="189"/>
      <c r="M2" s="189"/>
      <c r="N2" s="189"/>
      <c r="O2" s="189"/>
      <c r="P2" s="189"/>
      <c r="Q2" s="189"/>
      <c r="R2" s="189"/>
      <c r="S2" s="189"/>
      <c r="T2" s="189"/>
      <c r="U2" s="189"/>
      <c r="V2" s="189"/>
      <c r="W2" s="189"/>
      <c r="X2" s="189"/>
      <c r="Y2" s="189"/>
      <c r="Z2" s="189"/>
      <c r="AA2" s="189"/>
      <c r="AB2" s="189"/>
    </row>
    <row r="3" spans="2:28" x14ac:dyDescent="0.3">
      <c r="B3" s="189" t="s">
        <v>343</v>
      </c>
      <c r="C3" s="189"/>
      <c r="D3" s="189"/>
      <c r="E3" s="189"/>
      <c r="F3" s="189"/>
      <c r="G3" s="189"/>
      <c r="H3" s="189"/>
      <c r="I3" s="189"/>
      <c r="J3" s="189"/>
      <c r="K3" s="189"/>
      <c r="L3" s="189"/>
      <c r="M3" s="189"/>
      <c r="N3" s="189"/>
      <c r="O3" s="189"/>
      <c r="P3" s="189"/>
      <c r="Q3" s="189"/>
      <c r="R3" s="189"/>
      <c r="S3" s="189"/>
      <c r="T3" s="189"/>
      <c r="U3" s="189"/>
      <c r="V3" s="189"/>
      <c r="W3" s="189"/>
      <c r="X3" s="189"/>
      <c r="Y3" s="189"/>
      <c r="Z3" s="189"/>
      <c r="AA3" s="189"/>
      <c r="AB3" s="189"/>
    </row>
    <row r="5" spans="2:28" x14ac:dyDescent="0.3">
      <c r="B5" s="192" t="s">
        <v>2560</v>
      </c>
      <c r="C5" s="192"/>
      <c r="D5" s="192"/>
      <c r="E5" s="189"/>
      <c r="F5" s="192"/>
      <c r="G5" s="192"/>
      <c r="H5" s="197"/>
      <c r="J5" s="192" t="s">
        <v>459</v>
      </c>
      <c r="K5" s="304" t="s">
        <v>2529</v>
      </c>
      <c r="L5" s="284" t="s">
        <v>2566</v>
      </c>
      <c r="M5" s="293">
        <v>0.63</v>
      </c>
      <c r="N5" s="192"/>
      <c r="O5" s="280"/>
      <c r="Q5" s="192" t="s">
        <v>459</v>
      </c>
      <c r="R5" s="304" t="s">
        <v>2530</v>
      </c>
      <c r="S5" s="284" t="s">
        <v>2566</v>
      </c>
      <c r="T5" s="293">
        <v>0.64</v>
      </c>
      <c r="U5" s="192"/>
      <c r="V5" s="197"/>
      <c r="X5" s="192" t="s">
        <v>459</v>
      </c>
      <c r="Y5" s="304" t="s">
        <v>2531</v>
      </c>
      <c r="Z5" s="284" t="s">
        <v>2566</v>
      </c>
      <c r="AA5" s="293">
        <v>0.65</v>
      </c>
      <c r="AB5" s="192"/>
    </row>
    <row r="6" spans="2:28" x14ac:dyDescent="0.3">
      <c r="H6" s="197"/>
      <c r="O6" s="197"/>
      <c r="V6" s="197"/>
    </row>
    <row r="7" spans="2:28" x14ac:dyDescent="0.3">
      <c r="B7" s="192" t="s">
        <v>1</v>
      </c>
      <c r="C7" s="110">
        <v>44440</v>
      </c>
      <c r="D7" s="110">
        <f>EDATE(C7,12)</f>
        <v>44805</v>
      </c>
      <c r="E7" s="110">
        <f t="shared" ref="E7:G7" si="0">EDATE(D7,12)</f>
        <v>45170</v>
      </c>
      <c r="F7" s="110">
        <f t="shared" si="0"/>
        <v>45536</v>
      </c>
      <c r="G7" s="110">
        <f t="shared" si="0"/>
        <v>45901</v>
      </c>
      <c r="H7" s="197"/>
      <c r="J7" s="279">
        <v>46266</v>
      </c>
      <c r="K7" s="279">
        <f>EDATE(J7,12)</f>
        <v>46631</v>
      </c>
      <c r="L7" s="279">
        <f t="shared" ref="L7:N7" si="1">EDATE(K7,12)</f>
        <v>46997</v>
      </c>
      <c r="M7" s="279">
        <f t="shared" si="1"/>
        <v>47362</v>
      </c>
      <c r="N7" s="279">
        <f t="shared" si="1"/>
        <v>47727</v>
      </c>
      <c r="O7" s="302"/>
      <c r="Q7" s="279">
        <v>46266</v>
      </c>
      <c r="R7" s="279">
        <f>EDATE(Q7,12)</f>
        <v>46631</v>
      </c>
      <c r="S7" s="279">
        <f t="shared" ref="S7:U7" si="2">EDATE(R7,12)</f>
        <v>46997</v>
      </c>
      <c r="T7" s="279">
        <f t="shared" si="2"/>
        <v>47362</v>
      </c>
      <c r="U7" s="279">
        <f t="shared" si="2"/>
        <v>47727</v>
      </c>
      <c r="V7" s="197"/>
      <c r="X7" s="279">
        <v>46266</v>
      </c>
      <c r="Y7" s="279">
        <f>EDATE(X7,12)</f>
        <v>46631</v>
      </c>
      <c r="Z7" s="279">
        <f t="shared" ref="Z7:AB7" si="3">EDATE(Y7,12)</f>
        <v>46997</v>
      </c>
      <c r="AA7" s="279">
        <f t="shared" si="3"/>
        <v>47362</v>
      </c>
      <c r="AB7" s="279">
        <f t="shared" si="3"/>
        <v>47727</v>
      </c>
    </row>
    <row r="8" spans="2:28" ht="7.05" customHeight="1" x14ac:dyDescent="0.3">
      <c r="H8" s="197"/>
      <c r="O8" s="197"/>
      <c r="V8" s="197"/>
    </row>
    <row r="9" spans="2:28" x14ac:dyDescent="0.3">
      <c r="B9" s="305" t="s">
        <v>2561</v>
      </c>
      <c r="C9" s="193">
        <f>C12+C16+C20+C24+C28</f>
        <v>25458</v>
      </c>
      <c r="D9" s="193">
        <f>D12+D16+D20+D24+D28</f>
        <v>31814.58</v>
      </c>
      <c r="E9" s="193">
        <f>E12+E16+E20+E24+E28</f>
        <v>42215.44</v>
      </c>
      <c r="F9" s="193">
        <f>F12+F16+F20+F24+F28</f>
        <v>46065</v>
      </c>
      <c r="G9" s="193">
        <f>G12+G16+G20+G24+G28</f>
        <v>49580</v>
      </c>
      <c r="H9" s="280"/>
      <c r="I9" s="193"/>
      <c r="J9" s="193">
        <f>('REVENUE SCHEDULE'!J$13+'OTHER INCOME SCHEDULE'!J$11)*'COGS SCHEDULE'!$M$5</f>
        <v>56758.57391520001</v>
      </c>
      <c r="K9" s="193">
        <f>('REVENUE SCHEDULE'!K$13+'OTHER INCOME SCHEDULE'!K$11)*'COGS SCHEDULE'!$M$5</f>
        <v>62923.653991872008</v>
      </c>
      <c r="L9" s="193">
        <f>('REVENUE SCHEDULE'!L$13+'OTHER INCOME SCHEDULE'!L$11)*'COGS SCHEDULE'!$M$5</f>
        <v>69766.89287697793</v>
      </c>
      <c r="M9" s="193">
        <f>('REVENUE SCHEDULE'!M$13+'OTHER INCOME SCHEDULE'!M$11)*'COGS SCHEDULE'!$M$5</f>
        <v>77362.888039445505</v>
      </c>
      <c r="N9" s="193">
        <f>('REVENUE SCHEDULE'!N$13+'OTHER INCOME SCHEDULE'!N$11)*'COGS SCHEDULE'!$M$5</f>
        <v>85794.442669784519</v>
      </c>
      <c r="O9" s="280"/>
      <c r="P9" s="193"/>
      <c r="Q9" s="193">
        <f>('REVENUE SCHEDULE'!Q$13+'OTHER INCOME SCHEDULE'!Q$11)*'COGS SCHEDULE'!$T$5</f>
        <v>54255.748608000002</v>
      </c>
      <c r="R9" s="193">
        <f>('REVENUE SCHEDULE'!R$13+'OTHER INCOME SCHEDULE'!R$11)*'COGS SCHEDULE'!$T$5</f>
        <v>58564.404080640001</v>
      </c>
      <c r="S9" s="193">
        <f>('REVENUE SCHEDULE'!S$13+'OTHER INCOME SCHEDULE'!S$11)*'COGS SCHEDULE'!$T$5</f>
        <v>63217.751991091201</v>
      </c>
      <c r="T9" s="193">
        <f>('REVENUE SCHEDULE'!T$13+'OTHER INCOME SCHEDULE'!T$11)*'COGS SCHEDULE'!$T$5</f>
        <v>68243.367734378509</v>
      </c>
      <c r="U9" s="193">
        <f>('REVENUE SCHEDULE'!U$13+'OTHER INCOME SCHEDULE'!U$11)*'COGS SCHEDULE'!$T$5</f>
        <v>73671.032737128771</v>
      </c>
      <c r="V9" s="280"/>
      <c r="W9" s="193"/>
      <c r="X9" s="193">
        <f>('REVENUE SCHEDULE'!X$13+'OTHER INCOME SCHEDULE'!X$11)*'COGS SCHEDULE'!$AA$5</f>
        <v>51838.953920000007</v>
      </c>
      <c r="Y9" s="193">
        <f>('REVENUE SCHEDULE'!Y$13+'OTHER INCOME SCHEDULE'!Y$11)*'COGS SCHEDULE'!$AA$5</f>
        <v>54421.996616000004</v>
      </c>
      <c r="Z9" s="193">
        <f>('REVENUE SCHEDULE'!Z$13+'OTHER INCOME SCHEDULE'!Z$11)*'COGS SCHEDULE'!$AA$5</f>
        <v>57134.19144680001</v>
      </c>
      <c r="AA9" s="193">
        <f>('REVENUE SCHEDULE'!AA$13+'OTHER INCOME SCHEDULE'!AA$11)*'COGS SCHEDULE'!$AA$5</f>
        <v>59981.996019140002</v>
      </c>
      <c r="AB9" s="193">
        <f>('REVENUE SCHEDULE'!AB$13+'OTHER INCOME SCHEDULE'!AB$11)*'COGS SCHEDULE'!$AA$5</f>
        <v>62972.190820097021</v>
      </c>
    </row>
    <row r="10" spans="2:28" x14ac:dyDescent="0.3">
      <c r="B10" s="303" t="s">
        <v>2565</v>
      </c>
      <c r="C10" s="376">
        <f>C$9/'INCOME STATEMENT'!C$14</f>
        <v>0.56002111793044285</v>
      </c>
      <c r="D10" s="376">
        <f>D$9/'INCOME STATEMENT'!D$14</f>
        <v>0.59906972084846644</v>
      </c>
      <c r="E10" s="376">
        <f>E$9/'INCOME STATEMENT'!E$14</f>
        <v>0.66227507747510084</v>
      </c>
      <c r="F10" s="376">
        <f>F$9/'INCOME STATEMENT'!F$14</f>
        <v>0.64404054526389376</v>
      </c>
      <c r="G10" s="376">
        <f>G$9/'INCOME STATEMENT'!G$14</f>
        <v>0.6464230302872267</v>
      </c>
      <c r="H10" s="307"/>
      <c r="I10" s="308"/>
      <c r="J10" s="376">
        <f>J$9/('REVENUE SCHEDULE'!J$13+'OTHER INCOME SCHEDULE'!J$11)</f>
        <v>0.63</v>
      </c>
      <c r="K10" s="376">
        <f>K$9/('REVENUE SCHEDULE'!K$13+'OTHER INCOME SCHEDULE'!K$11)</f>
        <v>0.63</v>
      </c>
      <c r="L10" s="376">
        <f>L$9/('REVENUE SCHEDULE'!L$13+'OTHER INCOME SCHEDULE'!L$11)</f>
        <v>0.63</v>
      </c>
      <c r="M10" s="376">
        <f>M$9/('REVENUE SCHEDULE'!M$13+'OTHER INCOME SCHEDULE'!M$11)</f>
        <v>0.63</v>
      </c>
      <c r="N10" s="376">
        <f>N$9/('REVENUE SCHEDULE'!N$13+'OTHER INCOME SCHEDULE'!N$11)</f>
        <v>0.63</v>
      </c>
      <c r="O10" s="307"/>
      <c r="P10" s="308"/>
      <c r="Q10" s="376">
        <f>Q$9/('REVENUE SCHEDULE'!Q$13+'OTHER INCOME SCHEDULE'!Q$11)</f>
        <v>0.64</v>
      </c>
      <c r="R10" s="376">
        <f>R$9/('REVENUE SCHEDULE'!R$13+'OTHER INCOME SCHEDULE'!R$11)</f>
        <v>0.64</v>
      </c>
      <c r="S10" s="376">
        <f>S$9/('REVENUE SCHEDULE'!S$13+'OTHER INCOME SCHEDULE'!S$11)</f>
        <v>0.64</v>
      </c>
      <c r="T10" s="376">
        <f>T$9/('REVENUE SCHEDULE'!T$13+'OTHER INCOME SCHEDULE'!T$11)</f>
        <v>0.64000000000000012</v>
      </c>
      <c r="U10" s="376">
        <f>U$9/('REVENUE SCHEDULE'!U$13+'OTHER INCOME SCHEDULE'!U$11)</f>
        <v>0.64</v>
      </c>
      <c r="V10" s="307"/>
      <c r="W10" s="308"/>
      <c r="X10" s="376">
        <f>X$9/('REVENUE SCHEDULE'!X$13+'OTHER INCOME SCHEDULE'!X$11)</f>
        <v>0.65</v>
      </c>
      <c r="Y10" s="376">
        <f>Y$9/('REVENUE SCHEDULE'!Y$13+'OTHER INCOME SCHEDULE'!Y$11)</f>
        <v>0.65</v>
      </c>
      <c r="Z10" s="376">
        <f>Z$9/('REVENUE SCHEDULE'!Z$13+'OTHER INCOME SCHEDULE'!Z$11)</f>
        <v>0.65</v>
      </c>
      <c r="AA10" s="376">
        <f>AA$9/('REVENUE SCHEDULE'!AA$13+'OTHER INCOME SCHEDULE'!AA$11)</f>
        <v>0.65</v>
      </c>
      <c r="AB10" s="376">
        <f>AB$9/('REVENUE SCHEDULE'!AB$13+'OTHER INCOME SCHEDULE'!AB$11)</f>
        <v>0.65</v>
      </c>
    </row>
    <row r="11" spans="2:28" ht="14.4" customHeight="1" x14ac:dyDescent="0.3">
      <c r="H11" s="197"/>
      <c r="O11" s="197"/>
      <c r="V11" s="197"/>
    </row>
    <row r="12" spans="2:28" x14ac:dyDescent="0.3">
      <c r="B12" s="325" t="s">
        <v>2559</v>
      </c>
      <c r="C12" s="295">
        <f>'DATA STATEMENTS'!C$8</f>
        <v>5793</v>
      </c>
      <c r="D12" s="295">
        <f>'DATA STATEMENTS'!D$8</f>
        <v>7096.49</v>
      </c>
      <c r="E12" s="295">
        <f>'DATA STATEMENTS'!E$8</f>
        <v>8933.49</v>
      </c>
      <c r="F12" s="295">
        <f>'DATA STATEMENTS'!F$8</f>
        <v>10252</v>
      </c>
      <c r="G12" s="295">
        <f>'DATA STATEMENTS'!G$8</f>
        <v>11821</v>
      </c>
      <c r="H12" s="280"/>
      <c r="I12" s="193"/>
      <c r="J12" s="295">
        <f>J$9*J$14</f>
        <v>11788.755802187041</v>
      </c>
      <c r="K12" s="295">
        <f t="shared" ref="K12:N12" si="4">K$9*K$14</f>
        <v>13069.242934111815</v>
      </c>
      <c r="L12" s="295">
        <f t="shared" si="4"/>
        <v>14490.583650548317</v>
      </c>
      <c r="M12" s="295">
        <f t="shared" si="4"/>
        <v>16068.271845792831</v>
      </c>
      <c r="N12" s="295">
        <f t="shared" si="4"/>
        <v>17819.505742514244</v>
      </c>
      <c r="O12" s="280"/>
      <c r="P12" s="193"/>
      <c r="Q12" s="295">
        <f>Q$9*Q$14</f>
        <v>11268.918985881601</v>
      </c>
      <c r="R12" s="295">
        <f t="shared" ref="R12:U12" si="5">R$9*R$14</f>
        <v>12163.826727548927</v>
      </c>
      <c r="S12" s="295">
        <f t="shared" si="5"/>
        <v>13130.327088549642</v>
      </c>
      <c r="T12" s="295">
        <f t="shared" si="5"/>
        <v>14174.147478430416</v>
      </c>
      <c r="U12" s="295">
        <f t="shared" si="5"/>
        <v>15301.473499501646</v>
      </c>
      <c r="V12" s="280"/>
      <c r="W12" s="193"/>
      <c r="X12" s="295">
        <f>X$9*X$14</f>
        <v>10766.950729184002</v>
      </c>
      <c r="Y12" s="295">
        <f t="shared" ref="Y12:AB12" si="6">Y$9*Y$14</f>
        <v>11303.4486971432</v>
      </c>
      <c r="Z12" s="295">
        <f t="shared" si="6"/>
        <v>11866.771563500362</v>
      </c>
      <c r="AA12" s="295">
        <f t="shared" si="6"/>
        <v>12458.260573175377</v>
      </c>
      <c r="AB12" s="295">
        <f t="shared" si="6"/>
        <v>13079.324033334151</v>
      </c>
    </row>
    <row r="13" spans="2:28" ht="7.05" customHeight="1" x14ac:dyDescent="0.3">
      <c r="B13" s="194"/>
      <c r="H13" s="197"/>
      <c r="O13" s="197"/>
      <c r="V13" s="197"/>
    </row>
    <row r="14" spans="2:28" x14ac:dyDescent="0.3">
      <c r="B14" s="350" t="s">
        <v>2562</v>
      </c>
      <c r="C14" s="296">
        <f>C$12/C$9</f>
        <v>0.22755126090030639</v>
      </c>
      <c r="D14" s="296">
        <f>D$12/D$9</f>
        <v>0.22305779299931036</v>
      </c>
      <c r="E14" s="296">
        <f>E$12/E$9</f>
        <v>0.21161665021139184</v>
      </c>
      <c r="F14" s="296">
        <f>F$12/F$9</f>
        <v>0.22255508520568762</v>
      </c>
      <c r="G14" s="296">
        <f t="shared" ref="G14" si="7">G$12/G$9</f>
        <v>0.23842275110931826</v>
      </c>
      <c r="H14" s="307"/>
      <c r="I14" s="308"/>
      <c r="J14" s="296">
        <f>$Q$14</f>
        <v>0.2077</v>
      </c>
      <c r="K14" s="296">
        <f>$J$14</f>
        <v>0.2077</v>
      </c>
      <c r="L14" s="296">
        <f t="shared" ref="L14:N14" si="8">$J$14</f>
        <v>0.2077</v>
      </c>
      <c r="M14" s="296">
        <f t="shared" si="8"/>
        <v>0.2077</v>
      </c>
      <c r="N14" s="296">
        <f t="shared" si="8"/>
        <v>0.2077</v>
      </c>
      <c r="O14" s="307"/>
      <c r="P14" s="308"/>
      <c r="Q14" s="299">
        <v>0.2077</v>
      </c>
      <c r="R14" s="296">
        <f>$Q$14</f>
        <v>0.2077</v>
      </c>
      <c r="S14" s="296">
        <f t="shared" ref="S14:U14" si="9">$Q$14</f>
        <v>0.2077</v>
      </c>
      <c r="T14" s="296">
        <f t="shared" si="9"/>
        <v>0.2077</v>
      </c>
      <c r="U14" s="296">
        <f t="shared" si="9"/>
        <v>0.2077</v>
      </c>
      <c r="V14" s="307"/>
      <c r="W14" s="308"/>
      <c r="X14" s="296">
        <f>$Q$14</f>
        <v>0.2077</v>
      </c>
      <c r="Y14" s="296">
        <f>$X$14</f>
        <v>0.2077</v>
      </c>
      <c r="Z14" s="296">
        <f t="shared" ref="Z14:AB14" si="10">$X$14</f>
        <v>0.2077</v>
      </c>
      <c r="AA14" s="296">
        <f t="shared" si="10"/>
        <v>0.2077</v>
      </c>
      <c r="AB14" s="296">
        <f t="shared" si="10"/>
        <v>0.2077</v>
      </c>
    </row>
    <row r="15" spans="2:28" x14ac:dyDescent="0.3">
      <c r="B15" s="194"/>
      <c r="H15" s="197"/>
      <c r="O15" s="197"/>
      <c r="V15" s="197"/>
    </row>
    <row r="16" spans="2:28" x14ac:dyDescent="0.3">
      <c r="B16" s="325" t="s">
        <v>2563</v>
      </c>
      <c r="C16" s="295">
        <f>'DATA STATEMENTS'!C$9</f>
        <v>841</v>
      </c>
      <c r="D16" s="295">
        <f>'DATA STATEMENTS'!D$9</f>
        <v>1251.6600000000001</v>
      </c>
      <c r="E16" s="295">
        <f>'DATA STATEMENTS'!E$9</f>
        <v>1299.68</v>
      </c>
      <c r="F16" s="295">
        <f>'DATA STATEMENTS'!F$9</f>
        <v>1733</v>
      </c>
      <c r="G16" s="295">
        <f>'DATA STATEMENTS'!G$9</f>
        <v>1869</v>
      </c>
      <c r="H16" s="280"/>
      <c r="I16" s="193"/>
      <c r="J16" s="295">
        <f>J$9*J$18</f>
        <v>4092.2931792859204</v>
      </c>
      <c r="K16" s="295">
        <f t="shared" ref="K16:N16" si="11">K$9*K$18</f>
        <v>4536.7954528139717</v>
      </c>
      <c r="L16" s="295">
        <f t="shared" si="11"/>
        <v>5030.1929764301085</v>
      </c>
      <c r="M16" s="295">
        <f t="shared" si="11"/>
        <v>5577.8642276440205</v>
      </c>
      <c r="N16" s="295">
        <f t="shared" si="11"/>
        <v>6185.7793164914638</v>
      </c>
      <c r="O16" s="280"/>
      <c r="P16" s="193"/>
      <c r="Q16" s="295">
        <f>Q$9*Q$18</f>
        <v>3911.8394746367999</v>
      </c>
      <c r="R16" s="295">
        <f t="shared" ref="R16:U16" si="12">R$9*R$18</f>
        <v>4222.4935342141443</v>
      </c>
      <c r="S16" s="295">
        <f t="shared" si="12"/>
        <v>4557.9999185576753</v>
      </c>
      <c r="T16" s="295">
        <f t="shared" si="12"/>
        <v>4920.3468136486899</v>
      </c>
      <c r="U16" s="295">
        <f t="shared" si="12"/>
        <v>5311.6814603469838</v>
      </c>
      <c r="V16" s="280"/>
      <c r="W16" s="193"/>
      <c r="X16" s="295">
        <f>X$9*X$18</f>
        <v>3737.5885776320006</v>
      </c>
      <c r="Y16" s="295">
        <f t="shared" ref="Y16:AB16" si="13">Y$9*Y$18</f>
        <v>3923.8259560136003</v>
      </c>
      <c r="Z16" s="295">
        <f t="shared" si="13"/>
        <v>4119.375203314281</v>
      </c>
      <c r="AA16" s="295">
        <f t="shared" si="13"/>
        <v>4324.7019129799937</v>
      </c>
      <c r="AB16" s="295">
        <f t="shared" si="13"/>
        <v>4540.2949581289949</v>
      </c>
    </row>
    <row r="17" spans="2:28" ht="7.05" customHeight="1" x14ac:dyDescent="0.3">
      <c r="B17" s="194"/>
      <c r="H17" s="197"/>
      <c r="O17" s="197"/>
      <c r="V17" s="197"/>
    </row>
    <row r="18" spans="2:28" x14ac:dyDescent="0.3">
      <c r="B18" s="350" t="s">
        <v>2562</v>
      </c>
      <c r="C18" s="296">
        <f>C$16/C$9</f>
        <v>3.3034802419671619E-2</v>
      </c>
      <c r="D18" s="296">
        <f>D$16/D$9</f>
        <v>3.9342339267090749E-2</v>
      </c>
      <c r="E18" s="296">
        <f>E$16/E$9</f>
        <v>3.0786840075574244E-2</v>
      </c>
      <c r="F18" s="296">
        <f>F$16/F$9</f>
        <v>3.7620753283403884E-2</v>
      </c>
      <c r="G18" s="296">
        <f t="shared" ref="G18" si="14">G$16/G$9</f>
        <v>3.7696651875756354E-2</v>
      </c>
      <c r="H18" s="307"/>
      <c r="I18" s="308"/>
      <c r="J18" s="296">
        <f>$Q$18</f>
        <v>7.2099999999999997E-2</v>
      </c>
      <c r="K18" s="296">
        <f>$J$18</f>
        <v>7.2099999999999997E-2</v>
      </c>
      <c r="L18" s="296">
        <f t="shared" ref="L18:N18" si="15">$J$18</f>
        <v>7.2099999999999997E-2</v>
      </c>
      <c r="M18" s="296">
        <f t="shared" si="15"/>
        <v>7.2099999999999997E-2</v>
      </c>
      <c r="N18" s="296">
        <f t="shared" si="15"/>
        <v>7.2099999999999997E-2</v>
      </c>
      <c r="O18" s="307"/>
      <c r="P18" s="308"/>
      <c r="Q18" s="299">
        <v>7.2099999999999997E-2</v>
      </c>
      <c r="R18" s="296">
        <f>$Q$18</f>
        <v>7.2099999999999997E-2</v>
      </c>
      <c r="S18" s="296">
        <f t="shared" ref="S18:U18" si="16">$Q$18</f>
        <v>7.2099999999999997E-2</v>
      </c>
      <c r="T18" s="296">
        <f t="shared" si="16"/>
        <v>7.2099999999999997E-2</v>
      </c>
      <c r="U18" s="296">
        <f t="shared" si="16"/>
        <v>7.2099999999999997E-2</v>
      </c>
      <c r="V18" s="307"/>
      <c r="W18" s="308"/>
      <c r="X18" s="296">
        <f>$Q$18</f>
        <v>7.2099999999999997E-2</v>
      </c>
      <c r="Y18" s="296">
        <f>$X$18</f>
        <v>7.2099999999999997E-2</v>
      </c>
      <c r="Z18" s="296">
        <f t="shared" ref="Z18:AB18" si="17">$X$18</f>
        <v>7.2099999999999997E-2</v>
      </c>
      <c r="AA18" s="296">
        <f t="shared" si="17"/>
        <v>7.2099999999999997E-2</v>
      </c>
      <c r="AB18" s="296">
        <f t="shared" si="17"/>
        <v>7.2099999999999997E-2</v>
      </c>
    </row>
    <row r="19" spans="2:28" x14ac:dyDescent="0.3">
      <c r="B19" s="194"/>
      <c r="H19" s="197"/>
      <c r="O19" s="197"/>
      <c r="V19" s="197"/>
    </row>
    <row r="20" spans="2:28" x14ac:dyDescent="0.3">
      <c r="B20" s="325" t="s">
        <v>2564</v>
      </c>
      <c r="C20" s="295">
        <f>'DATA STATEMENTS'!C$10</f>
        <v>450</v>
      </c>
      <c r="D20" s="295">
        <f>'DATA STATEMENTS'!D$10</f>
        <v>-383.16</v>
      </c>
      <c r="E20" s="295">
        <f>'DATA STATEMENTS'!E$10</f>
        <v>-518.21</v>
      </c>
      <c r="F20" s="295">
        <f>'DATA STATEMENTS'!F$10</f>
        <v>-83</v>
      </c>
      <c r="G20" s="295">
        <f>'DATA STATEMENTS'!G$10</f>
        <v>12</v>
      </c>
      <c r="H20" s="280"/>
      <c r="I20" s="193"/>
      <c r="J20" s="306">
        <v>426</v>
      </c>
      <c r="K20" s="295">
        <f>$J$20</f>
        <v>426</v>
      </c>
      <c r="L20" s="295">
        <f t="shared" ref="L20:N20" si="18">$J$20</f>
        <v>426</v>
      </c>
      <c r="M20" s="295">
        <f t="shared" si="18"/>
        <v>426</v>
      </c>
      <c r="N20" s="295">
        <f t="shared" si="18"/>
        <v>426</v>
      </c>
      <c r="O20" s="280"/>
      <c r="P20" s="193"/>
      <c r="Q20" s="306">
        <v>-100</v>
      </c>
      <c r="R20" s="295">
        <f>$Q$20</f>
        <v>-100</v>
      </c>
      <c r="S20" s="295">
        <f t="shared" ref="S20:U20" si="19">$Q$20</f>
        <v>-100</v>
      </c>
      <c r="T20" s="295">
        <f t="shared" si="19"/>
        <v>-100</v>
      </c>
      <c r="U20" s="295">
        <f t="shared" si="19"/>
        <v>-100</v>
      </c>
      <c r="V20" s="280"/>
      <c r="W20" s="193"/>
      <c r="X20" s="306">
        <v>-490</v>
      </c>
      <c r="Y20" s="295">
        <f>$X$20</f>
        <v>-490</v>
      </c>
      <c r="Z20" s="295">
        <f t="shared" ref="Z20:AB20" si="20">$X$20</f>
        <v>-490</v>
      </c>
      <c r="AA20" s="295">
        <f t="shared" si="20"/>
        <v>-490</v>
      </c>
      <c r="AB20" s="295">
        <f t="shared" si="20"/>
        <v>-490</v>
      </c>
    </row>
    <row r="21" spans="2:28" ht="7.05" customHeight="1" x14ac:dyDescent="0.3">
      <c r="B21" s="194"/>
      <c r="H21" s="197"/>
      <c r="O21" s="197"/>
      <c r="V21" s="197"/>
    </row>
    <row r="22" spans="2:28" x14ac:dyDescent="0.3">
      <c r="B22" s="350" t="s">
        <v>2562</v>
      </c>
      <c r="C22" s="296">
        <f>C$20/C$9</f>
        <v>1.767617251944379E-2</v>
      </c>
      <c r="D22" s="296">
        <f>D$20/D$9</f>
        <v>-1.2043534756705887E-2</v>
      </c>
      <c r="E22" s="296">
        <f>E$20/E$9</f>
        <v>-1.2275366548352925E-2</v>
      </c>
      <c r="F22" s="296">
        <f>F$20/F$9</f>
        <v>-1.8018018018018018E-3</v>
      </c>
      <c r="G22" s="296">
        <f t="shared" ref="G22" si="21">G$20/G$9</f>
        <v>2.4203307785397338E-4</v>
      </c>
      <c r="H22" s="307"/>
      <c r="I22" s="308"/>
      <c r="J22" s="296">
        <f>J20/J9</f>
        <v>7.5054739859472886E-3</v>
      </c>
      <c r="K22" s="296">
        <f t="shared" ref="K22:N22" si="22">K20/K9</f>
        <v>6.7701090603388579E-3</v>
      </c>
      <c r="L22" s="296">
        <f t="shared" si="22"/>
        <v>6.1060480470468805E-3</v>
      </c>
      <c r="M22" s="296">
        <f t="shared" si="22"/>
        <v>5.5065162482402759E-3</v>
      </c>
      <c r="N22" s="296">
        <f t="shared" si="22"/>
        <v>4.9653565748965537E-3</v>
      </c>
      <c r="O22" s="307"/>
      <c r="P22" s="308"/>
      <c r="Q22" s="296">
        <f>Q$20/Q$9</f>
        <v>-1.8431226656276385E-3</v>
      </c>
      <c r="R22" s="296">
        <f t="shared" ref="R22:U22" si="23">R$20/R$9</f>
        <v>-1.7075218568314199E-3</v>
      </c>
      <c r="S22" s="296">
        <f t="shared" si="23"/>
        <v>-1.5818341660439341E-3</v>
      </c>
      <c r="T22" s="296">
        <f t="shared" si="23"/>
        <v>-1.4653438615343079E-3</v>
      </c>
      <c r="U22" s="296">
        <f t="shared" si="23"/>
        <v>-1.3573856139198919E-3</v>
      </c>
      <c r="V22" s="307"/>
      <c r="W22" s="308"/>
      <c r="X22" s="296">
        <f>X$20/X$9</f>
        <v>-9.4523512329393843E-3</v>
      </c>
      <c r="Y22" s="296">
        <f t="shared" ref="Y22:AB22" si="24">Y$20/Y$9</f>
        <v>-9.0037122940825835E-3</v>
      </c>
      <c r="Z22" s="296">
        <f t="shared" si="24"/>
        <v>-8.5763005932491254E-3</v>
      </c>
      <c r="AA22" s="296">
        <f t="shared" si="24"/>
        <v>-8.1691179440517969E-3</v>
      </c>
      <c r="AB22" s="296">
        <f t="shared" si="24"/>
        <v>-7.781212526015862E-3</v>
      </c>
    </row>
    <row r="23" spans="2:28" x14ac:dyDescent="0.3">
      <c r="B23" s="194"/>
      <c r="H23" s="197"/>
      <c r="O23" s="197"/>
      <c r="V23" s="197"/>
    </row>
    <row r="24" spans="2:28" x14ac:dyDescent="0.3">
      <c r="B24" s="325" t="s">
        <v>301</v>
      </c>
      <c r="C24" s="295">
        <f>'DATA STATEMENTS'!C$11</f>
        <v>8331</v>
      </c>
      <c r="D24" s="295">
        <f>'DATA STATEMENTS'!D$11</f>
        <v>12137.26</v>
      </c>
      <c r="E24" s="295">
        <f>'DATA STATEMENTS'!E$11</f>
        <v>18491.32</v>
      </c>
      <c r="F24" s="295">
        <f>'DATA STATEMENTS'!F$11</f>
        <v>18283</v>
      </c>
      <c r="G24" s="295">
        <f>'DATA STATEMENTS'!G$11</f>
        <v>18419</v>
      </c>
      <c r="H24" s="280"/>
      <c r="I24" s="193"/>
      <c r="J24" s="295">
        <f>J$9*J$26</f>
        <v>20103.886880763843</v>
      </c>
      <c r="K24" s="295">
        <f t="shared" ref="K24:N24" si="25">K$9*K$26</f>
        <v>22287.558243921067</v>
      </c>
      <c r="L24" s="295">
        <f t="shared" si="25"/>
        <v>24711.433457025585</v>
      </c>
      <c r="M24" s="295">
        <f t="shared" si="25"/>
        <v>27401.934943571599</v>
      </c>
      <c r="N24" s="295">
        <f t="shared" si="25"/>
        <v>30388.39159363768</v>
      </c>
      <c r="O24" s="280"/>
      <c r="P24" s="193"/>
      <c r="Q24" s="295">
        <f>Q$9*Q$26</f>
        <v>19217.386156953602</v>
      </c>
      <c r="R24" s="295">
        <f t="shared" ref="R24:U24" si="26">R$9*R$26</f>
        <v>20743.511925362691</v>
      </c>
      <c r="S24" s="295">
        <f t="shared" si="26"/>
        <v>22391.727755244505</v>
      </c>
      <c r="T24" s="295">
        <f t="shared" si="26"/>
        <v>24171.800851516869</v>
      </c>
      <c r="U24" s="295">
        <f t="shared" si="26"/>
        <v>26094.279795491013</v>
      </c>
      <c r="V24" s="280"/>
      <c r="W24" s="193"/>
      <c r="X24" s="295">
        <f>X$9*X$26</f>
        <v>18361.357478464004</v>
      </c>
      <c r="Y24" s="295">
        <f t="shared" ref="Y24:AB24" si="27">Y$9*Y$26</f>
        <v>19276.271201387201</v>
      </c>
      <c r="Z24" s="295">
        <f t="shared" si="27"/>
        <v>20236.930610456566</v>
      </c>
      <c r="AA24" s="295">
        <f t="shared" si="27"/>
        <v>21245.622989979391</v>
      </c>
      <c r="AB24" s="295">
        <f t="shared" si="27"/>
        <v>22304.749988478365</v>
      </c>
    </row>
    <row r="25" spans="2:28" ht="7.05" customHeight="1" x14ac:dyDescent="0.3">
      <c r="B25" s="194"/>
      <c r="H25" s="197"/>
      <c r="O25" s="197"/>
      <c r="V25" s="197"/>
    </row>
    <row r="26" spans="2:28" x14ac:dyDescent="0.3">
      <c r="B26" s="350" t="s">
        <v>2562</v>
      </c>
      <c r="C26" s="296">
        <f>C$24/C$9</f>
        <v>0.32724487390996937</v>
      </c>
      <c r="D26" s="296">
        <f>D$24/D$9</f>
        <v>0.3814999286490659</v>
      </c>
      <c r="E26" s="296">
        <f>E$24/E$9</f>
        <v>0.4380226760635445</v>
      </c>
      <c r="F26" s="296">
        <f>F$24/F$9</f>
        <v>0.39689569087159449</v>
      </c>
      <c r="G26" s="296">
        <f t="shared" ref="G26" si="28">G$24/G$9</f>
        <v>0.37150060508269461</v>
      </c>
      <c r="H26" s="307"/>
      <c r="I26" s="308"/>
      <c r="J26" s="296">
        <f>$Q$26</f>
        <v>0.35420000000000001</v>
      </c>
      <c r="K26" s="296">
        <f>$J$26</f>
        <v>0.35420000000000001</v>
      </c>
      <c r="L26" s="296">
        <f t="shared" ref="L26:N26" si="29">$J$26</f>
        <v>0.35420000000000001</v>
      </c>
      <c r="M26" s="296">
        <f t="shared" si="29"/>
        <v>0.35420000000000001</v>
      </c>
      <c r="N26" s="296">
        <f t="shared" si="29"/>
        <v>0.35420000000000001</v>
      </c>
      <c r="O26" s="307"/>
      <c r="P26" s="308"/>
      <c r="Q26" s="299">
        <v>0.35420000000000001</v>
      </c>
      <c r="R26" s="296">
        <f>$Q$26</f>
        <v>0.35420000000000001</v>
      </c>
      <c r="S26" s="296">
        <f t="shared" ref="S26:U26" si="30">$Q$26</f>
        <v>0.35420000000000001</v>
      </c>
      <c r="T26" s="296">
        <f t="shared" si="30"/>
        <v>0.35420000000000001</v>
      </c>
      <c r="U26" s="296">
        <f t="shared" si="30"/>
        <v>0.35420000000000001</v>
      </c>
      <c r="V26" s="307"/>
      <c r="W26" s="308"/>
      <c r="X26" s="296">
        <f>$Q$26</f>
        <v>0.35420000000000001</v>
      </c>
      <c r="Y26" s="296">
        <f>$X$26</f>
        <v>0.35420000000000001</v>
      </c>
      <c r="Z26" s="296">
        <f t="shared" ref="Z26:AB26" si="31">$X$26</f>
        <v>0.35420000000000001</v>
      </c>
      <c r="AA26" s="296">
        <f t="shared" si="31"/>
        <v>0.35420000000000001</v>
      </c>
      <c r="AB26" s="296">
        <f t="shared" si="31"/>
        <v>0.35420000000000001</v>
      </c>
    </row>
    <row r="27" spans="2:28" x14ac:dyDescent="0.3">
      <c r="B27" s="194"/>
      <c r="H27" s="197"/>
      <c r="O27" s="197"/>
      <c r="V27" s="197"/>
    </row>
    <row r="28" spans="2:28" x14ac:dyDescent="0.3">
      <c r="B28" s="325" t="s">
        <v>302</v>
      </c>
      <c r="C28" s="295">
        <f>'DATA STATEMENTS'!C$12</f>
        <v>10043</v>
      </c>
      <c r="D28" s="295">
        <f>'DATA STATEMENTS'!D$12</f>
        <v>11712.33</v>
      </c>
      <c r="E28" s="295">
        <f>'DATA STATEMENTS'!E$12</f>
        <v>14009.16</v>
      </c>
      <c r="F28" s="295">
        <f>'DATA STATEMENTS'!F$12</f>
        <v>15880</v>
      </c>
      <c r="G28" s="295">
        <f>'DATA STATEMENTS'!G$12</f>
        <v>17459</v>
      </c>
      <c r="H28" s="280"/>
      <c r="I28" s="193"/>
      <c r="J28" s="295">
        <f>J$9*J$30</f>
        <v>21029.051635581603</v>
      </c>
      <c r="K28" s="295">
        <f t="shared" ref="K28:N28" si="32">K$9*K$30</f>
        <v>23313.213803988579</v>
      </c>
      <c r="L28" s="295">
        <f t="shared" si="32"/>
        <v>25848.633810920324</v>
      </c>
      <c r="M28" s="295">
        <f t="shared" si="32"/>
        <v>28662.95001861456</v>
      </c>
      <c r="N28" s="295">
        <f t="shared" si="32"/>
        <v>31786.841009155163</v>
      </c>
      <c r="O28" s="280"/>
      <c r="P28" s="193"/>
      <c r="Q28" s="295">
        <f>Q$9*Q$30</f>
        <v>20101.754859264001</v>
      </c>
      <c r="R28" s="295">
        <f t="shared" ref="R28:U28" si="33">R$9*R$30</f>
        <v>21698.111711877122</v>
      </c>
      <c r="S28" s="295">
        <f t="shared" si="33"/>
        <v>23422.17711269929</v>
      </c>
      <c r="T28" s="295">
        <f t="shared" si="33"/>
        <v>25284.167745587238</v>
      </c>
      <c r="U28" s="295">
        <f t="shared" si="33"/>
        <v>27295.117629106211</v>
      </c>
      <c r="V28" s="280"/>
      <c r="W28" s="193"/>
      <c r="X28" s="295">
        <f>X$9*X$30</f>
        <v>19206.332427360001</v>
      </c>
      <c r="Y28" s="295">
        <f t="shared" ref="Y28:AB28" si="34">Y$9*Y$30</f>
        <v>20163.349746228003</v>
      </c>
      <c r="Z28" s="295">
        <f t="shared" si="34"/>
        <v>21168.217931039402</v>
      </c>
      <c r="AA28" s="295">
        <f t="shared" si="34"/>
        <v>22223.329525091369</v>
      </c>
      <c r="AB28" s="295">
        <f t="shared" si="34"/>
        <v>23331.196698845946</v>
      </c>
    </row>
    <row r="29" spans="2:28" ht="7.05" customHeight="1" x14ac:dyDescent="0.3">
      <c r="B29" s="194"/>
      <c r="H29" s="197"/>
      <c r="O29" s="197"/>
      <c r="V29" s="197"/>
    </row>
    <row r="30" spans="2:28" x14ac:dyDescent="0.3">
      <c r="B30" s="350" t="s">
        <v>2562</v>
      </c>
      <c r="C30" s="296">
        <f>C$28/C$9</f>
        <v>0.39449289025060885</v>
      </c>
      <c r="D30" s="296">
        <f>D$28/D$9</f>
        <v>0.3681434738412388</v>
      </c>
      <c r="E30" s="296">
        <f>E$28/E$9</f>
        <v>0.33184920019784231</v>
      </c>
      <c r="F30" s="296">
        <f>F$28/F$9</f>
        <v>0.34473027244111581</v>
      </c>
      <c r="G30" s="296">
        <f t="shared" ref="G30" si="35">G$28/G$9</f>
        <v>0.35213795885437676</v>
      </c>
      <c r="H30" s="307"/>
      <c r="I30" s="308"/>
      <c r="J30" s="296">
        <f>$Q$30</f>
        <v>0.3705</v>
      </c>
      <c r="K30" s="296">
        <f>$J$30</f>
        <v>0.3705</v>
      </c>
      <c r="L30" s="296">
        <f t="shared" ref="L30:N30" si="36">$J$30</f>
        <v>0.3705</v>
      </c>
      <c r="M30" s="296">
        <f t="shared" si="36"/>
        <v>0.3705</v>
      </c>
      <c r="N30" s="296">
        <f t="shared" si="36"/>
        <v>0.3705</v>
      </c>
      <c r="O30" s="307"/>
      <c r="P30" s="308"/>
      <c r="Q30" s="299">
        <v>0.3705</v>
      </c>
      <c r="R30" s="296">
        <f>$Q$30</f>
        <v>0.3705</v>
      </c>
      <c r="S30" s="296">
        <f t="shared" ref="S30:U30" si="37">$Q$30</f>
        <v>0.3705</v>
      </c>
      <c r="T30" s="296">
        <f t="shared" si="37"/>
        <v>0.3705</v>
      </c>
      <c r="U30" s="296">
        <f t="shared" si="37"/>
        <v>0.3705</v>
      </c>
      <c r="V30" s="307"/>
      <c r="W30" s="308"/>
      <c r="X30" s="296">
        <f>$Q$30</f>
        <v>0.3705</v>
      </c>
      <c r="Y30" s="296">
        <f>$X$30</f>
        <v>0.3705</v>
      </c>
      <c r="Z30" s="296">
        <f t="shared" ref="Z30:AB30" si="38">$X$30</f>
        <v>0.3705</v>
      </c>
      <c r="AA30" s="296">
        <f t="shared" si="38"/>
        <v>0.3705</v>
      </c>
      <c r="AB30" s="296">
        <f t="shared" si="38"/>
        <v>0.3705</v>
      </c>
    </row>
    <row r="31" spans="2:28" ht="13.95" customHeight="1" x14ac:dyDescent="0.3">
      <c r="H31" s="197"/>
      <c r="O31" s="197"/>
      <c r="V31" s="197"/>
    </row>
    <row r="32" spans="2:28" x14ac:dyDescent="0.3">
      <c r="B32" s="431" t="s">
        <v>2568</v>
      </c>
      <c r="C32" s="295">
        <f>'DATA STATEMENTS'!C$13+'DATA STATEMENTS'!C$16</f>
        <v>7720</v>
      </c>
      <c r="D32" s="295">
        <f>'DATA STATEMENTS'!D$13+'DATA STATEMENTS'!D$16</f>
        <v>9269.9</v>
      </c>
      <c r="E32" s="295">
        <f>'DATA STATEMENTS'!E$13+'DATA STATEMENTS'!E$16</f>
        <v>10404.69</v>
      </c>
      <c r="F32" s="295">
        <f>'DATA STATEMENTS'!F$13+'DATA STATEMENTS'!F$16</f>
        <v>11872</v>
      </c>
      <c r="G32" s="295">
        <f>'DATA STATEMENTS'!G$13+'DATA STATEMENTS'!G$16</f>
        <v>13814</v>
      </c>
      <c r="H32" s="197"/>
      <c r="J32" s="295">
        <f>('REVENUE SCHEDULE'!J$13+'OTHER INCOME SCHEDULE'!J$11)*'COGS SCHEDULE'!$M$43</f>
        <v>15315.805659657146</v>
      </c>
      <c r="K32" s="295">
        <f>('REVENUE SCHEDULE'!K$13+'OTHER INCOME SCHEDULE'!K$11)*'COGS SCHEDULE'!$M$43</f>
        <v>16979.398696219432</v>
      </c>
      <c r="L32" s="295">
        <f>('REVENUE SCHEDULE'!L$13+'OTHER INCOME SCHEDULE'!L$11)*'COGS SCHEDULE'!$M$43</f>
        <v>18825.986966803572</v>
      </c>
      <c r="M32" s="295">
        <f>('REVENUE SCHEDULE'!M$13+'OTHER INCOME SCHEDULE'!M$11)*'COGS SCHEDULE'!$M$43</f>
        <v>20875.699947151963</v>
      </c>
      <c r="N32" s="295">
        <f>('REVENUE SCHEDULE'!N$13+'OTHER INCOME SCHEDULE'!N$11)*'COGS SCHEDULE'!$M$43</f>
        <v>23150.881355338679</v>
      </c>
      <c r="O32" s="280"/>
      <c r="P32" s="193"/>
      <c r="Q32" s="295">
        <f>('REVENUE SCHEDULE'!Q$13+'OTHER INCOME SCHEDULE'!Q$11)*'COGS SCHEDULE'!$T$43</f>
        <v>16107.175368</v>
      </c>
      <c r="R32" s="295">
        <f>('REVENUE SCHEDULE'!R$13+'OTHER INCOME SCHEDULE'!R$11)*'COGS SCHEDULE'!$T$43</f>
        <v>17386.307461439999</v>
      </c>
      <c r="S32" s="295">
        <f>('REVENUE SCHEDULE'!S$13+'OTHER INCOME SCHEDULE'!S$11)*'COGS SCHEDULE'!$T$43</f>
        <v>18767.770122355199</v>
      </c>
      <c r="T32" s="295">
        <f>('REVENUE SCHEDULE'!T$13+'OTHER INCOME SCHEDULE'!T$11)*'COGS SCHEDULE'!$T$43</f>
        <v>20259.749796143617</v>
      </c>
      <c r="U32" s="295">
        <f>('REVENUE SCHEDULE'!U$13+'OTHER INCOME SCHEDULE'!U$11)*'COGS SCHEDULE'!$T$43</f>
        <v>21871.087843835103</v>
      </c>
      <c r="V32" s="280"/>
      <c r="W32" s="193"/>
      <c r="X32" s="295">
        <f>('REVENUE SCHEDULE'!X$13+'OTHER INCOME SCHEDULE'!X$11)*'COGS SCHEDULE'!$AA$43</f>
        <v>16747.969728000004</v>
      </c>
      <c r="Y32" s="295">
        <f>('REVENUE SCHEDULE'!Y$13+'OTHER INCOME SCHEDULE'!Y$11)*'COGS SCHEDULE'!$AA$43</f>
        <v>17582.491214400001</v>
      </c>
      <c r="Z32" s="295">
        <f>('REVENUE SCHEDULE'!Z$13+'OTHER INCOME SCHEDULE'!Z$11)*'COGS SCHEDULE'!$AA$43</f>
        <v>18458.738775120004</v>
      </c>
      <c r="AA32" s="295">
        <f>('REVENUE SCHEDULE'!AA$13+'OTHER INCOME SCHEDULE'!AA$11)*'COGS SCHEDULE'!$AA$43</f>
        <v>19378.798713876</v>
      </c>
      <c r="AB32" s="295">
        <f>('REVENUE SCHEDULE'!AB$13+'OTHER INCOME SCHEDULE'!AB$11)*'COGS SCHEDULE'!$AA$43</f>
        <v>20344.861649569804</v>
      </c>
    </row>
    <row r="33" spans="2:28" ht="14.4" customHeight="1" x14ac:dyDescent="0.3">
      <c r="B33" s="303" t="s">
        <v>2565</v>
      </c>
      <c r="C33" s="432">
        <f>C$32/'INCOME STATEMENT'!C$14</f>
        <v>0.16982335731098352</v>
      </c>
      <c r="D33" s="432">
        <f>D$32/'INCOME STATEMENT'!D$14</f>
        <v>0.17455256065908142</v>
      </c>
      <c r="E33" s="432">
        <f>E$32/'INCOME STATEMENT'!E$14</f>
        <v>0.16322859304212881</v>
      </c>
      <c r="F33" s="432">
        <f>F$32/'INCOME STATEMENT'!F$14</f>
        <v>0.16598392170569731</v>
      </c>
      <c r="G33" s="432">
        <f>G$32/'INCOME STATEMENT'!G$14</f>
        <v>0.18010665067341164</v>
      </c>
      <c r="H33" s="307"/>
      <c r="I33" s="308"/>
      <c r="J33" s="312">
        <f>J$32/('REVENUE SCHEDULE'!J$13+'OTHER INCOME SCHEDULE'!J$11)</f>
        <v>0.17</v>
      </c>
      <c r="K33" s="312">
        <f>K$32/('REVENUE SCHEDULE'!K$13+'OTHER INCOME SCHEDULE'!K$11)</f>
        <v>0.17</v>
      </c>
      <c r="L33" s="312">
        <f>L$32/('REVENUE SCHEDULE'!L$13+'OTHER INCOME SCHEDULE'!L$11)</f>
        <v>0.17</v>
      </c>
      <c r="M33" s="312">
        <f>M$32/('REVENUE SCHEDULE'!M$13+'OTHER INCOME SCHEDULE'!M$11)</f>
        <v>0.17</v>
      </c>
      <c r="N33" s="312">
        <f>N$32/('REVENUE SCHEDULE'!N$13+'OTHER INCOME SCHEDULE'!N$11)</f>
        <v>0.17</v>
      </c>
      <c r="O33" s="307"/>
      <c r="P33" s="308"/>
      <c r="Q33" s="312">
        <f>Q$32/('REVENUE SCHEDULE'!Q$13+'OTHER INCOME SCHEDULE'!Q$11)</f>
        <v>0.19</v>
      </c>
      <c r="R33" s="312">
        <f>R$32/('REVENUE SCHEDULE'!R$13+'OTHER INCOME SCHEDULE'!R$11)</f>
        <v>0.18999999999999997</v>
      </c>
      <c r="S33" s="312">
        <f>S$32/('REVENUE SCHEDULE'!S$13+'OTHER INCOME SCHEDULE'!S$11)</f>
        <v>0.18999999999999997</v>
      </c>
      <c r="T33" s="312">
        <f>T$32/('REVENUE SCHEDULE'!T$13+'OTHER INCOME SCHEDULE'!T$11)</f>
        <v>0.19</v>
      </c>
      <c r="U33" s="312">
        <f>U$32/('REVENUE SCHEDULE'!U$13+'OTHER INCOME SCHEDULE'!U$11)</f>
        <v>0.19</v>
      </c>
      <c r="V33" s="307"/>
      <c r="W33" s="308"/>
      <c r="X33" s="312">
        <f>X$32/('REVENUE SCHEDULE'!X$13+'OTHER INCOME SCHEDULE'!X$11)</f>
        <v>0.21000000000000002</v>
      </c>
      <c r="Y33" s="312">
        <f>Y$32/('REVENUE SCHEDULE'!Y$13+'OTHER INCOME SCHEDULE'!Y$11)</f>
        <v>0.21000000000000002</v>
      </c>
      <c r="Z33" s="312">
        <f>Z$32/('REVENUE SCHEDULE'!Z$13+'OTHER INCOME SCHEDULE'!Z$11)</f>
        <v>0.21</v>
      </c>
      <c r="AA33" s="312">
        <f>AA$32/('REVENUE SCHEDULE'!AA$13+'OTHER INCOME SCHEDULE'!AA$11)</f>
        <v>0.21</v>
      </c>
      <c r="AB33" s="312">
        <f>AB$32/('REVENUE SCHEDULE'!AB$13+'OTHER INCOME SCHEDULE'!AB$11)</f>
        <v>0.21</v>
      </c>
    </row>
    <row r="34" spans="2:28" x14ac:dyDescent="0.3">
      <c r="H34" s="197"/>
      <c r="O34" s="197"/>
      <c r="V34" s="197"/>
    </row>
    <row r="35" spans="2:28" x14ac:dyDescent="0.3">
      <c r="B35" s="325" t="s">
        <v>2567</v>
      </c>
      <c r="C35" s="295">
        <f>'DATA STATEMENTS'!C$13</f>
        <v>2353</v>
      </c>
      <c r="D35" s="295">
        <f>'DATA STATEMENTS'!D$13</f>
        <v>2534.6799999999998</v>
      </c>
      <c r="E35" s="295">
        <f>'DATA STATEMENTS'!E$13</f>
        <v>2738.97</v>
      </c>
      <c r="F35" s="295">
        <f>'DATA STATEMENTS'!F$13</f>
        <v>3037</v>
      </c>
      <c r="G35" s="295">
        <f>'DATA STATEMENTS'!G$13</f>
        <v>3604</v>
      </c>
      <c r="H35" s="197"/>
      <c r="J35" s="295">
        <f>J$32*J$37</f>
        <v>4253.1992316867891</v>
      </c>
      <c r="K35" s="295">
        <f t="shared" ref="K35:N35" si="39">K$32*K$37</f>
        <v>4715.179017940136</v>
      </c>
      <c r="L35" s="295">
        <f t="shared" si="39"/>
        <v>5227.9765806813521</v>
      </c>
      <c r="M35" s="295">
        <f t="shared" si="39"/>
        <v>5797.1818753241005</v>
      </c>
      <c r="N35" s="295">
        <f t="shared" si="39"/>
        <v>6428.999752377551</v>
      </c>
      <c r="O35" s="280"/>
      <c r="P35" s="193"/>
      <c r="Q35" s="295">
        <f t="shared" ref="Q35:U35" si="40">Q$32*Q$37</f>
        <v>4472.9625996936002</v>
      </c>
      <c r="R35" s="295">
        <f t="shared" si="40"/>
        <v>4828.1775820418879</v>
      </c>
      <c r="S35" s="295">
        <f t="shared" si="40"/>
        <v>5211.8097629780386</v>
      </c>
      <c r="T35" s="295">
        <f t="shared" si="40"/>
        <v>5626.1325183890822</v>
      </c>
      <c r="U35" s="295">
        <f t="shared" si="40"/>
        <v>6073.6010942330086</v>
      </c>
      <c r="V35" s="280"/>
      <c r="W35" s="193"/>
      <c r="X35" s="295">
        <f t="shared" ref="X35:AB35" si="41">X$32*X$37</f>
        <v>4650.9111934656012</v>
      </c>
      <c r="Y35" s="295">
        <f t="shared" si="41"/>
        <v>4882.6578102388803</v>
      </c>
      <c r="Z35" s="295">
        <f t="shared" si="41"/>
        <v>5125.9917578508248</v>
      </c>
      <c r="AA35" s="295">
        <f t="shared" si="41"/>
        <v>5381.4924028433652</v>
      </c>
      <c r="AB35" s="295">
        <f t="shared" si="41"/>
        <v>5649.7680800855351</v>
      </c>
    </row>
    <row r="36" spans="2:28" ht="7.05" customHeight="1" x14ac:dyDescent="0.3">
      <c r="B36" s="194"/>
      <c r="H36" s="197"/>
      <c r="O36" s="197"/>
      <c r="V36" s="197"/>
    </row>
    <row r="37" spans="2:28" x14ac:dyDescent="0.3">
      <c r="B37" s="350" t="s">
        <v>2569</v>
      </c>
      <c r="C37" s="296">
        <f>C$35/C$32</f>
        <v>0.30479274611398965</v>
      </c>
      <c r="D37" s="296">
        <f>D$35/D$32</f>
        <v>0.27343121285019256</v>
      </c>
      <c r="E37" s="296">
        <f>E$35/E$32</f>
        <v>0.26324378717674429</v>
      </c>
      <c r="F37" s="296">
        <f>F$35/F$32</f>
        <v>0.25581199460916443</v>
      </c>
      <c r="G37" s="296">
        <f t="shared" ref="G37" si="42">G$35/G$32</f>
        <v>0.26089474446213984</v>
      </c>
      <c r="H37" s="307"/>
      <c r="I37" s="308"/>
      <c r="J37" s="296">
        <f>$Q$37</f>
        <v>0.2777</v>
      </c>
      <c r="K37" s="296">
        <f>$J$37</f>
        <v>0.2777</v>
      </c>
      <c r="L37" s="296">
        <f t="shared" ref="L37:N37" si="43">$J$37</f>
        <v>0.2777</v>
      </c>
      <c r="M37" s="296">
        <f t="shared" si="43"/>
        <v>0.2777</v>
      </c>
      <c r="N37" s="296">
        <f t="shared" si="43"/>
        <v>0.2777</v>
      </c>
      <c r="O37" s="307"/>
      <c r="P37" s="308"/>
      <c r="Q37" s="299">
        <v>0.2777</v>
      </c>
      <c r="R37" s="296">
        <f>$Q$37</f>
        <v>0.2777</v>
      </c>
      <c r="S37" s="296">
        <f t="shared" ref="S37:U37" si="44">$Q$37</f>
        <v>0.2777</v>
      </c>
      <c r="T37" s="296">
        <f t="shared" si="44"/>
        <v>0.2777</v>
      </c>
      <c r="U37" s="296">
        <f t="shared" si="44"/>
        <v>0.2777</v>
      </c>
      <c r="V37" s="307"/>
      <c r="W37" s="308"/>
      <c r="X37" s="296">
        <f>$Q$37</f>
        <v>0.2777</v>
      </c>
      <c r="Y37" s="296">
        <f>$X$37</f>
        <v>0.2777</v>
      </c>
      <c r="Z37" s="296">
        <f t="shared" ref="Z37:AB37" si="45">$X$37</f>
        <v>0.2777</v>
      </c>
      <c r="AA37" s="296">
        <f t="shared" si="45"/>
        <v>0.2777</v>
      </c>
      <c r="AB37" s="296">
        <f t="shared" si="45"/>
        <v>0.2777</v>
      </c>
    </row>
    <row r="38" spans="2:28" x14ac:dyDescent="0.3">
      <c r="B38" s="194"/>
      <c r="H38" s="197"/>
      <c r="O38" s="197"/>
      <c r="V38" s="197"/>
    </row>
    <row r="39" spans="2:28" x14ac:dyDescent="0.3">
      <c r="B39" s="325" t="s">
        <v>306</v>
      </c>
      <c r="C39" s="295">
        <f>'DATA STATEMENTS'!C$16</f>
        <v>5367</v>
      </c>
      <c r="D39" s="295">
        <f>'DATA STATEMENTS'!D$16</f>
        <v>6735.22</v>
      </c>
      <c r="E39" s="295">
        <f>'DATA STATEMENTS'!E$16</f>
        <v>7665.72</v>
      </c>
      <c r="F39" s="295">
        <f>'DATA STATEMENTS'!F$16</f>
        <v>8835</v>
      </c>
      <c r="G39" s="295">
        <f>'DATA STATEMENTS'!G$16</f>
        <v>10210</v>
      </c>
      <c r="H39" s="197"/>
      <c r="J39" s="295">
        <f>J$32*J$41</f>
        <v>11062.606427970357</v>
      </c>
      <c r="K39" s="295">
        <f t="shared" ref="K39:N39" si="46">K$32*K$41</f>
        <v>12264.219678279296</v>
      </c>
      <c r="L39" s="295">
        <f t="shared" si="46"/>
        <v>13598.010386122221</v>
      </c>
      <c r="M39" s="295">
        <f t="shared" si="46"/>
        <v>15078.518071827864</v>
      </c>
      <c r="N39" s="295">
        <f t="shared" si="46"/>
        <v>16721.88160296113</v>
      </c>
      <c r="O39" s="280"/>
      <c r="P39" s="193"/>
      <c r="Q39" s="295">
        <f t="shared" ref="Q39:U39" si="47">Q$32*Q$41</f>
        <v>11634.212768306401</v>
      </c>
      <c r="R39" s="295">
        <f t="shared" si="47"/>
        <v>12558.129879398113</v>
      </c>
      <c r="S39" s="295">
        <f t="shared" si="47"/>
        <v>13555.960359377161</v>
      </c>
      <c r="T39" s="295">
        <f t="shared" si="47"/>
        <v>14633.617277754536</v>
      </c>
      <c r="U39" s="295">
        <f t="shared" si="47"/>
        <v>15797.486749602096</v>
      </c>
      <c r="V39" s="280"/>
      <c r="W39" s="193"/>
      <c r="X39" s="295">
        <f t="shared" ref="X39:AB39" si="48">X$32*X$41</f>
        <v>12097.058534534404</v>
      </c>
      <c r="Y39" s="295">
        <f t="shared" si="48"/>
        <v>12699.833404161122</v>
      </c>
      <c r="Z39" s="295">
        <f t="shared" si="48"/>
        <v>13332.747017269179</v>
      </c>
      <c r="AA39" s="295">
        <f t="shared" si="48"/>
        <v>13997.306311032637</v>
      </c>
      <c r="AB39" s="295">
        <f t="shared" si="48"/>
        <v>14695.09356948427</v>
      </c>
    </row>
    <row r="40" spans="2:28" ht="7.05" customHeight="1" x14ac:dyDescent="0.3">
      <c r="B40" s="194"/>
      <c r="H40" s="197"/>
      <c r="O40" s="197"/>
      <c r="V40" s="197"/>
    </row>
    <row r="41" spans="2:28" x14ac:dyDescent="0.3">
      <c r="B41" s="350" t="s">
        <v>2569</v>
      </c>
      <c r="C41" s="296">
        <f>C$39/C$32</f>
        <v>0.69520725388601035</v>
      </c>
      <c r="D41" s="296">
        <f>D$39/D$32</f>
        <v>0.72656878714980755</v>
      </c>
      <c r="E41" s="296">
        <f>E$39/E$32</f>
        <v>0.73675621282325565</v>
      </c>
      <c r="F41" s="296">
        <f>F$39/F$32</f>
        <v>0.74418800539083563</v>
      </c>
      <c r="G41" s="296">
        <f t="shared" ref="G41" si="49">G$39/G$32</f>
        <v>0.73910525553786011</v>
      </c>
      <c r="H41" s="307"/>
      <c r="I41" s="308"/>
      <c r="J41" s="296">
        <f>$Q$41</f>
        <v>0.72230000000000005</v>
      </c>
      <c r="K41" s="296">
        <f>$J$41</f>
        <v>0.72230000000000005</v>
      </c>
      <c r="L41" s="296">
        <f t="shared" ref="L41:N41" si="50">$J$41</f>
        <v>0.72230000000000005</v>
      </c>
      <c r="M41" s="296">
        <f t="shared" si="50"/>
        <v>0.72230000000000005</v>
      </c>
      <c r="N41" s="296">
        <f t="shared" si="50"/>
        <v>0.72230000000000005</v>
      </c>
      <c r="O41" s="307"/>
      <c r="P41" s="308"/>
      <c r="Q41" s="299">
        <v>0.72230000000000005</v>
      </c>
      <c r="R41" s="296">
        <f>$Q$41</f>
        <v>0.72230000000000005</v>
      </c>
      <c r="S41" s="296">
        <f t="shared" ref="S41:U41" si="51">$Q$41</f>
        <v>0.72230000000000005</v>
      </c>
      <c r="T41" s="296">
        <f t="shared" si="51"/>
        <v>0.72230000000000005</v>
      </c>
      <c r="U41" s="296">
        <f t="shared" si="51"/>
        <v>0.72230000000000005</v>
      </c>
      <c r="V41" s="307"/>
      <c r="W41" s="308"/>
      <c r="X41" s="296">
        <f>$Q$41</f>
        <v>0.72230000000000005</v>
      </c>
      <c r="Y41" s="296">
        <f>$X$41</f>
        <v>0.72230000000000005</v>
      </c>
      <c r="Z41" s="296">
        <f t="shared" ref="Z41:AB41" si="52">$X$41</f>
        <v>0.72230000000000005</v>
      </c>
      <c r="AA41" s="296">
        <f t="shared" si="52"/>
        <v>0.72230000000000005</v>
      </c>
      <c r="AB41" s="296">
        <f t="shared" si="52"/>
        <v>0.72230000000000005</v>
      </c>
    </row>
    <row r="43" spans="2:28" x14ac:dyDescent="0.3">
      <c r="B43" s="189"/>
      <c r="C43" s="189"/>
      <c r="D43" s="189"/>
      <c r="E43" s="189"/>
      <c r="F43" s="189"/>
      <c r="G43" s="189"/>
      <c r="H43" s="189"/>
      <c r="I43" s="189"/>
      <c r="J43" s="189"/>
      <c r="K43" s="304" t="s">
        <v>2529</v>
      </c>
      <c r="L43" s="284" t="s">
        <v>2570</v>
      </c>
      <c r="M43" s="293">
        <v>0.17</v>
      </c>
      <c r="N43" s="189"/>
      <c r="O43" s="189"/>
      <c r="P43" s="189"/>
      <c r="Q43" s="189"/>
      <c r="R43" s="304" t="s">
        <v>2530</v>
      </c>
      <c r="S43" s="284" t="s">
        <v>2570</v>
      </c>
      <c r="T43" s="293">
        <v>0.19</v>
      </c>
      <c r="U43" s="189"/>
      <c r="V43" s="189"/>
      <c r="W43" s="189"/>
      <c r="X43" s="189"/>
      <c r="Y43" s="304" t="s">
        <v>2531</v>
      </c>
      <c r="Z43" s="284" t="s">
        <v>2570</v>
      </c>
      <c r="AA43" s="293">
        <v>0.21</v>
      </c>
      <c r="AB43" s="189"/>
    </row>
    <row r="44" spans="2:28" x14ac:dyDescent="0.3">
      <c r="AA44" s="49"/>
    </row>
    <row r="45" spans="2:28" x14ac:dyDescent="0.3">
      <c r="B45" s="522" t="s">
        <v>2582</v>
      </c>
      <c r="C45" s="522"/>
      <c r="D45" s="522"/>
      <c r="E45" s="522"/>
      <c r="F45" s="522"/>
      <c r="G45" s="522"/>
      <c r="H45" s="522"/>
      <c r="I45" s="522"/>
      <c r="J45" s="522"/>
      <c r="K45" s="522"/>
      <c r="L45" s="522"/>
      <c r="M45" s="522"/>
      <c r="N45" s="522"/>
      <c r="O45" s="522"/>
      <c r="P45" s="522"/>
      <c r="Q45" s="522"/>
      <c r="R45" s="522"/>
      <c r="S45" s="522"/>
      <c r="T45" s="522"/>
      <c r="U45" s="522"/>
      <c r="V45" s="522"/>
      <c r="W45" s="522"/>
      <c r="X45" s="522"/>
      <c r="Y45" s="522"/>
      <c r="Z45" s="522"/>
      <c r="AA45" s="522"/>
      <c r="AB45" s="522"/>
    </row>
  </sheetData>
  <mergeCells count="1">
    <mergeCell ref="B45:AB45"/>
  </mergeCells>
  <printOptions horizontalCentered="1" verticalCentered="1"/>
  <pageMargins left="0" right="0" top="0" bottom="0" header="0" footer="0"/>
  <pageSetup paperSize="9" scale="36" orientation="landscape"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63"/>
  <sheetViews>
    <sheetView zoomScale="70" zoomScaleNormal="70" workbookViewId="0">
      <pane xSplit="2" ySplit="7" topLeftCell="C32" activePane="bottomRight" state="frozen"/>
      <selection pane="topRight" activeCell="C1" sqref="C1"/>
      <selection pane="bottomLeft" activeCell="A8" sqref="A8"/>
      <selection pane="bottomRight" activeCell="H47" sqref="H47"/>
    </sheetView>
  </sheetViews>
  <sheetFormatPr defaultColWidth="16.77734375" defaultRowHeight="14.4" x14ac:dyDescent="0.3"/>
  <cols>
    <col min="1" max="1" width="2" style="190" customWidth="1"/>
    <col min="2" max="2" width="44.77734375" style="190" customWidth="1"/>
    <col min="3" max="7" width="16.77734375" style="190"/>
    <col min="8" max="9" width="2" style="190" customWidth="1"/>
    <col min="10" max="16384" width="16.77734375" style="190"/>
  </cols>
  <sheetData>
    <row r="1" spans="2:18" ht="15.6" x14ac:dyDescent="0.4">
      <c r="B1" s="188" t="s">
        <v>342</v>
      </c>
      <c r="C1" s="189"/>
      <c r="D1" s="189"/>
      <c r="E1" s="189"/>
      <c r="F1" s="189"/>
      <c r="G1" s="189"/>
      <c r="H1" s="189"/>
      <c r="I1" s="189"/>
      <c r="J1" s="189"/>
      <c r="K1" s="189"/>
      <c r="L1" s="189"/>
      <c r="M1" s="189"/>
    </row>
    <row r="2" spans="2:18" ht="23.4" x14ac:dyDescent="0.45">
      <c r="B2" s="191" t="s">
        <v>341</v>
      </c>
      <c r="C2" s="189"/>
      <c r="D2" s="189"/>
      <c r="E2" s="189"/>
      <c r="F2" s="189"/>
      <c r="G2" s="189"/>
      <c r="H2" s="189"/>
      <c r="I2" s="189"/>
      <c r="J2" s="189"/>
      <c r="K2" s="189"/>
      <c r="L2" s="189"/>
      <c r="M2" s="189"/>
    </row>
    <row r="3" spans="2:18" x14ac:dyDescent="0.3">
      <c r="B3" s="189" t="s">
        <v>343</v>
      </c>
      <c r="C3" s="189"/>
      <c r="D3" s="189"/>
      <c r="E3" s="189"/>
      <c r="F3" s="189"/>
      <c r="G3" s="189"/>
      <c r="H3" s="189"/>
      <c r="I3" s="189"/>
      <c r="J3" s="189"/>
      <c r="K3" s="189"/>
      <c r="L3" s="189"/>
      <c r="M3" s="189"/>
    </row>
    <row r="5" spans="2:18" x14ac:dyDescent="0.3">
      <c r="B5" s="192" t="s">
        <v>2571</v>
      </c>
      <c r="C5" s="192"/>
      <c r="D5" s="192"/>
      <c r="E5" s="189"/>
      <c r="F5" s="192"/>
      <c r="G5" s="192"/>
      <c r="H5" s="197"/>
      <c r="J5" s="319" t="s">
        <v>2580</v>
      </c>
      <c r="K5" s="192"/>
      <c r="L5" s="192"/>
      <c r="M5" s="192"/>
    </row>
    <row r="6" spans="2:18" x14ac:dyDescent="0.3">
      <c r="H6" s="197"/>
    </row>
    <row r="7" spans="2:18" x14ac:dyDescent="0.3">
      <c r="B7" s="192" t="s">
        <v>1</v>
      </c>
      <c r="C7" s="110">
        <v>44440</v>
      </c>
      <c r="D7" s="110">
        <f>EDATE(C7,12)</f>
        <v>44805</v>
      </c>
      <c r="E7" s="110">
        <f t="shared" ref="E7:G7" si="0">EDATE(D7,12)</f>
        <v>45170</v>
      </c>
      <c r="F7" s="110">
        <f t="shared" si="0"/>
        <v>45536</v>
      </c>
      <c r="G7" s="110">
        <f t="shared" si="0"/>
        <v>45901</v>
      </c>
      <c r="H7" s="197"/>
    </row>
    <row r="8" spans="2:18" ht="7.05" customHeight="1" x14ac:dyDescent="0.3">
      <c r="H8" s="197"/>
    </row>
    <row r="9" spans="2:18" x14ac:dyDescent="0.3">
      <c r="B9" s="199" t="s">
        <v>2576</v>
      </c>
      <c r="H9" s="197"/>
    </row>
    <row r="10" spans="2:18" ht="7.05" customHeight="1" x14ac:dyDescent="0.3">
      <c r="H10" s="197"/>
    </row>
    <row r="11" spans="2:18" x14ac:dyDescent="0.3">
      <c r="B11" s="325" t="s">
        <v>2572</v>
      </c>
      <c r="C11" s="301">
        <v>0</v>
      </c>
      <c r="D11" s="301">
        <f>'BALANCE SHEET'!C$26</f>
        <v>42291</v>
      </c>
      <c r="E11" s="301">
        <f>'BALANCE SHEET'!D$26</f>
        <v>42592.19</v>
      </c>
      <c r="F11" s="301">
        <f>'BALANCE SHEET'!E$26</f>
        <v>46480.28</v>
      </c>
      <c r="G11" s="301">
        <f>'BALANCE SHEET'!F$26</f>
        <v>50126</v>
      </c>
      <c r="H11" s="197"/>
      <c r="J11" s="523" t="s">
        <v>2750</v>
      </c>
      <c r="K11" s="523"/>
      <c r="L11" s="523"/>
      <c r="M11" s="523"/>
    </row>
    <row r="12" spans="2:18" x14ac:dyDescent="0.3">
      <c r="B12" s="194" t="s">
        <v>31</v>
      </c>
      <c r="C12" s="190">
        <f>'BALANCE SHEET'!C$27</f>
        <v>1680</v>
      </c>
      <c r="D12" s="190">
        <f>'BALANCE SHEET'!D$27</f>
        <v>4777.25</v>
      </c>
      <c r="E12" s="190">
        <f>'BALANCE SHEET'!E$27</f>
        <v>4034.91</v>
      </c>
      <c r="F12" s="190">
        <f>'BALANCE SHEET'!F$27</f>
        <v>6782</v>
      </c>
      <c r="G12" s="190">
        <f>'BALANCE SHEET'!G$27</f>
        <v>6188</v>
      </c>
      <c r="H12" s="197"/>
      <c r="J12" s="525" t="s">
        <v>2751</v>
      </c>
      <c r="K12" s="525"/>
      <c r="L12" s="525"/>
      <c r="M12" s="525"/>
    </row>
    <row r="13" spans="2:18" ht="14.4" customHeight="1" x14ac:dyDescent="0.3">
      <c r="B13" s="194" t="s">
        <v>2573</v>
      </c>
      <c r="C13" s="190">
        <f>-'DATA STATEMENTS'!C$107</f>
        <v>1805</v>
      </c>
      <c r="D13" s="190">
        <f>-'DATA STATEMENTS'!D$107</f>
        <v>5613.41</v>
      </c>
      <c r="E13" s="190">
        <f>-'DATA STATEMENTS'!E$107</f>
        <v>6200.11</v>
      </c>
      <c r="F13" s="190">
        <f>-'DATA STATEMENTS'!F$107</f>
        <v>9005</v>
      </c>
      <c r="G13" s="190">
        <f>-'DATA STATEMENTS'!G$107</f>
        <v>9129</v>
      </c>
      <c r="H13" s="209"/>
      <c r="I13" s="49"/>
      <c r="J13" s="524" t="s">
        <v>2752</v>
      </c>
      <c r="K13" s="524"/>
      <c r="L13" s="524"/>
      <c r="M13" s="524"/>
      <c r="N13" s="49"/>
      <c r="O13" s="49"/>
      <c r="P13" s="49"/>
      <c r="Q13" s="49"/>
      <c r="R13" s="49"/>
    </row>
    <row r="14" spans="2:18" ht="14.4" customHeight="1" x14ac:dyDescent="0.3">
      <c r="B14" s="194" t="s">
        <v>2574</v>
      </c>
      <c r="C14" s="190">
        <f>'DATA STATEMENTS'!C$108</f>
        <v>82</v>
      </c>
      <c r="D14" s="190">
        <f>'DATA STATEMENTS'!D$108</f>
        <v>63</v>
      </c>
      <c r="E14" s="190">
        <f>'DATA STATEMENTS'!E$108</f>
        <v>94.53</v>
      </c>
      <c r="F14" s="190">
        <f>'DATA STATEMENTS'!F$108</f>
        <v>121</v>
      </c>
      <c r="G14" s="190">
        <f>'DATA STATEMENTS'!G$108</f>
        <v>178</v>
      </c>
      <c r="H14" s="197"/>
      <c r="J14" s="525" t="s">
        <v>2584</v>
      </c>
      <c r="K14" s="525"/>
      <c r="L14" s="525"/>
      <c r="M14" s="525"/>
      <c r="N14" s="49"/>
    </row>
    <row r="15" spans="2:18" x14ac:dyDescent="0.3">
      <c r="B15" s="322" t="s">
        <v>8</v>
      </c>
      <c r="C15" s="314">
        <f>'DATA STATEMENTS'!C$15</f>
        <v>2700</v>
      </c>
      <c r="D15" s="314">
        <f>'DATA STATEMENTS'!D$15</f>
        <v>2714.75</v>
      </c>
      <c r="E15" s="314">
        <f>'DATA STATEMENTS'!E$15</f>
        <v>2887.99</v>
      </c>
      <c r="F15" s="314">
        <f>'DATA STATEMENTS'!F$15</f>
        <v>3145</v>
      </c>
      <c r="G15" s="314">
        <f>'DATA STATEMENTS'!G$15</f>
        <v>4014</v>
      </c>
      <c r="H15" s="209"/>
      <c r="I15" s="49"/>
      <c r="J15" s="525"/>
      <c r="K15" s="525"/>
      <c r="L15" s="525"/>
      <c r="M15" s="525"/>
      <c r="N15" s="49"/>
    </row>
    <row r="16" spans="2:18" x14ac:dyDescent="0.3">
      <c r="H16" s="197"/>
    </row>
    <row r="17" spans="2:14" x14ac:dyDescent="0.3">
      <c r="B17" s="241" t="s">
        <v>1</v>
      </c>
      <c r="C17" s="313">
        <v>46266</v>
      </c>
      <c r="D17" s="313">
        <f>EDATE(C17,12)</f>
        <v>46631</v>
      </c>
      <c r="E17" s="313">
        <f t="shared" ref="E17:G17" si="1">EDATE(D17,12)</f>
        <v>46997</v>
      </c>
      <c r="F17" s="313">
        <f t="shared" si="1"/>
        <v>47362</v>
      </c>
      <c r="G17" s="313">
        <f t="shared" si="1"/>
        <v>47727</v>
      </c>
      <c r="H17" s="197"/>
      <c r="J17" s="315"/>
      <c r="K17" s="315"/>
      <c r="L17" s="315"/>
      <c r="M17" s="315"/>
      <c r="N17" s="315"/>
    </row>
    <row r="18" spans="2:14" ht="7.05" customHeight="1" x14ac:dyDescent="0.3">
      <c r="H18" s="197"/>
    </row>
    <row r="19" spans="2:14" x14ac:dyDescent="0.3">
      <c r="B19" s="199" t="s">
        <v>2577</v>
      </c>
      <c r="H19" s="197"/>
      <c r="J19" s="305"/>
    </row>
    <row r="20" spans="2:14" ht="7.05" customHeight="1" x14ac:dyDescent="0.3">
      <c r="H20" s="197"/>
    </row>
    <row r="21" spans="2:14" x14ac:dyDescent="0.3">
      <c r="B21" s="325" t="s">
        <v>2572</v>
      </c>
      <c r="C21" s="301">
        <f>$G$11+$G$13+$G$12-$G$14-$G$15</f>
        <v>61251</v>
      </c>
      <c r="D21" s="301">
        <f>C$27</f>
        <v>71605.270451851989</v>
      </c>
      <c r="E21" s="301">
        <f t="shared" ref="E21:G21" si="2">D$27</f>
        <v>85096.025521701216</v>
      </c>
      <c r="F21" s="301">
        <f t="shared" si="2"/>
        <v>100189.05244097613</v>
      </c>
      <c r="G21" s="301">
        <f t="shared" si="2"/>
        <v>117074.41923689388</v>
      </c>
      <c r="H21" s="197"/>
      <c r="J21" s="526" t="s">
        <v>2754</v>
      </c>
      <c r="K21" s="526"/>
      <c r="L21" s="526"/>
      <c r="M21" s="526"/>
    </row>
    <row r="22" spans="2:14" x14ac:dyDescent="0.3">
      <c r="B22" s="194" t="s">
        <v>31</v>
      </c>
      <c r="C22" s="190">
        <f>C$23*C$57</f>
        <v>6291.0122211914077</v>
      </c>
      <c r="D22" s="190">
        <f t="shared" ref="D22:G22" si="3">D$23*D$57</f>
        <v>7980.5171448548517</v>
      </c>
      <c r="E22" s="190">
        <f t="shared" si="3"/>
        <v>8976.6735501711591</v>
      </c>
      <c r="F22" s="190">
        <f t="shared" si="3"/>
        <v>10096.225283852587</v>
      </c>
      <c r="G22" s="190">
        <f t="shared" si="3"/>
        <v>9903.1299538836993</v>
      </c>
      <c r="H22" s="197"/>
      <c r="J22" s="526"/>
      <c r="K22" s="526"/>
      <c r="L22" s="526"/>
      <c r="M22" s="526"/>
    </row>
    <row r="23" spans="2:14" x14ac:dyDescent="0.3">
      <c r="B23" s="194" t="s">
        <v>2573</v>
      </c>
      <c r="C23" s="190">
        <f>('REVENUE SCHEDULE'!J$13+'OTHER INCOME SCHEDULE'!J$11)*'DEPRECIATION SCHEDULE'!C$49</f>
        <v>9531.8366987748595</v>
      </c>
      <c r="D23" s="190">
        <f>('REVENUE SCHEDULE'!K$13+'OTHER INCOME SCHEDULE'!K$11)*'DEPRECIATION SCHEDULE'!D$49</f>
        <v>11565.966876601235</v>
      </c>
      <c r="E23" s="190">
        <f>('REVENUE SCHEDULE'!L$13+'OTHER INCOME SCHEDULE'!L$11)*'DEPRECIATION SCHEDULE'!E$49</f>
        <v>12823.819357387372</v>
      </c>
      <c r="F23" s="190">
        <f>('REVENUE SCHEDULE'!M$13+'OTHER INCOME SCHEDULE'!M$11)*'DEPRECIATION SCHEDULE'!F$49</f>
        <v>14220.035611059982</v>
      </c>
      <c r="G23" s="190">
        <f>('REVENUE SCHEDULE'!N$13+'OTHER INCOME SCHEDULE'!N$11)*'DEPRECIATION SCHEDULE'!G$49</f>
        <v>13754.347158171804</v>
      </c>
      <c r="H23" s="197"/>
      <c r="J23" s="526"/>
      <c r="K23" s="526"/>
      <c r="L23" s="526"/>
      <c r="M23" s="526"/>
    </row>
    <row r="24" spans="2:14" x14ac:dyDescent="0.3">
      <c r="B24" s="194" t="s">
        <v>2574</v>
      </c>
      <c r="C24" s="311">
        <v>63</v>
      </c>
      <c r="D24" s="311">
        <v>63</v>
      </c>
      <c r="E24" s="311">
        <v>63</v>
      </c>
      <c r="F24" s="311">
        <v>63</v>
      </c>
      <c r="G24" s="311">
        <v>63</v>
      </c>
      <c r="H24" s="197"/>
      <c r="J24" s="526"/>
      <c r="K24" s="526"/>
      <c r="L24" s="526"/>
      <c r="M24" s="526"/>
    </row>
    <row r="25" spans="2:14" x14ac:dyDescent="0.3">
      <c r="B25" s="322" t="s">
        <v>8</v>
      </c>
      <c r="C25" s="314">
        <f>('REVENUE SCHEDULE'!J$13+'OTHER INCOME SCHEDULE'!J$11)*'DEPRECIATION SCHEDULE'!C$53</f>
        <v>5405.5784681142859</v>
      </c>
      <c r="D25" s="314">
        <f>('REVENUE SCHEDULE'!K$13+'OTHER INCOME SCHEDULE'!K$11)*'DEPRECIATION SCHEDULE'!D$53</f>
        <v>5992.7289516068577</v>
      </c>
      <c r="E25" s="314">
        <f>('REVENUE SCHEDULE'!L$13+'OTHER INCOME SCHEDULE'!L$11)*'DEPRECIATION SCHEDULE'!E$53</f>
        <v>6644.4659882836122</v>
      </c>
      <c r="F25" s="314">
        <f>('REVENUE SCHEDULE'!M$13+'OTHER INCOME SCHEDULE'!M$11)*'DEPRECIATION SCHEDULE'!F$53</f>
        <v>7367.8940989948096</v>
      </c>
      <c r="G25" s="314">
        <f>('REVENUE SCHEDULE'!N$13+'OTHER INCOME SCHEDULE'!N$11)*'DEPRECIATION SCHEDULE'!G$53</f>
        <v>8170.8993018842393</v>
      </c>
      <c r="H25" s="197"/>
      <c r="J25" s="526"/>
      <c r="K25" s="526"/>
      <c r="L25" s="526"/>
      <c r="M25" s="526"/>
    </row>
    <row r="26" spans="2:14" x14ac:dyDescent="0.3">
      <c r="H26" s="197"/>
      <c r="J26" s="436"/>
      <c r="K26" s="436"/>
      <c r="L26" s="436"/>
      <c r="M26" s="436"/>
    </row>
    <row r="27" spans="2:14" x14ac:dyDescent="0.3">
      <c r="B27" s="316" t="s">
        <v>2575</v>
      </c>
      <c r="C27" s="316">
        <f>C21+C23+C22-C24-C25</f>
        <v>71605.270451851989</v>
      </c>
      <c r="D27" s="316">
        <f t="shared" ref="D27:G27" si="4">D21+D23+D22-D24-D25</f>
        <v>85096.025521701216</v>
      </c>
      <c r="E27" s="316">
        <f t="shared" si="4"/>
        <v>100189.05244097613</v>
      </c>
      <c r="F27" s="316">
        <f t="shared" si="4"/>
        <v>117074.41923689388</v>
      </c>
      <c r="G27" s="316">
        <f t="shared" si="4"/>
        <v>132497.99704706515</v>
      </c>
      <c r="H27" s="197"/>
      <c r="J27" s="436"/>
      <c r="K27" s="436"/>
      <c r="L27" s="436"/>
      <c r="M27" s="436"/>
    </row>
    <row r="28" spans="2:14" ht="7.05" customHeight="1" x14ac:dyDescent="0.3">
      <c r="H28" s="197"/>
    </row>
    <row r="29" spans="2:14" x14ac:dyDescent="0.3">
      <c r="B29" s="199" t="s">
        <v>2578</v>
      </c>
      <c r="H29" s="197"/>
      <c r="J29" s="305"/>
    </row>
    <row r="30" spans="2:14" ht="7.05" customHeight="1" x14ac:dyDescent="0.3">
      <c r="H30" s="197"/>
    </row>
    <row r="31" spans="2:14" ht="14.4" customHeight="1" x14ac:dyDescent="0.3">
      <c r="B31" s="325" t="s">
        <v>2572</v>
      </c>
      <c r="C31" s="301">
        <f>$C$21</f>
        <v>61251</v>
      </c>
      <c r="D31" s="301">
        <f>C$37</f>
        <v>70733.662168591996</v>
      </c>
      <c r="E31" s="301">
        <f t="shared" ref="E31:G31" si="5">D$37</f>
        <v>82822.188625566792</v>
      </c>
      <c r="F31" s="301">
        <f t="shared" si="5"/>
        <v>99419.958265065798</v>
      </c>
      <c r="G31" s="301">
        <f t="shared" si="5"/>
        <v>117478.09735882282</v>
      </c>
      <c r="H31" s="197"/>
      <c r="J31" s="526" t="s">
        <v>2873</v>
      </c>
      <c r="K31" s="526"/>
      <c r="L31" s="526"/>
      <c r="M31" s="526"/>
    </row>
    <row r="32" spans="2:14" x14ac:dyDescent="0.3">
      <c r="B32" s="194" t="s">
        <v>31</v>
      </c>
      <c r="C32" s="190">
        <f>C$33*C$58</f>
        <v>5684.9851588319998</v>
      </c>
      <c r="D32" s="190">
        <f t="shared" ref="D32:G32" si="6">D$33*D$58</f>
        <v>7067.4424761939854</v>
      </c>
      <c r="E32" s="190">
        <f t="shared" si="6"/>
        <v>9195.4171380541593</v>
      </c>
      <c r="F32" s="190">
        <f t="shared" si="6"/>
        <v>10060.565227716581</v>
      </c>
      <c r="G32" s="190">
        <f t="shared" si="6"/>
        <v>8748.4351375340411</v>
      </c>
      <c r="H32" s="197"/>
      <c r="J32" s="526"/>
      <c r="K32" s="526"/>
      <c r="L32" s="526"/>
      <c r="M32" s="526"/>
    </row>
    <row r="33" spans="2:13" x14ac:dyDescent="0.3">
      <c r="B33" s="194" t="s">
        <v>2573</v>
      </c>
      <c r="C33" s="190">
        <f>('REVENUE SCHEDULE'!Q$13+'OTHER INCOME SCHEDULE'!Q$11)*'DEPRECIATION SCHEDULE'!C$50</f>
        <v>8121.4073697599997</v>
      </c>
      <c r="D33" s="190">
        <f>('REVENUE SCHEDULE'!R$13+'OTHER INCOME SCHEDULE'!R$11)*'DEPRECIATION SCHEDULE'!D$50</f>
        <v>9681.4280495808016</v>
      </c>
      <c r="E33" s="190">
        <f>('REVENUE SCHEDULE'!S$13+'OTHER INCOME SCHEDULE'!S$11)*'DEPRECIATION SCHEDULE'!E$50</f>
        <v>12426.239375748864</v>
      </c>
      <c r="F33" s="190">
        <f>('REVENUE SCHEDULE'!T$13+'OTHER INCOME SCHEDULE'!T$11)*'DEPRECIATION SCHEDULE'!F$50</f>
        <v>13414.086970288774</v>
      </c>
      <c r="G33" s="190">
        <f>('REVENUE SCHEDULE'!U$13+'OTHER INCOME SCHEDULE'!U$11)*'DEPRECIATION SCHEDULE'!G$50</f>
        <v>11511.098865176371</v>
      </c>
      <c r="H33" s="197"/>
      <c r="J33" s="526"/>
      <c r="K33" s="526"/>
      <c r="L33" s="526"/>
      <c r="M33" s="526"/>
    </row>
    <row r="34" spans="2:13" x14ac:dyDescent="0.3">
      <c r="B34" s="194" t="s">
        <v>2574</v>
      </c>
      <c r="C34" s="311">
        <v>85</v>
      </c>
      <c r="D34" s="311">
        <v>85</v>
      </c>
      <c r="E34" s="311">
        <v>85</v>
      </c>
      <c r="F34" s="311">
        <v>85</v>
      </c>
      <c r="G34" s="311">
        <v>85</v>
      </c>
      <c r="H34" s="197"/>
      <c r="J34" s="526"/>
      <c r="K34" s="526"/>
      <c r="L34" s="526"/>
      <c r="M34" s="526"/>
    </row>
    <row r="35" spans="2:13" x14ac:dyDescent="0.3">
      <c r="B35" s="322" t="s">
        <v>8</v>
      </c>
      <c r="C35" s="314">
        <f>('REVENUE SCHEDULE'!Q$13+'OTHER INCOME SCHEDULE'!Q$11)*'DEPRECIATION SCHEDULE'!C$54</f>
        <v>4238.7303600000005</v>
      </c>
      <c r="D35" s="314">
        <f>('REVENUE SCHEDULE'!R$13+'OTHER INCOME SCHEDULE'!R$11)*'DEPRECIATION SCHEDULE'!D$54</f>
        <v>4575.3440688000001</v>
      </c>
      <c r="E35" s="314">
        <f>('REVENUE SCHEDULE'!S$13+'OTHER INCOME SCHEDULE'!S$11)*'DEPRECIATION SCHEDULE'!E$54</f>
        <v>4938.8868743040002</v>
      </c>
      <c r="F35" s="314">
        <f>('REVENUE SCHEDULE'!T$13+'OTHER INCOME SCHEDULE'!T$11)*'DEPRECIATION SCHEDULE'!F$54</f>
        <v>5331.5131042483208</v>
      </c>
      <c r="G35" s="314">
        <f>('REVENUE SCHEDULE'!U$13+'OTHER INCOME SCHEDULE'!U$11)*'DEPRECIATION SCHEDULE'!G$54</f>
        <v>5755.5494325881855</v>
      </c>
      <c r="H35" s="197"/>
      <c r="J35" s="526"/>
      <c r="K35" s="526"/>
      <c r="L35" s="526"/>
      <c r="M35" s="526"/>
    </row>
    <row r="36" spans="2:13" x14ac:dyDescent="0.3">
      <c r="H36" s="197"/>
      <c r="J36" s="436"/>
      <c r="K36" s="436"/>
      <c r="L36" s="436"/>
      <c r="M36" s="436"/>
    </row>
    <row r="37" spans="2:13" x14ac:dyDescent="0.3">
      <c r="B37" s="316" t="s">
        <v>2575</v>
      </c>
      <c r="C37" s="316">
        <f>C31+C33+C32-C34-C35</f>
        <v>70733.662168591996</v>
      </c>
      <c r="D37" s="316">
        <f t="shared" ref="D37:G37" si="7">D31+D33+D32-D34-D35</f>
        <v>82822.188625566792</v>
      </c>
      <c r="E37" s="316">
        <f t="shared" si="7"/>
        <v>99419.958265065798</v>
      </c>
      <c r="F37" s="316">
        <f t="shared" si="7"/>
        <v>117478.09735882282</v>
      </c>
      <c r="G37" s="316">
        <f t="shared" si="7"/>
        <v>131897.08192894506</v>
      </c>
      <c r="H37" s="197"/>
      <c r="J37" s="436"/>
      <c r="K37" s="436"/>
      <c r="L37" s="436"/>
      <c r="M37" s="436"/>
    </row>
    <row r="38" spans="2:13" ht="7.05" customHeight="1" x14ac:dyDescent="0.3">
      <c r="H38" s="197"/>
    </row>
    <row r="39" spans="2:13" x14ac:dyDescent="0.3">
      <c r="B39" s="199" t="s">
        <v>2579</v>
      </c>
      <c r="H39" s="197"/>
      <c r="J39" s="305"/>
    </row>
    <row r="40" spans="2:13" ht="7.05" customHeight="1" x14ac:dyDescent="0.3">
      <c r="H40" s="197"/>
    </row>
    <row r="41" spans="2:13" ht="14.4" customHeight="1" x14ac:dyDescent="0.3">
      <c r="B41" s="325" t="s">
        <v>2572</v>
      </c>
      <c r="C41" s="301">
        <f>$C$21</f>
        <v>61251</v>
      </c>
      <c r="D41" s="301">
        <f>C$47</f>
        <v>69847.281464345593</v>
      </c>
      <c r="E41" s="301">
        <f t="shared" ref="E41:G41" si="8">D$47</f>
        <v>80575.34363903584</v>
      </c>
      <c r="F41" s="301">
        <f t="shared" si="8"/>
        <v>96622.034450822364</v>
      </c>
      <c r="G41" s="301">
        <f t="shared" si="8"/>
        <v>111938.81638632048</v>
      </c>
      <c r="H41" s="197"/>
      <c r="J41" s="526" t="s">
        <v>2755</v>
      </c>
      <c r="K41" s="526"/>
      <c r="L41" s="526"/>
      <c r="M41" s="526"/>
    </row>
    <row r="42" spans="2:13" x14ac:dyDescent="0.3">
      <c r="B42" s="194" t="s">
        <v>31</v>
      </c>
      <c r="C42" s="190">
        <f>C$43*C$59</f>
        <v>5063.6290189056008</v>
      </c>
      <c r="D42" s="190">
        <f t="shared" ref="D42:G42" si="9">D$43*D$59</f>
        <v>6176.1430805782393</v>
      </c>
      <c r="E42" s="190">
        <f t="shared" si="9"/>
        <v>8624.9775408089299</v>
      </c>
      <c r="F42" s="190">
        <f t="shared" si="9"/>
        <v>8441.9583997276404</v>
      </c>
      <c r="G42" s="190">
        <f t="shared" si="9"/>
        <v>6649.8633506022452</v>
      </c>
      <c r="H42" s="197"/>
      <c r="J42" s="526"/>
      <c r="K42" s="526"/>
      <c r="L42" s="526"/>
      <c r="M42" s="526"/>
    </row>
    <row r="43" spans="2:13" x14ac:dyDescent="0.3">
      <c r="B43" s="194" t="s">
        <v>2573</v>
      </c>
      <c r="C43" s="190">
        <f>('REVENUE SCHEDULE'!X$13+'OTHER INCOME SCHEDULE'!X$11)*'DEPRECIATION SCHEDULE'!C$51</f>
        <v>6842.7419174400011</v>
      </c>
      <c r="D43" s="190">
        <f>('REVENUE SCHEDULE'!Y$13+'OTHER INCOME SCHEDULE'!Y$11)*'DEPRECIATION SCHEDULE'!D$51</f>
        <v>8020.9650397119995</v>
      </c>
      <c r="E43" s="190">
        <f>('REVENUE SCHEDULE'!Z$13+'OTHER INCOME SCHEDULE'!Z$11)*'DEPRECIATION SCHEDULE'!E$51</f>
        <v>11057.663513857602</v>
      </c>
      <c r="F43" s="190">
        <f>('REVENUE SCHEDULE'!AA$13+'OTHER INCOME SCHEDULE'!AA$11)*'DEPRECIATION SCHEDULE'!F$51</f>
        <v>10686.023290794481</v>
      </c>
      <c r="G43" s="190">
        <f>('REVENUE SCHEDULE'!AB$13+'OTHER INCOME SCHEDULE'!AB$11)*'DEPRECIATION SCHEDULE'!G$51</f>
        <v>8312.3291882528065</v>
      </c>
      <c r="H43" s="197"/>
      <c r="J43" s="526"/>
      <c r="K43" s="526"/>
      <c r="L43" s="526"/>
      <c r="M43" s="526"/>
    </row>
    <row r="44" spans="2:13" x14ac:dyDescent="0.3">
      <c r="B44" s="194" t="s">
        <v>2574</v>
      </c>
      <c r="C44" s="311">
        <v>120</v>
      </c>
      <c r="D44" s="311">
        <v>120</v>
      </c>
      <c r="E44" s="311">
        <v>120</v>
      </c>
      <c r="F44" s="311">
        <v>120</v>
      </c>
      <c r="G44" s="311">
        <v>120</v>
      </c>
      <c r="H44" s="197"/>
      <c r="J44" s="526"/>
      <c r="K44" s="526"/>
      <c r="L44" s="526"/>
      <c r="M44" s="526"/>
    </row>
    <row r="45" spans="2:13" x14ac:dyDescent="0.3">
      <c r="B45" s="322" t="s">
        <v>8</v>
      </c>
      <c r="C45" s="314">
        <f>('REVENUE SCHEDULE'!X$13+'OTHER INCOME SCHEDULE'!X$11)*'DEPRECIATION SCHEDULE'!C$55</f>
        <v>3190.0894720000006</v>
      </c>
      <c r="D45" s="314">
        <f>('REVENUE SCHEDULE'!Y$13+'OTHER INCOME SCHEDULE'!Y$11)*'DEPRECIATION SCHEDULE'!D$55</f>
        <v>3349.0459455999999</v>
      </c>
      <c r="E45" s="314">
        <f>('REVENUE SCHEDULE'!Z$13+'OTHER INCOME SCHEDULE'!Z$11)*'DEPRECIATION SCHEDULE'!E$55</f>
        <v>3515.9502428800006</v>
      </c>
      <c r="F45" s="314">
        <f>('REVENUE SCHEDULE'!AA$13+'OTHER INCOME SCHEDULE'!AA$11)*'DEPRECIATION SCHEDULE'!F$55</f>
        <v>3691.1997550240003</v>
      </c>
      <c r="G45" s="314">
        <f>('REVENUE SCHEDULE'!AB$13+'OTHER INCOME SCHEDULE'!AB$11)*'DEPRECIATION SCHEDULE'!G$55</f>
        <v>3875.2117427752009</v>
      </c>
      <c r="H45" s="197"/>
      <c r="J45" s="526"/>
      <c r="K45" s="526"/>
      <c r="L45" s="526"/>
      <c r="M45" s="526"/>
    </row>
    <row r="46" spans="2:13" x14ac:dyDescent="0.3">
      <c r="H46" s="197"/>
      <c r="J46" s="436"/>
      <c r="K46" s="436"/>
      <c r="L46" s="436"/>
      <c r="M46" s="436"/>
    </row>
    <row r="47" spans="2:13" x14ac:dyDescent="0.3">
      <c r="B47" s="316" t="s">
        <v>2575</v>
      </c>
      <c r="C47" s="316">
        <f>C41+C43+C42-C44-C45</f>
        <v>69847.281464345593</v>
      </c>
      <c r="D47" s="316">
        <f t="shared" ref="D47:G47" si="10">D41+D43+D42-D44-D45</f>
        <v>80575.34363903584</v>
      </c>
      <c r="E47" s="316">
        <f t="shared" si="10"/>
        <v>96622.034450822364</v>
      </c>
      <c r="F47" s="316">
        <f t="shared" si="10"/>
        <v>111938.81638632048</v>
      </c>
      <c r="G47" s="316">
        <f t="shared" si="10"/>
        <v>122905.79718240033</v>
      </c>
      <c r="H47" s="197"/>
      <c r="J47" s="436"/>
      <c r="K47" s="436"/>
      <c r="L47" s="436"/>
      <c r="M47" s="436"/>
    </row>
    <row r="48" spans="2:13" x14ac:dyDescent="0.3">
      <c r="B48" s="199" t="s">
        <v>2860</v>
      </c>
      <c r="C48" s="199">
        <v>1</v>
      </c>
      <c r="D48" s="199">
        <v>2</v>
      </c>
      <c r="E48" s="199">
        <v>3</v>
      </c>
      <c r="F48" s="199">
        <v>4</v>
      </c>
      <c r="G48" s="199">
        <v>5</v>
      </c>
      <c r="H48" s="197"/>
    </row>
    <row r="49" spans="2:13" x14ac:dyDescent="0.3">
      <c r="B49" s="203" t="s">
        <v>2768</v>
      </c>
      <c r="C49" s="317">
        <v>0.10580000000000001</v>
      </c>
      <c r="D49" s="317">
        <v>0.1158</v>
      </c>
      <c r="E49" s="317">
        <v>0.1158</v>
      </c>
      <c r="F49" s="317">
        <v>0.1158</v>
      </c>
      <c r="G49" s="468">
        <v>0.10100000000000001</v>
      </c>
      <c r="H49" s="197"/>
    </row>
    <row r="50" spans="2:13" x14ac:dyDescent="0.3">
      <c r="B50" s="203" t="s">
        <v>2769</v>
      </c>
      <c r="C50" s="317">
        <v>9.5799999999999996E-2</v>
      </c>
      <c r="D50" s="317">
        <v>0.10580000000000001</v>
      </c>
      <c r="E50" s="317">
        <v>0.1258</v>
      </c>
      <c r="F50" s="317">
        <v>0.1258</v>
      </c>
      <c r="G50" s="317">
        <v>0.1</v>
      </c>
      <c r="H50" s="197"/>
    </row>
    <row r="51" spans="2:13" x14ac:dyDescent="0.3">
      <c r="B51" s="203" t="s">
        <v>2770</v>
      </c>
      <c r="C51" s="317">
        <v>8.5800000000000001E-2</v>
      </c>
      <c r="D51" s="317">
        <v>9.5799999999999996E-2</v>
      </c>
      <c r="E51" s="317">
        <v>0.1258</v>
      </c>
      <c r="F51" s="317">
        <v>0.1158</v>
      </c>
      <c r="G51" s="317">
        <v>8.5800000000000001E-2</v>
      </c>
      <c r="H51" s="197"/>
    </row>
    <row r="52" spans="2:13" x14ac:dyDescent="0.3">
      <c r="B52" s="308"/>
      <c r="C52" s="318"/>
      <c r="D52" s="318"/>
      <c r="E52" s="318"/>
      <c r="F52" s="318"/>
      <c r="G52" s="318"/>
      <c r="H52" s="197"/>
    </row>
    <row r="53" spans="2:13" x14ac:dyDescent="0.3">
      <c r="B53" s="203" t="s">
        <v>2771</v>
      </c>
      <c r="C53" s="317">
        <v>0.06</v>
      </c>
      <c r="D53" s="317">
        <v>0.06</v>
      </c>
      <c r="E53" s="317">
        <v>0.06</v>
      </c>
      <c r="F53" s="317">
        <v>0.06</v>
      </c>
      <c r="G53" s="317">
        <v>0.06</v>
      </c>
      <c r="H53" s="197"/>
    </row>
    <row r="54" spans="2:13" x14ac:dyDescent="0.3">
      <c r="B54" s="203" t="s">
        <v>2772</v>
      </c>
      <c r="C54" s="317">
        <v>0.05</v>
      </c>
      <c r="D54" s="317">
        <v>0.05</v>
      </c>
      <c r="E54" s="317">
        <v>0.05</v>
      </c>
      <c r="F54" s="317">
        <v>0.05</v>
      </c>
      <c r="G54" s="317">
        <v>0.05</v>
      </c>
      <c r="H54" s="197"/>
    </row>
    <row r="55" spans="2:13" x14ac:dyDescent="0.3">
      <c r="B55" s="203" t="s">
        <v>2773</v>
      </c>
      <c r="C55" s="317">
        <v>0.04</v>
      </c>
      <c r="D55" s="317">
        <v>0.04</v>
      </c>
      <c r="E55" s="317">
        <v>0.04</v>
      </c>
      <c r="F55" s="317">
        <v>0.04</v>
      </c>
      <c r="G55" s="317">
        <v>0.04</v>
      </c>
      <c r="H55" s="197"/>
    </row>
    <row r="56" spans="2:13" x14ac:dyDescent="0.3">
      <c r="B56" s="308"/>
      <c r="C56" s="318"/>
      <c r="D56" s="318"/>
      <c r="E56" s="318"/>
      <c r="F56" s="318"/>
      <c r="G56" s="318"/>
      <c r="H56" s="197"/>
    </row>
    <row r="57" spans="2:13" x14ac:dyDescent="0.3">
      <c r="B57" s="203" t="s">
        <v>2775</v>
      </c>
      <c r="C57" s="317">
        <v>0.66</v>
      </c>
      <c r="D57" s="317">
        <v>0.69</v>
      </c>
      <c r="E57" s="317">
        <v>0.7</v>
      </c>
      <c r="F57" s="317">
        <v>0.71</v>
      </c>
      <c r="G57" s="317">
        <v>0.72</v>
      </c>
      <c r="H57" s="197"/>
    </row>
    <row r="58" spans="2:13" x14ac:dyDescent="0.3">
      <c r="B58" s="203" t="s">
        <v>2774</v>
      </c>
      <c r="C58" s="317">
        <v>0.7</v>
      </c>
      <c r="D58" s="317">
        <v>0.73</v>
      </c>
      <c r="E58" s="317">
        <v>0.74</v>
      </c>
      <c r="F58" s="317">
        <v>0.75</v>
      </c>
      <c r="G58" s="317">
        <v>0.76</v>
      </c>
      <c r="H58" s="197"/>
    </row>
    <row r="59" spans="2:13" x14ac:dyDescent="0.3">
      <c r="B59" s="203" t="s">
        <v>2776</v>
      </c>
      <c r="C59" s="317">
        <v>0.74</v>
      </c>
      <c r="D59" s="317">
        <v>0.77</v>
      </c>
      <c r="E59" s="317">
        <v>0.78</v>
      </c>
      <c r="F59" s="317">
        <v>0.79</v>
      </c>
      <c r="G59" s="317">
        <v>0.8</v>
      </c>
      <c r="H59" s="197"/>
    </row>
    <row r="61" spans="2:13" x14ac:dyDescent="0.3">
      <c r="B61" s="189"/>
      <c r="C61" s="189"/>
      <c r="D61" s="189"/>
      <c r="E61" s="189"/>
      <c r="F61" s="189"/>
      <c r="G61" s="189"/>
      <c r="H61" s="189"/>
      <c r="I61" s="189"/>
      <c r="J61" s="189"/>
      <c r="K61" s="189"/>
      <c r="L61" s="189"/>
      <c r="M61" s="189"/>
    </row>
    <row r="63" spans="2:13" x14ac:dyDescent="0.3">
      <c r="B63" s="514" t="s">
        <v>2753</v>
      </c>
      <c r="C63" s="514"/>
      <c r="D63" s="514"/>
      <c r="E63" s="514"/>
      <c r="F63" s="514"/>
      <c r="G63" s="514"/>
      <c r="H63" s="514"/>
      <c r="I63" s="514"/>
      <c r="J63" s="514"/>
      <c r="K63" s="514"/>
      <c r="L63" s="514"/>
      <c r="M63" s="514"/>
    </row>
  </sheetData>
  <mergeCells count="9">
    <mergeCell ref="B63:M63"/>
    <mergeCell ref="J11:M11"/>
    <mergeCell ref="J13:M13"/>
    <mergeCell ref="J14:M14"/>
    <mergeCell ref="J15:M15"/>
    <mergeCell ref="J12:M12"/>
    <mergeCell ref="J31:M35"/>
    <mergeCell ref="J41:M45"/>
    <mergeCell ref="J21:M25"/>
  </mergeCells>
  <printOptions horizontalCentered="1" verticalCentered="1"/>
  <pageMargins left="0" right="0" top="0" bottom="0" header="0" footer="0"/>
  <pageSetup paperSize="9" scale="66" orientation="landscape" horizontalDpi="1200" verticalDpi="1200" r:id="rId1"/>
  <colBreaks count="1" manualBreakCount="1">
    <brk id="13"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zoomScale="70" zoomScaleNormal="70" workbookViewId="0">
      <pane xSplit="2" ySplit="7" topLeftCell="C8" activePane="bottomRight" state="frozen"/>
      <selection activeCell="N21" sqref="N21"/>
      <selection pane="topRight" activeCell="N21" sqref="N21"/>
      <selection pane="bottomLeft" activeCell="N21" sqref="N21"/>
      <selection pane="bottomRight"/>
    </sheetView>
  </sheetViews>
  <sheetFormatPr defaultColWidth="16.77734375" defaultRowHeight="14.4" x14ac:dyDescent="0.3"/>
  <cols>
    <col min="1" max="1" width="2" style="190" customWidth="1"/>
    <col min="2" max="2" width="44.77734375" style="190" customWidth="1"/>
    <col min="3" max="7" width="16.77734375" style="190"/>
    <col min="8" max="9" width="2" style="190" customWidth="1"/>
    <col min="10" max="14" width="16.77734375" style="190"/>
    <col min="15" max="16" width="2" style="190" customWidth="1"/>
    <col min="17" max="21" width="16.77734375" style="190"/>
    <col min="22" max="23" width="2" style="190" customWidth="1"/>
    <col min="24" max="16384" width="16.77734375" style="190"/>
  </cols>
  <sheetData>
    <row r="1" spans="2:28" ht="15.6" x14ac:dyDescent="0.4">
      <c r="B1" s="188" t="s">
        <v>342</v>
      </c>
      <c r="C1" s="189"/>
      <c r="D1" s="189"/>
      <c r="E1" s="189"/>
      <c r="F1" s="189"/>
      <c r="G1" s="189"/>
      <c r="H1" s="189"/>
      <c r="I1" s="189"/>
      <c r="J1" s="189"/>
      <c r="K1" s="189"/>
      <c r="L1" s="189"/>
      <c r="M1" s="189"/>
      <c r="N1" s="189"/>
      <c r="O1" s="189"/>
      <c r="P1" s="189"/>
      <c r="Q1" s="189"/>
      <c r="R1" s="189"/>
      <c r="S1" s="189"/>
      <c r="T1" s="189"/>
      <c r="U1" s="189"/>
      <c r="V1" s="189"/>
      <c r="W1" s="189"/>
      <c r="X1" s="189"/>
      <c r="Y1" s="189"/>
      <c r="Z1" s="189"/>
      <c r="AA1" s="189"/>
      <c r="AB1" s="189"/>
    </row>
    <row r="2" spans="2:28" ht="23.4" x14ac:dyDescent="0.45">
      <c r="B2" s="191" t="s">
        <v>341</v>
      </c>
      <c r="C2" s="189"/>
      <c r="D2" s="189"/>
      <c r="E2" s="189"/>
      <c r="F2" s="189"/>
      <c r="G2" s="189"/>
      <c r="H2" s="189"/>
      <c r="I2" s="189"/>
      <c r="J2" s="189"/>
      <c r="K2" s="189"/>
      <c r="L2" s="189"/>
      <c r="M2" s="189"/>
      <c r="N2" s="189"/>
      <c r="O2" s="189"/>
      <c r="P2" s="189"/>
      <c r="Q2" s="189"/>
      <c r="R2" s="189"/>
      <c r="S2" s="189"/>
      <c r="T2" s="189"/>
      <c r="U2" s="189"/>
      <c r="V2" s="189"/>
      <c r="W2" s="189"/>
      <c r="X2" s="189"/>
      <c r="Y2" s="189"/>
      <c r="Z2" s="189"/>
      <c r="AA2" s="189"/>
      <c r="AB2" s="189"/>
    </row>
    <row r="3" spans="2:28" x14ac:dyDescent="0.3">
      <c r="B3" s="189" t="s">
        <v>343</v>
      </c>
      <c r="C3" s="189"/>
      <c r="D3" s="189"/>
      <c r="E3" s="189"/>
      <c r="F3" s="189"/>
      <c r="G3" s="189"/>
      <c r="H3" s="189"/>
      <c r="I3" s="189"/>
      <c r="J3" s="189"/>
      <c r="K3" s="189"/>
      <c r="L3" s="189"/>
      <c r="M3" s="189"/>
      <c r="N3" s="189"/>
      <c r="O3" s="189"/>
      <c r="P3" s="189"/>
      <c r="Q3" s="189"/>
      <c r="R3" s="189"/>
      <c r="S3" s="189"/>
      <c r="T3" s="189"/>
      <c r="U3" s="189"/>
      <c r="V3" s="189"/>
      <c r="W3" s="189"/>
      <c r="X3" s="189"/>
      <c r="Y3" s="189"/>
      <c r="Z3" s="189"/>
      <c r="AA3" s="189"/>
      <c r="AB3" s="189"/>
    </row>
    <row r="5" spans="2:28" x14ac:dyDescent="0.3">
      <c r="B5" s="192" t="s">
        <v>2583</v>
      </c>
      <c r="C5" s="192"/>
      <c r="D5" s="192"/>
      <c r="E5" s="189"/>
      <c r="F5" s="192"/>
      <c r="G5" s="192"/>
      <c r="H5" s="197"/>
      <c r="J5" s="192" t="s">
        <v>459</v>
      </c>
      <c r="K5" s="304" t="s">
        <v>2529</v>
      </c>
      <c r="L5" s="284" t="s">
        <v>2595</v>
      </c>
      <c r="M5" s="293">
        <v>0.18340000000000001</v>
      </c>
      <c r="N5" s="293">
        <v>0.1182</v>
      </c>
      <c r="O5" s="197"/>
      <c r="Q5" s="192" t="s">
        <v>459</v>
      </c>
      <c r="R5" s="304" t="s">
        <v>2530</v>
      </c>
      <c r="S5" s="284" t="s">
        <v>2595</v>
      </c>
      <c r="T5" s="293">
        <f>AVERAGE(D18,E18,F18,G18)</f>
        <v>0.21343168798825102</v>
      </c>
      <c r="U5" s="293">
        <f>AVERAGE(D32,E32,F32,G32)</f>
        <v>0.14816103396150976</v>
      </c>
      <c r="V5" s="197"/>
      <c r="X5" s="192" t="s">
        <v>459</v>
      </c>
      <c r="Y5" s="304" t="s">
        <v>2531</v>
      </c>
      <c r="Z5" s="284" t="s">
        <v>2595</v>
      </c>
      <c r="AA5" s="293">
        <v>0.24340000000000001</v>
      </c>
      <c r="AB5" s="293">
        <v>0.1782</v>
      </c>
    </row>
    <row r="6" spans="2:28" x14ac:dyDescent="0.3">
      <c r="H6" s="197"/>
      <c r="O6" s="197"/>
      <c r="V6" s="197"/>
    </row>
    <row r="7" spans="2:28" x14ac:dyDescent="0.3">
      <c r="B7" s="192" t="s">
        <v>1</v>
      </c>
      <c r="C7" s="110">
        <v>44440</v>
      </c>
      <c r="D7" s="110">
        <f>EDATE(C7,12)</f>
        <v>44805</v>
      </c>
      <c r="E7" s="110">
        <f t="shared" ref="E7:G7" si="0">EDATE(D7,12)</f>
        <v>45170</v>
      </c>
      <c r="F7" s="110">
        <f t="shared" si="0"/>
        <v>45536</v>
      </c>
      <c r="G7" s="110">
        <f t="shared" si="0"/>
        <v>45901</v>
      </c>
      <c r="H7" s="197"/>
      <c r="J7" s="279">
        <v>46266</v>
      </c>
      <c r="K7" s="279">
        <f>EDATE(J7,12)</f>
        <v>46631</v>
      </c>
      <c r="L7" s="279">
        <f t="shared" ref="L7:N7" si="1">EDATE(K7,12)</f>
        <v>46997</v>
      </c>
      <c r="M7" s="279">
        <f t="shared" si="1"/>
        <v>47362</v>
      </c>
      <c r="N7" s="279">
        <f t="shared" si="1"/>
        <v>47727</v>
      </c>
      <c r="O7" s="197"/>
      <c r="Q7" s="279">
        <v>46266</v>
      </c>
      <c r="R7" s="279">
        <f>EDATE(Q7,12)</f>
        <v>46631</v>
      </c>
      <c r="S7" s="279">
        <f t="shared" ref="S7" si="2">EDATE(R7,12)</f>
        <v>46997</v>
      </c>
      <c r="T7" s="279">
        <f t="shared" ref="T7" si="3">EDATE(S7,12)</f>
        <v>47362</v>
      </c>
      <c r="U7" s="279">
        <f t="shared" ref="U7" si="4">EDATE(T7,12)</f>
        <v>47727</v>
      </c>
      <c r="V7" s="197"/>
      <c r="X7" s="279">
        <v>46266</v>
      </c>
      <c r="Y7" s="279">
        <f>EDATE(X7,12)</f>
        <v>46631</v>
      </c>
      <c r="Z7" s="279">
        <f t="shared" ref="Z7" si="5">EDATE(Y7,12)</f>
        <v>46997</v>
      </c>
      <c r="AA7" s="279">
        <f t="shared" ref="AA7" si="6">EDATE(Z7,12)</f>
        <v>47362</v>
      </c>
      <c r="AB7" s="279">
        <f t="shared" ref="AB7" si="7">EDATE(AA7,12)</f>
        <v>47727</v>
      </c>
    </row>
    <row r="8" spans="2:28" ht="7.05" customHeight="1" x14ac:dyDescent="0.3">
      <c r="H8" s="197"/>
      <c r="O8" s="197"/>
      <c r="V8" s="197"/>
    </row>
    <row r="9" spans="2:28" x14ac:dyDescent="0.3">
      <c r="B9" s="199" t="s">
        <v>2585</v>
      </c>
      <c r="H9" s="197"/>
      <c r="O9" s="197"/>
      <c r="V9" s="197"/>
    </row>
    <row r="10" spans="2:28" ht="7.05" customHeight="1" x14ac:dyDescent="0.3">
      <c r="H10" s="197"/>
      <c r="O10" s="197"/>
      <c r="V10" s="197"/>
    </row>
    <row r="11" spans="2:28" x14ac:dyDescent="0.3">
      <c r="B11" s="325" t="s">
        <v>2586</v>
      </c>
      <c r="C11" s="301">
        <v>0</v>
      </c>
      <c r="D11" s="301">
        <f>'DATA STATEMENTS'!C$67</f>
        <v>4235</v>
      </c>
      <c r="E11" s="301">
        <f>'DATA STATEMENTS'!D$67</f>
        <v>4899.84</v>
      </c>
      <c r="F11" s="301">
        <f>'DATA STATEMENTS'!E$67</f>
        <v>4544.37</v>
      </c>
      <c r="G11" s="301">
        <f>'DATA STATEMENTS'!F$67</f>
        <v>4990</v>
      </c>
      <c r="H11" s="197"/>
      <c r="J11" s="301">
        <f>$G$15</f>
        <v>7250</v>
      </c>
      <c r="K11" s="301">
        <f>J$15</f>
        <v>4050</v>
      </c>
      <c r="L11" s="301">
        <f t="shared" ref="L11:N11" si="8">K$15</f>
        <v>5650</v>
      </c>
      <c r="M11" s="301">
        <f t="shared" si="8"/>
        <v>7550</v>
      </c>
      <c r="N11" s="301">
        <f t="shared" si="8"/>
        <v>9550</v>
      </c>
      <c r="O11" s="197"/>
      <c r="Q11" s="301">
        <f>$G$15</f>
        <v>7250</v>
      </c>
      <c r="R11" s="301">
        <f>Q$15</f>
        <v>2250</v>
      </c>
      <c r="S11" s="301">
        <f t="shared" ref="S11:U11" si="9">R$15</f>
        <v>3850</v>
      </c>
      <c r="T11" s="301">
        <f t="shared" si="9"/>
        <v>7250</v>
      </c>
      <c r="U11" s="301">
        <f t="shared" si="9"/>
        <v>10950</v>
      </c>
      <c r="V11" s="197"/>
      <c r="X11" s="301">
        <f>$G$15</f>
        <v>7250</v>
      </c>
      <c r="Y11" s="301">
        <f>X$15</f>
        <v>3250</v>
      </c>
      <c r="Z11" s="301">
        <f t="shared" ref="Z11:AB11" si="10">Y$15</f>
        <v>3450</v>
      </c>
      <c r="AA11" s="301">
        <f t="shared" si="10"/>
        <v>5450</v>
      </c>
      <c r="AB11" s="301">
        <f t="shared" si="10"/>
        <v>8450</v>
      </c>
    </row>
    <row r="12" spans="2:28" x14ac:dyDescent="0.3">
      <c r="B12" s="194" t="s">
        <v>2587</v>
      </c>
      <c r="C12" s="190">
        <v>0</v>
      </c>
      <c r="D12" s="190">
        <f>D$15-D$11</f>
        <v>664.84000000000015</v>
      </c>
      <c r="E12" s="190">
        <f>E$15-E$11</f>
        <v>-355.47000000000025</v>
      </c>
      <c r="F12" s="190">
        <f>F$15-F$11</f>
        <v>445.63000000000011</v>
      </c>
      <c r="G12" s="190">
        <f t="shared" ref="G12" si="11">G$15-G$11</f>
        <v>2260</v>
      </c>
      <c r="H12" s="197"/>
      <c r="J12" s="320">
        <f>C$51</f>
        <v>-3200</v>
      </c>
      <c r="K12" s="320">
        <f t="shared" ref="K12:N12" si="12">D$51</f>
        <v>1600</v>
      </c>
      <c r="L12" s="320">
        <f t="shared" si="12"/>
        <v>1900</v>
      </c>
      <c r="M12" s="320">
        <f t="shared" si="12"/>
        <v>2000</v>
      </c>
      <c r="N12" s="320">
        <f t="shared" si="12"/>
        <v>-2500</v>
      </c>
      <c r="O12" s="321"/>
      <c r="P12" s="320"/>
      <c r="Q12" s="320">
        <f>C$52</f>
        <v>-5000</v>
      </c>
      <c r="R12" s="320">
        <f t="shared" ref="R12:U12" si="13">D$52</f>
        <v>1600</v>
      </c>
      <c r="S12" s="320">
        <f t="shared" si="13"/>
        <v>3400</v>
      </c>
      <c r="T12" s="320">
        <f t="shared" si="13"/>
        <v>3700</v>
      </c>
      <c r="U12" s="320">
        <f t="shared" si="13"/>
        <v>-2000</v>
      </c>
      <c r="V12" s="321"/>
      <c r="W12" s="320"/>
      <c r="X12" s="320">
        <f>C$53</f>
        <v>-4000</v>
      </c>
      <c r="Y12" s="320">
        <f t="shared" ref="Y12:AB12" si="14">D$53</f>
        <v>200</v>
      </c>
      <c r="Z12" s="320">
        <f t="shared" si="14"/>
        <v>2000</v>
      </c>
      <c r="AA12" s="320">
        <f t="shared" si="14"/>
        <v>3000</v>
      </c>
      <c r="AB12" s="320">
        <f t="shared" si="14"/>
        <v>1000</v>
      </c>
    </row>
    <row r="13" spans="2:28" x14ac:dyDescent="0.3">
      <c r="B13" s="322" t="s">
        <v>2588</v>
      </c>
      <c r="C13" s="314">
        <v>0</v>
      </c>
      <c r="D13" s="314">
        <v>0</v>
      </c>
      <c r="E13" s="314">
        <v>373</v>
      </c>
      <c r="F13" s="314">
        <v>602</v>
      </c>
      <c r="G13" s="314">
        <v>0</v>
      </c>
      <c r="H13" s="197"/>
      <c r="J13" s="314">
        <v>0</v>
      </c>
      <c r="K13" s="314">
        <v>0</v>
      </c>
      <c r="L13" s="314">
        <v>0</v>
      </c>
      <c r="M13" s="314">
        <v>0</v>
      </c>
      <c r="N13" s="314">
        <v>0</v>
      </c>
      <c r="O13" s="197"/>
      <c r="Q13" s="314">
        <v>0</v>
      </c>
      <c r="R13" s="314">
        <v>0</v>
      </c>
      <c r="S13" s="314">
        <v>0</v>
      </c>
      <c r="T13" s="314">
        <v>0</v>
      </c>
      <c r="U13" s="314">
        <v>0</v>
      </c>
      <c r="V13" s="197"/>
      <c r="X13" s="314">
        <v>0</v>
      </c>
      <c r="Y13" s="314">
        <v>0</v>
      </c>
      <c r="Z13" s="314">
        <v>0</v>
      </c>
      <c r="AA13" s="314">
        <v>0</v>
      </c>
      <c r="AB13" s="314">
        <v>0</v>
      </c>
    </row>
    <row r="14" spans="2:28" x14ac:dyDescent="0.3">
      <c r="H14" s="197"/>
      <c r="O14" s="197"/>
      <c r="V14" s="197"/>
    </row>
    <row r="15" spans="2:28" x14ac:dyDescent="0.3">
      <c r="B15" s="316" t="s">
        <v>2589</v>
      </c>
      <c r="C15" s="316">
        <f>'BALANCE SHEET'!C$44</f>
        <v>4235</v>
      </c>
      <c r="D15" s="316">
        <f>'BALANCE SHEET'!D$44</f>
        <v>4899.84</v>
      </c>
      <c r="E15" s="316">
        <f>'BALANCE SHEET'!E$44</f>
        <v>4544.37</v>
      </c>
      <c r="F15" s="316">
        <f>'BALANCE SHEET'!F$44</f>
        <v>4990</v>
      </c>
      <c r="G15" s="316">
        <f>'BALANCE SHEET'!G$44</f>
        <v>7250</v>
      </c>
      <c r="H15" s="197"/>
      <c r="J15" s="316">
        <f>J$11+J$12-J$13</f>
        <v>4050</v>
      </c>
      <c r="K15" s="316">
        <f t="shared" ref="K15:N15" si="15">K$11+K$12-K$13</f>
        <v>5650</v>
      </c>
      <c r="L15" s="316">
        <f t="shared" si="15"/>
        <v>7550</v>
      </c>
      <c r="M15" s="316">
        <f t="shared" si="15"/>
        <v>9550</v>
      </c>
      <c r="N15" s="316">
        <f t="shared" si="15"/>
        <v>7050</v>
      </c>
      <c r="O15" s="280"/>
      <c r="Q15" s="316">
        <f>Q$11+Q$12-Q$13</f>
        <v>2250</v>
      </c>
      <c r="R15" s="316">
        <f t="shared" ref="R15:U15" si="16">R$11+R$12-R$13</f>
        <v>3850</v>
      </c>
      <c r="S15" s="316">
        <f t="shared" si="16"/>
        <v>7250</v>
      </c>
      <c r="T15" s="316">
        <f t="shared" si="16"/>
        <v>10950</v>
      </c>
      <c r="U15" s="316">
        <f t="shared" si="16"/>
        <v>8950</v>
      </c>
      <c r="V15" s="197"/>
      <c r="X15" s="316">
        <f>X$11+X$12-X$13</f>
        <v>3250</v>
      </c>
      <c r="Y15" s="316">
        <f t="shared" ref="Y15:AB15" si="17">Y$11+Y$12-Y$13</f>
        <v>3450</v>
      </c>
      <c r="Z15" s="316">
        <f t="shared" si="17"/>
        <v>5450</v>
      </c>
      <c r="AA15" s="316">
        <f t="shared" si="17"/>
        <v>8450</v>
      </c>
      <c r="AB15" s="316">
        <f t="shared" si="17"/>
        <v>9450</v>
      </c>
    </row>
    <row r="16" spans="2:28" x14ac:dyDescent="0.3">
      <c r="H16" s="197"/>
      <c r="O16" s="197"/>
      <c r="V16" s="197"/>
    </row>
    <row r="17" spans="2:28" x14ac:dyDescent="0.3">
      <c r="B17" s="325" t="s">
        <v>2590</v>
      </c>
      <c r="C17" s="301">
        <v>0</v>
      </c>
      <c r="D17" s="301">
        <f>(D$11+D$15)/2</f>
        <v>4567.42</v>
      </c>
      <c r="E17" s="301">
        <f>(E$11+E$15)/2</f>
        <v>4722.1049999999996</v>
      </c>
      <c r="F17" s="301">
        <f>(F$11+F$15)/2</f>
        <v>4767.1849999999995</v>
      </c>
      <c r="G17" s="301">
        <f>(G$11+G$15)/2</f>
        <v>6120</v>
      </c>
      <c r="H17" s="197"/>
      <c r="J17" s="301">
        <f>(J$11+J$15)/2</f>
        <v>5650</v>
      </c>
      <c r="K17" s="301">
        <f t="shared" ref="K17:N17" si="18">(K$11+K$15)/2</f>
        <v>4850</v>
      </c>
      <c r="L17" s="301">
        <f t="shared" si="18"/>
        <v>6600</v>
      </c>
      <c r="M17" s="301">
        <f t="shared" si="18"/>
        <v>8550</v>
      </c>
      <c r="N17" s="301">
        <f t="shared" si="18"/>
        <v>8300</v>
      </c>
      <c r="O17" s="197"/>
      <c r="Q17" s="301">
        <f>(Q$11+Q$15)/2</f>
        <v>4750</v>
      </c>
      <c r="R17" s="301">
        <f t="shared" ref="R17:U17" si="19">(R$11+R$15)/2</f>
        <v>3050</v>
      </c>
      <c r="S17" s="301">
        <f t="shared" si="19"/>
        <v>5550</v>
      </c>
      <c r="T17" s="301">
        <f t="shared" si="19"/>
        <v>9100</v>
      </c>
      <c r="U17" s="301">
        <f t="shared" si="19"/>
        <v>9950</v>
      </c>
      <c r="V17" s="197"/>
      <c r="X17" s="301">
        <f>(X$11+X$15)/2</f>
        <v>5250</v>
      </c>
      <c r="Y17" s="301">
        <f t="shared" ref="Y17:AB17" si="20">(Y$11+Y$15)/2</f>
        <v>3350</v>
      </c>
      <c r="Z17" s="301">
        <f t="shared" si="20"/>
        <v>4450</v>
      </c>
      <c r="AA17" s="301">
        <f t="shared" si="20"/>
        <v>6950</v>
      </c>
      <c r="AB17" s="301">
        <f t="shared" si="20"/>
        <v>8950</v>
      </c>
    </row>
    <row r="18" spans="2:28" x14ac:dyDescent="0.3">
      <c r="B18" s="353" t="s">
        <v>2591</v>
      </c>
      <c r="C18" s="308">
        <v>0</v>
      </c>
      <c r="D18" s="354">
        <f>D$21/D$17</f>
        <v>0.20683668241589345</v>
      </c>
      <c r="E18" s="354">
        <f t="shared" ref="E18:G18" si="21">E$21/E$17</f>
        <v>0.17422738376211458</v>
      </c>
      <c r="F18" s="354">
        <f t="shared" si="21"/>
        <v>0.20305484263774115</v>
      </c>
      <c r="G18" s="354">
        <f t="shared" si="21"/>
        <v>0.26960784313725489</v>
      </c>
      <c r="H18" s="307"/>
      <c r="I18" s="308"/>
      <c r="J18" s="354">
        <f>$M$5</f>
        <v>0.18340000000000001</v>
      </c>
      <c r="K18" s="354">
        <f t="shared" ref="K18:N18" si="22">$M$5</f>
        <v>0.18340000000000001</v>
      </c>
      <c r="L18" s="354">
        <f t="shared" si="22"/>
        <v>0.18340000000000001</v>
      </c>
      <c r="M18" s="354">
        <f t="shared" si="22"/>
        <v>0.18340000000000001</v>
      </c>
      <c r="N18" s="354">
        <f t="shared" si="22"/>
        <v>0.18340000000000001</v>
      </c>
      <c r="O18" s="307"/>
      <c r="P18" s="308"/>
      <c r="Q18" s="354">
        <f>$T$5</f>
        <v>0.21343168798825102</v>
      </c>
      <c r="R18" s="354">
        <f t="shared" ref="R18:U18" si="23">$T$5</f>
        <v>0.21343168798825102</v>
      </c>
      <c r="S18" s="354">
        <f t="shared" si="23"/>
        <v>0.21343168798825102</v>
      </c>
      <c r="T18" s="354">
        <f t="shared" si="23"/>
        <v>0.21343168798825102</v>
      </c>
      <c r="U18" s="354">
        <f t="shared" si="23"/>
        <v>0.21343168798825102</v>
      </c>
      <c r="V18" s="307"/>
      <c r="W18" s="308"/>
      <c r="X18" s="354">
        <f>$AA$5</f>
        <v>0.24340000000000001</v>
      </c>
      <c r="Y18" s="354">
        <f t="shared" ref="Y18:AB18" si="24">$AA$5</f>
        <v>0.24340000000000001</v>
      </c>
      <c r="Z18" s="354">
        <f t="shared" si="24"/>
        <v>0.24340000000000001</v>
      </c>
      <c r="AA18" s="354">
        <f t="shared" si="24"/>
        <v>0.24340000000000001</v>
      </c>
      <c r="AB18" s="354">
        <f t="shared" si="24"/>
        <v>0.24340000000000001</v>
      </c>
    </row>
    <row r="19" spans="2:28" x14ac:dyDescent="0.3">
      <c r="B19" s="322" t="s">
        <v>2592</v>
      </c>
      <c r="C19" s="314">
        <v>0</v>
      </c>
      <c r="D19" s="314">
        <v>0</v>
      </c>
      <c r="E19" s="314">
        <v>0</v>
      </c>
      <c r="F19" s="314">
        <v>0</v>
      </c>
      <c r="G19" s="314">
        <v>0</v>
      </c>
      <c r="H19" s="197"/>
      <c r="J19" s="314">
        <v>0</v>
      </c>
      <c r="K19" s="314">
        <v>0</v>
      </c>
      <c r="L19" s="314">
        <v>0</v>
      </c>
      <c r="M19" s="314">
        <v>0</v>
      </c>
      <c r="N19" s="314">
        <v>0</v>
      </c>
      <c r="O19" s="197"/>
      <c r="Q19" s="314">
        <v>0</v>
      </c>
      <c r="R19" s="314">
        <v>0</v>
      </c>
      <c r="S19" s="314">
        <v>0</v>
      </c>
      <c r="T19" s="314">
        <v>0</v>
      </c>
      <c r="U19" s="314">
        <v>0</v>
      </c>
      <c r="V19" s="197"/>
      <c r="X19" s="314">
        <v>0</v>
      </c>
      <c r="Y19" s="314">
        <v>0</v>
      </c>
      <c r="Z19" s="314">
        <v>0</v>
      </c>
      <c r="AA19" s="314">
        <v>0</v>
      </c>
      <c r="AB19" s="314">
        <v>0</v>
      </c>
    </row>
    <row r="20" spans="2:28" x14ac:dyDescent="0.3">
      <c r="H20" s="197"/>
      <c r="O20" s="197"/>
      <c r="V20" s="197"/>
    </row>
    <row r="21" spans="2:28" x14ac:dyDescent="0.3">
      <c r="B21" s="316" t="s">
        <v>2593</v>
      </c>
      <c r="C21" s="316">
        <f>-'INCOME STATEMENT'!C$36</f>
        <v>1485</v>
      </c>
      <c r="D21" s="316">
        <f>-'INCOME STATEMENT'!D$36</f>
        <v>944.71</v>
      </c>
      <c r="E21" s="316">
        <f>-'INCOME STATEMENT'!E$36</f>
        <v>822.72</v>
      </c>
      <c r="F21" s="316">
        <f>-'INCOME STATEMENT'!F$36</f>
        <v>968</v>
      </c>
      <c r="G21" s="316">
        <f>-'INCOME STATEMENT'!G$36</f>
        <v>1650</v>
      </c>
      <c r="H21" s="197"/>
      <c r="J21" s="316">
        <f>J$17*J$18</f>
        <v>1036.21</v>
      </c>
      <c r="K21" s="316">
        <f t="shared" ref="K21:N21" si="25">K$17*K$18</f>
        <v>889.49</v>
      </c>
      <c r="L21" s="316">
        <f t="shared" si="25"/>
        <v>1210.44</v>
      </c>
      <c r="M21" s="316">
        <f t="shared" si="25"/>
        <v>1568.0700000000002</v>
      </c>
      <c r="N21" s="316">
        <f t="shared" si="25"/>
        <v>1522.22</v>
      </c>
      <c r="O21" s="280"/>
      <c r="Q21" s="316">
        <f>Q$17*Q$18</f>
        <v>1013.8005179441923</v>
      </c>
      <c r="R21" s="316">
        <f t="shared" ref="R21:U21" si="26">R$17*R$18</f>
        <v>650.96664836416562</v>
      </c>
      <c r="S21" s="316">
        <f t="shared" si="26"/>
        <v>1184.5458683347931</v>
      </c>
      <c r="T21" s="316">
        <f t="shared" si="26"/>
        <v>1942.2283606930844</v>
      </c>
      <c r="U21" s="316">
        <f t="shared" si="26"/>
        <v>2123.6452954830975</v>
      </c>
      <c r="V21" s="197"/>
      <c r="X21" s="316">
        <f>X$17*X$18</f>
        <v>1277.8500000000001</v>
      </c>
      <c r="Y21" s="316">
        <f t="shared" ref="Y21:AB21" si="27">Y$17*Y$18</f>
        <v>815.39</v>
      </c>
      <c r="Z21" s="316">
        <f t="shared" si="27"/>
        <v>1083.1300000000001</v>
      </c>
      <c r="AA21" s="316">
        <f t="shared" si="27"/>
        <v>1691.63</v>
      </c>
      <c r="AB21" s="316">
        <f t="shared" si="27"/>
        <v>2178.4299999999998</v>
      </c>
    </row>
    <row r="22" spans="2:28" ht="7.05" customHeight="1" x14ac:dyDescent="0.3">
      <c r="H22" s="197"/>
      <c r="O22" s="197"/>
      <c r="V22" s="197"/>
    </row>
    <row r="23" spans="2:28" x14ac:dyDescent="0.3">
      <c r="B23" s="199" t="s">
        <v>2594</v>
      </c>
      <c r="H23" s="197"/>
      <c r="O23" s="197"/>
      <c r="V23" s="197"/>
    </row>
    <row r="24" spans="2:28" ht="7.05" customHeight="1" x14ac:dyDescent="0.3">
      <c r="H24" s="197"/>
      <c r="O24" s="197"/>
      <c r="V24" s="197"/>
    </row>
    <row r="25" spans="2:28" x14ac:dyDescent="0.3">
      <c r="B25" s="325" t="s">
        <v>2586</v>
      </c>
      <c r="C25" s="301">
        <v>0</v>
      </c>
      <c r="D25" s="301">
        <f>'DATA STATEMENTS'!C$59</f>
        <v>13548</v>
      </c>
      <c r="E25" s="301">
        <f>'DATA STATEMENTS'!D$59</f>
        <v>5303</v>
      </c>
      <c r="F25" s="301">
        <f>'DATA STATEMENTS'!E$59</f>
        <v>5356.41</v>
      </c>
      <c r="G25" s="301">
        <f>'DATA STATEMENTS'!F$59</f>
        <v>5307</v>
      </c>
      <c r="H25" s="197"/>
      <c r="J25" s="301">
        <f>$G$29</f>
        <v>15780</v>
      </c>
      <c r="K25" s="301">
        <f>J$29</f>
        <v>9080</v>
      </c>
      <c r="L25" s="301">
        <f t="shared" ref="L25:N25" si="28">K$29</f>
        <v>11580</v>
      </c>
      <c r="M25" s="301">
        <f t="shared" si="28"/>
        <v>12930</v>
      </c>
      <c r="N25" s="301">
        <f t="shared" si="28"/>
        <v>14430</v>
      </c>
      <c r="O25" s="197"/>
      <c r="Q25" s="301">
        <f>$G$29</f>
        <v>15780</v>
      </c>
      <c r="R25" s="301">
        <f>Q$29</f>
        <v>7780</v>
      </c>
      <c r="S25" s="301">
        <f t="shared" ref="S25:U25" si="29">R$29</f>
        <v>9280</v>
      </c>
      <c r="T25" s="301">
        <f t="shared" si="29"/>
        <v>12780</v>
      </c>
      <c r="U25" s="301">
        <f t="shared" si="29"/>
        <v>15280</v>
      </c>
      <c r="V25" s="197"/>
      <c r="X25" s="301">
        <f>$G$29</f>
        <v>15780</v>
      </c>
      <c r="Y25" s="301">
        <f>X$29</f>
        <v>4780</v>
      </c>
      <c r="Z25" s="301">
        <f t="shared" ref="Z25:AB25" si="30">Y$29</f>
        <v>8780</v>
      </c>
      <c r="AA25" s="301">
        <f t="shared" si="30"/>
        <v>16780</v>
      </c>
      <c r="AB25" s="301">
        <f t="shared" si="30"/>
        <v>20780</v>
      </c>
    </row>
    <row r="26" spans="2:28" x14ac:dyDescent="0.3">
      <c r="B26" s="194" t="s">
        <v>2587</v>
      </c>
      <c r="C26" s="190">
        <v>0</v>
      </c>
      <c r="D26" s="190">
        <f>D$29-D$25</f>
        <v>-8245</v>
      </c>
      <c r="E26" s="190">
        <f t="shared" ref="E26:G26" si="31">E$29-E$25</f>
        <v>53.409999999999854</v>
      </c>
      <c r="F26" s="190">
        <f t="shared" si="31"/>
        <v>-49.409999999999854</v>
      </c>
      <c r="G26" s="190">
        <f t="shared" si="31"/>
        <v>10473</v>
      </c>
      <c r="H26" s="197"/>
      <c r="J26" s="320">
        <f>C$55</f>
        <v>-6700</v>
      </c>
      <c r="K26" s="320">
        <f t="shared" ref="K26:N26" si="32">D$55</f>
        <v>2500</v>
      </c>
      <c r="L26" s="320">
        <f t="shared" si="32"/>
        <v>1350</v>
      </c>
      <c r="M26" s="320">
        <f t="shared" si="32"/>
        <v>1500</v>
      </c>
      <c r="N26" s="320">
        <f t="shared" si="32"/>
        <v>1000</v>
      </c>
      <c r="O26" s="321"/>
      <c r="P26" s="320"/>
      <c r="Q26" s="320">
        <f>C$56</f>
        <v>-8000</v>
      </c>
      <c r="R26" s="320">
        <f t="shared" ref="R26:U26" si="33">D$56</f>
        <v>1500</v>
      </c>
      <c r="S26" s="320">
        <f t="shared" si="33"/>
        <v>3500</v>
      </c>
      <c r="T26" s="320">
        <f t="shared" si="33"/>
        <v>2500</v>
      </c>
      <c r="U26" s="320">
        <f t="shared" si="33"/>
        <v>1100</v>
      </c>
      <c r="V26" s="321"/>
      <c r="W26" s="320"/>
      <c r="X26" s="320">
        <f>C$57</f>
        <v>-11000</v>
      </c>
      <c r="Y26" s="320">
        <f t="shared" ref="Y26:AB26" si="34">D$57</f>
        <v>4000</v>
      </c>
      <c r="Z26" s="320">
        <f t="shared" si="34"/>
        <v>8000</v>
      </c>
      <c r="AA26" s="320">
        <f t="shared" si="34"/>
        <v>4000</v>
      </c>
      <c r="AB26" s="320">
        <f t="shared" si="34"/>
        <v>-1000</v>
      </c>
    </row>
    <row r="27" spans="2:28" x14ac:dyDescent="0.3">
      <c r="B27" s="322" t="s">
        <v>2588</v>
      </c>
      <c r="C27" s="314">
        <v>0</v>
      </c>
      <c r="D27" s="314">
        <v>5381</v>
      </c>
      <c r="E27" s="314">
        <v>769</v>
      </c>
      <c r="F27" s="314">
        <v>61</v>
      </c>
      <c r="G27" s="314">
        <v>0</v>
      </c>
      <c r="H27" s="197"/>
      <c r="J27" s="314">
        <v>0</v>
      </c>
      <c r="K27" s="314">
        <v>0</v>
      </c>
      <c r="L27" s="314">
        <v>0</v>
      </c>
      <c r="M27" s="314">
        <v>0</v>
      </c>
      <c r="N27" s="314">
        <v>0</v>
      </c>
      <c r="O27" s="197"/>
      <c r="Q27" s="314">
        <v>0</v>
      </c>
      <c r="R27" s="314">
        <v>0</v>
      </c>
      <c r="S27" s="314">
        <v>0</v>
      </c>
      <c r="T27" s="314">
        <v>0</v>
      </c>
      <c r="U27" s="314">
        <v>0</v>
      </c>
      <c r="V27" s="197"/>
      <c r="X27" s="314">
        <v>0</v>
      </c>
      <c r="Y27" s="314">
        <v>0</v>
      </c>
      <c r="Z27" s="314">
        <v>0</v>
      </c>
      <c r="AA27" s="314">
        <v>0</v>
      </c>
      <c r="AB27" s="314">
        <v>0</v>
      </c>
    </row>
    <row r="28" spans="2:28" x14ac:dyDescent="0.3">
      <c r="H28" s="197"/>
      <c r="O28" s="197"/>
      <c r="V28" s="197"/>
    </row>
    <row r="29" spans="2:28" x14ac:dyDescent="0.3">
      <c r="B29" s="316" t="s">
        <v>2589</v>
      </c>
      <c r="C29" s="316">
        <f>'BALANCE SHEET'!C$56</f>
        <v>13548</v>
      </c>
      <c r="D29" s="316">
        <f>'BALANCE SHEET'!D$56</f>
        <v>5303</v>
      </c>
      <c r="E29" s="316">
        <f>'BALANCE SHEET'!E$56</f>
        <v>5356.41</v>
      </c>
      <c r="F29" s="316">
        <f>'BALANCE SHEET'!F$56</f>
        <v>5307</v>
      </c>
      <c r="G29" s="316">
        <f>'BALANCE SHEET'!G$56</f>
        <v>15780</v>
      </c>
      <c r="H29" s="197"/>
      <c r="J29" s="316">
        <f>J$25+J$26-J$27</f>
        <v>9080</v>
      </c>
      <c r="K29" s="316">
        <f t="shared" ref="K29:N29" si="35">K$25+K$26-K$27</f>
        <v>11580</v>
      </c>
      <c r="L29" s="316">
        <f t="shared" si="35"/>
        <v>12930</v>
      </c>
      <c r="M29" s="316">
        <f t="shared" si="35"/>
        <v>14430</v>
      </c>
      <c r="N29" s="316">
        <f t="shared" si="35"/>
        <v>15430</v>
      </c>
      <c r="O29" s="280"/>
      <c r="Q29" s="316">
        <f>Q$25+Q$26-Q$27</f>
        <v>7780</v>
      </c>
      <c r="R29" s="316">
        <f t="shared" ref="R29:U29" si="36">R$25+R$26-R$27</f>
        <v>9280</v>
      </c>
      <c r="S29" s="316">
        <f t="shared" si="36"/>
        <v>12780</v>
      </c>
      <c r="T29" s="316">
        <f t="shared" si="36"/>
        <v>15280</v>
      </c>
      <c r="U29" s="316">
        <f t="shared" si="36"/>
        <v>16380</v>
      </c>
      <c r="V29" s="197"/>
      <c r="X29" s="316">
        <f>X$25+X$26-X$27</f>
        <v>4780</v>
      </c>
      <c r="Y29" s="316">
        <f t="shared" ref="Y29:AB29" si="37">Y$25+Y$26-Y$27</f>
        <v>8780</v>
      </c>
      <c r="Z29" s="316">
        <f t="shared" si="37"/>
        <v>16780</v>
      </c>
      <c r="AA29" s="316">
        <f t="shared" si="37"/>
        <v>20780</v>
      </c>
      <c r="AB29" s="316">
        <f t="shared" si="37"/>
        <v>19780</v>
      </c>
    </row>
    <row r="30" spans="2:28" x14ac:dyDescent="0.3">
      <c r="H30" s="197"/>
      <c r="O30" s="197"/>
      <c r="V30" s="197"/>
    </row>
    <row r="31" spans="2:28" x14ac:dyDescent="0.3">
      <c r="B31" s="325" t="s">
        <v>2590</v>
      </c>
      <c r="C31" s="301">
        <v>0</v>
      </c>
      <c r="D31" s="301">
        <f>(D$25+D$29)/2</f>
        <v>9425.5</v>
      </c>
      <c r="E31" s="301">
        <f t="shared" ref="E31:G31" si="38">(E$25+E$29)/2</f>
        <v>5329.7049999999999</v>
      </c>
      <c r="F31" s="301">
        <f t="shared" si="38"/>
        <v>5331.7049999999999</v>
      </c>
      <c r="G31" s="301">
        <f t="shared" si="38"/>
        <v>10543.5</v>
      </c>
      <c r="H31" s="197"/>
      <c r="J31" s="301">
        <f>(J$25+J$29)/2</f>
        <v>12430</v>
      </c>
      <c r="K31" s="301">
        <f t="shared" ref="K31:N31" si="39">(K$25+K$29)/2</f>
        <v>10330</v>
      </c>
      <c r="L31" s="301">
        <f t="shared" si="39"/>
        <v>12255</v>
      </c>
      <c r="M31" s="301">
        <f t="shared" si="39"/>
        <v>13680</v>
      </c>
      <c r="N31" s="301">
        <f t="shared" si="39"/>
        <v>14930</v>
      </c>
      <c r="O31" s="197"/>
      <c r="Q31" s="301">
        <f t="shared" ref="Q31:U31" si="40">(Q$25+Q$29)/2</f>
        <v>11780</v>
      </c>
      <c r="R31" s="301">
        <f t="shared" si="40"/>
        <v>8530</v>
      </c>
      <c r="S31" s="301">
        <f t="shared" si="40"/>
        <v>11030</v>
      </c>
      <c r="T31" s="301">
        <f t="shared" si="40"/>
        <v>14030</v>
      </c>
      <c r="U31" s="301">
        <f t="shared" si="40"/>
        <v>15830</v>
      </c>
      <c r="V31" s="197"/>
      <c r="X31" s="301">
        <f t="shared" ref="X31:AB31" si="41">(X$25+X$29)/2</f>
        <v>10280</v>
      </c>
      <c r="Y31" s="301">
        <f t="shared" si="41"/>
        <v>6780</v>
      </c>
      <c r="Z31" s="301">
        <f t="shared" si="41"/>
        <v>12780</v>
      </c>
      <c r="AA31" s="301">
        <f t="shared" si="41"/>
        <v>18780</v>
      </c>
      <c r="AB31" s="301">
        <f t="shared" si="41"/>
        <v>20280</v>
      </c>
    </row>
    <row r="32" spans="2:28" x14ac:dyDescent="0.3">
      <c r="B32" s="353" t="s">
        <v>2591</v>
      </c>
      <c r="C32" s="308">
        <v>0</v>
      </c>
      <c r="D32" s="354">
        <f>D$35/D$31</f>
        <v>0.10022916556150868</v>
      </c>
      <c r="E32" s="354">
        <f t="shared" ref="E32:G32" si="42">E$35/E$31</f>
        <v>0.15436501645025383</v>
      </c>
      <c r="F32" s="354">
        <f t="shared" si="42"/>
        <v>0.18155543114257072</v>
      </c>
      <c r="G32" s="354">
        <f t="shared" si="42"/>
        <v>0.1564945226917058</v>
      </c>
      <c r="H32" s="307"/>
      <c r="I32" s="308"/>
      <c r="J32" s="354">
        <f>$N$5</f>
        <v>0.1182</v>
      </c>
      <c r="K32" s="354">
        <f t="shared" ref="K32:N32" si="43">$N$5</f>
        <v>0.1182</v>
      </c>
      <c r="L32" s="354">
        <f t="shared" si="43"/>
        <v>0.1182</v>
      </c>
      <c r="M32" s="354">
        <f t="shared" si="43"/>
        <v>0.1182</v>
      </c>
      <c r="N32" s="354">
        <f t="shared" si="43"/>
        <v>0.1182</v>
      </c>
      <c r="O32" s="307"/>
      <c r="P32" s="308"/>
      <c r="Q32" s="354">
        <f>$U$5</f>
        <v>0.14816103396150976</v>
      </c>
      <c r="R32" s="354">
        <f t="shared" ref="R32:U32" si="44">$U$5</f>
        <v>0.14816103396150976</v>
      </c>
      <c r="S32" s="354">
        <f t="shared" si="44"/>
        <v>0.14816103396150976</v>
      </c>
      <c r="T32" s="354">
        <f t="shared" si="44"/>
        <v>0.14816103396150976</v>
      </c>
      <c r="U32" s="354">
        <f t="shared" si="44"/>
        <v>0.14816103396150976</v>
      </c>
      <c r="V32" s="307"/>
      <c r="W32" s="308"/>
      <c r="X32" s="354">
        <f>$AB$5</f>
        <v>0.1782</v>
      </c>
      <c r="Y32" s="354">
        <f t="shared" ref="Y32:AB32" si="45">$AB$5</f>
        <v>0.1782</v>
      </c>
      <c r="Z32" s="354">
        <f t="shared" si="45"/>
        <v>0.1782</v>
      </c>
      <c r="AA32" s="354">
        <f t="shared" si="45"/>
        <v>0.1782</v>
      </c>
      <c r="AB32" s="354">
        <f t="shared" si="45"/>
        <v>0.1782</v>
      </c>
    </row>
    <row r="33" spans="2:28" x14ac:dyDescent="0.3">
      <c r="B33" s="322" t="s">
        <v>2592</v>
      </c>
      <c r="C33" s="314">
        <v>0</v>
      </c>
      <c r="D33" s="314">
        <v>0</v>
      </c>
      <c r="E33" s="314">
        <v>0</v>
      </c>
      <c r="F33" s="314">
        <v>0</v>
      </c>
      <c r="G33" s="314">
        <v>0</v>
      </c>
      <c r="H33" s="197"/>
      <c r="J33" s="314">
        <v>0</v>
      </c>
      <c r="K33" s="314">
        <v>0</v>
      </c>
      <c r="L33" s="314">
        <v>0</v>
      </c>
      <c r="M33" s="314">
        <v>0</v>
      </c>
      <c r="N33" s="314">
        <v>0</v>
      </c>
      <c r="O33" s="197"/>
      <c r="Q33" s="314">
        <v>0</v>
      </c>
      <c r="R33" s="314">
        <v>0</v>
      </c>
      <c r="S33" s="314">
        <v>0</v>
      </c>
      <c r="T33" s="314">
        <v>0</v>
      </c>
      <c r="U33" s="314">
        <v>0</v>
      </c>
      <c r="V33" s="197"/>
      <c r="X33" s="314">
        <v>0</v>
      </c>
      <c r="Y33" s="314">
        <v>0</v>
      </c>
      <c r="Z33" s="314">
        <v>0</v>
      </c>
      <c r="AA33" s="314">
        <v>0</v>
      </c>
      <c r="AB33" s="314">
        <v>0</v>
      </c>
    </row>
    <row r="34" spans="2:28" x14ac:dyDescent="0.3">
      <c r="H34" s="197"/>
      <c r="O34" s="197"/>
      <c r="V34" s="197"/>
    </row>
    <row r="35" spans="2:28" x14ac:dyDescent="0.3">
      <c r="B35" s="316" t="s">
        <v>2593</v>
      </c>
      <c r="C35" s="316">
        <f>'FINANCE COST SCHEDULE'!C$21</f>
        <v>1485</v>
      </c>
      <c r="D35" s="316">
        <f>'FINANCE COST SCHEDULE'!D$21</f>
        <v>944.71</v>
      </c>
      <c r="E35" s="316">
        <f>'FINANCE COST SCHEDULE'!E$21</f>
        <v>822.72</v>
      </c>
      <c r="F35" s="316">
        <f>'FINANCE COST SCHEDULE'!F$21</f>
        <v>968</v>
      </c>
      <c r="G35" s="316">
        <f>'FINANCE COST SCHEDULE'!G$21</f>
        <v>1650</v>
      </c>
      <c r="H35" s="197"/>
      <c r="J35" s="316">
        <f>J$31*J$32</f>
        <v>1469.2259999999999</v>
      </c>
      <c r="K35" s="316">
        <f t="shared" ref="K35:N35" si="46">K$31*K$32</f>
        <v>1221.0060000000001</v>
      </c>
      <c r="L35" s="316">
        <f t="shared" si="46"/>
        <v>1448.5409999999999</v>
      </c>
      <c r="M35" s="316">
        <f t="shared" si="46"/>
        <v>1616.9759999999999</v>
      </c>
      <c r="N35" s="316">
        <f t="shared" si="46"/>
        <v>1764.7259999999999</v>
      </c>
      <c r="O35" s="280"/>
      <c r="Q35" s="316">
        <f t="shared" ref="Q35:U35" si="47">Q$31*Q$32</f>
        <v>1745.3369800665851</v>
      </c>
      <c r="R35" s="316">
        <f t="shared" si="47"/>
        <v>1263.8136196916782</v>
      </c>
      <c r="S35" s="316">
        <f t="shared" si="47"/>
        <v>1634.2162045954526</v>
      </c>
      <c r="T35" s="316">
        <f t="shared" si="47"/>
        <v>2078.6993064799817</v>
      </c>
      <c r="U35" s="316">
        <f t="shared" si="47"/>
        <v>2345.3891676106996</v>
      </c>
      <c r="V35" s="197"/>
      <c r="X35" s="316">
        <f t="shared" ref="X35:AB35" si="48">X$31*X$32</f>
        <v>1831.896</v>
      </c>
      <c r="Y35" s="316">
        <f t="shared" si="48"/>
        <v>1208.1959999999999</v>
      </c>
      <c r="Z35" s="316">
        <f t="shared" si="48"/>
        <v>2277.3960000000002</v>
      </c>
      <c r="AA35" s="316">
        <f t="shared" si="48"/>
        <v>3346.596</v>
      </c>
      <c r="AB35" s="316">
        <f t="shared" si="48"/>
        <v>3613.8959999999997</v>
      </c>
    </row>
    <row r="36" spans="2:28" ht="7.05" customHeight="1" x14ac:dyDescent="0.3">
      <c r="H36" s="197"/>
    </row>
    <row r="37" spans="2:28" x14ac:dyDescent="0.3">
      <c r="B37" s="199" t="s">
        <v>60</v>
      </c>
      <c r="H37" s="197"/>
      <c r="O37" s="197"/>
      <c r="V37" s="197"/>
    </row>
    <row r="38" spans="2:28" ht="7.05" customHeight="1" x14ac:dyDescent="0.3">
      <c r="H38" s="197"/>
      <c r="O38" s="197"/>
      <c r="V38" s="197"/>
    </row>
    <row r="39" spans="2:28" x14ac:dyDescent="0.3">
      <c r="B39" s="325" t="s">
        <v>2586</v>
      </c>
      <c r="C39" s="301">
        <f>C$11+C$25</f>
        <v>0</v>
      </c>
      <c r="D39" s="301">
        <f>D$11+D$25</f>
        <v>17783</v>
      </c>
      <c r="E39" s="301">
        <f t="shared" ref="E39:G39" si="49">E$11+E$25</f>
        <v>10202.84</v>
      </c>
      <c r="F39" s="301">
        <f t="shared" si="49"/>
        <v>9900.7799999999988</v>
      </c>
      <c r="G39" s="301">
        <f t="shared" si="49"/>
        <v>10297</v>
      </c>
      <c r="H39" s="197"/>
      <c r="J39" s="301">
        <f>$G$43</f>
        <v>23030</v>
      </c>
      <c r="K39" s="301">
        <f>J$43</f>
        <v>13130</v>
      </c>
      <c r="L39" s="301">
        <f t="shared" ref="L39:N39" si="50">K$43</f>
        <v>17230</v>
      </c>
      <c r="M39" s="301">
        <f t="shared" si="50"/>
        <v>20480</v>
      </c>
      <c r="N39" s="301">
        <f t="shared" si="50"/>
        <v>23980</v>
      </c>
      <c r="O39" s="197"/>
      <c r="Q39" s="301">
        <f>$G$43</f>
        <v>23030</v>
      </c>
      <c r="R39" s="301">
        <f>Q$43</f>
        <v>10030</v>
      </c>
      <c r="S39" s="301">
        <f t="shared" ref="S39:U39" si="51">R$43</f>
        <v>13130</v>
      </c>
      <c r="T39" s="301">
        <f t="shared" si="51"/>
        <v>20030</v>
      </c>
      <c r="U39" s="301">
        <f t="shared" si="51"/>
        <v>26230</v>
      </c>
      <c r="V39" s="197"/>
      <c r="X39" s="301">
        <f>$G$43</f>
        <v>23030</v>
      </c>
      <c r="Y39" s="301">
        <f>X$43</f>
        <v>8030</v>
      </c>
      <c r="Z39" s="301">
        <f t="shared" ref="Z39:AB39" si="52">Y$43</f>
        <v>12230</v>
      </c>
      <c r="AA39" s="301">
        <f t="shared" si="52"/>
        <v>22230</v>
      </c>
      <c r="AB39" s="301">
        <f t="shared" si="52"/>
        <v>29230</v>
      </c>
    </row>
    <row r="40" spans="2:28" x14ac:dyDescent="0.3">
      <c r="B40" s="194" t="s">
        <v>2587</v>
      </c>
      <c r="C40" s="190">
        <f>C$12+C$26</f>
        <v>0</v>
      </c>
      <c r="D40" s="190">
        <f>D$12+D$26</f>
        <v>-7580.16</v>
      </c>
      <c r="E40" s="190">
        <f t="shared" ref="E40:G40" si="53">E$12+E$26</f>
        <v>-302.0600000000004</v>
      </c>
      <c r="F40" s="190">
        <f t="shared" si="53"/>
        <v>396.22000000000025</v>
      </c>
      <c r="G40" s="190">
        <f t="shared" si="53"/>
        <v>12733</v>
      </c>
      <c r="H40" s="197"/>
      <c r="J40" s="190">
        <f>J$12+J$26</f>
        <v>-9900</v>
      </c>
      <c r="K40" s="190">
        <f t="shared" ref="K40:N40" si="54">K$12+K$26</f>
        <v>4100</v>
      </c>
      <c r="L40" s="190">
        <f t="shared" si="54"/>
        <v>3250</v>
      </c>
      <c r="M40" s="190">
        <f t="shared" si="54"/>
        <v>3500</v>
      </c>
      <c r="N40" s="190">
        <f t="shared" si="54"/>
        <v>-1500</v>
      </c>
      <c r="O40" s="197"/>
      <c r="Q40" s="190">
        <f>Q$12+Q$26</f>
        <v>-13000</v>
      </c>
      <c r="R40" s="190">
        <f t="shared" ref="R40:U40" si="55">R$12+R$26</f>
        <v>3100</v>
      </c>
      <c r="S40" s="190">
        <f t="shared" si="55"/>
        <v>6900</v>
      </c>
      <c r="T40" s="190">
        <f t="shared" si="55"/>
        <v>6200</v>
      </c>
      <c r="U40" s="190">
        <f t="shared" si="55"/>
        <v>-900</v>
      </c>
      <c r="V40" s="197"/>
      <c r="X40" s="190">
        <f>X$12+X$26</f>
        <v>-15000</v>
      </c>
      <c r="Y40" s="190">
        <f t="shared" ref="Y40:AB40" si="56">Y$12+Y$26</f>
        <v>4200</v>
      </c>
      <c r="Z40" s="190">
        <f t="shared" si="56"/>
        <v>10000</v>
      </c>
      <c r="AA40" s="190">
        <f t="shared" si="56"/>
        <v>7000</v>
      </c>
      <c r="AB40" s="190">
        <f t="shared" si="56"/>
        <v>0</v>
      </c>
    </row>
    <row r="41" spans="2:28" x14ac:dyDescent="0.3">
      <c r="B41" s="322" t="s">
        <v>2588</v>
      </c>
      <c r="C41" s="314">
        <f>C$13+C$27</f>
        <v>0</v>
      </c>
      <c r="D41" s="314">
        <f>D$13+D$27</f>
        <v>5381</v>
      </c>
      <c r="E41" s="314">
        <f t="shared" ref="E41:G41" si="57">E$13+E$27</f>
        <v>1142</v>
      </c>
      <c r="F41" s="314">
        <f t="shared" si="57"/>
        <v>663</v>
      </c>
      <c r="G41" s="314">
        <f t="shared" si="57"/>
        <v>0</v>
      </c>
      <c r="H41" s="197"/>
      <c r="J41" s="314">
        <f>J$13+J$27</f>
        <v>0</v>
      </c>
      <c r="K41" s="314">
        <f t="shared" ref="K41:N41" si="58">K$13+K$27</f>
        <v>0</v>
      </c>
      <c r="L41" s="314">
        <f t="shared" si="58"/>
        <v>0</v>
      </c>
      <c r="M41" s="314">
        <f t="shared" si="58"/>
        <v>0</v>
      </c>
      <c r="N41" s="314">
        <f t="shared" si="58"/>
        <v>0</v>
      </c>
      <c r="O41" s="197"/>
      <c r="Q41" s="314">
        <f>Q$13+Q$27</f>
        <v>0</v>
      </c>
      <c r="R41" s="314">
        <f t="shared" ref="R41:U41" si="59">R$13+R$27</f>
        <v>0</v>
      </c>
      <c r="S41" s="314">
        <f t="shared" si="59"/>
        <v>0</v>
      </c>
      <c r="T41" s="314">
        <f t="shared" si="59"/>
        <v>0</v>
      </c>
      <c r="U41" s="314">
        <f t="shared" si="59"/>
        <v>0</v>
      </c>
      <c r="V41" s="197"/>
      <c r="X41" s="314">
        <v>0</v>
      </c>
      <c r="Y41" s="314">
        <v>0</v>
      </c>
      <c r="Z41" s="314">
        <v>0</v>
      </c>
      <c r="AA41" s="314">
        <v>0</v>
      </c>
      <c r="AB41" s="314">
        <v>0</v>
      </c>
    </row>
    <row r="42" spans="2:28" x14ac:dyDescent="0.3">
      <c r="H42" s="197"/>
      <c r="O42" s="197"/>
      <c r="V42" s="197"/>
    </row>
    <row r="43" spans="2:28" x14ac:dyDescent="0.3">
      <c r="B43" s="200" t="s">
        <v>2589</v>
      </c>
      <c r="C43" s="200">
        <f>$C$15+$C$29</f>
        <v>17783</v>
      </c>
      <c r="D43" s="200">
        <f>D$39+D$40</f>
        <v>10202.84</v>
      </c>
      <c r="E43" s="200">
        <f t="shared" ref="E43:G43" si="60">E$39+E$40</f>
        <v>9900.7799999999988</v>
      </c>
      <c r="F43" s="200">
        <f t="shared" si="60"/>
        <v>10297</v>
      </c>
      <c r="G43" s="200">
        <f t="shared" si="60"/>
        <v>23030</v>
      </c>
      <c r="H43" s="197"/>
      <c r="J43" s="200">
        <f>J$39+J$40-J$41</f>
        <v>13130</v>
      </c>
      <c r="K43" s="200">
        <f t="shared" ref="K43:N43" si="61">K$39+K$40-K$41</f>
        <v>17230</v>
      </c>
      <c r="L43" s="200">
        <f t="shared" si="61"/>
        <v>20480</v>
      </c>
      <c r="M43" s="200">
        <f t="shared" si="61"/>
        <v>23980</v>
      </c>
      <c r="N43" s="200">
        <f t="shared" si="61"/>
        <v>22480</v>
      </c>
      <c r="O43" s="197"/>
      <c r="Q43" s="200">
        <f t="shared" ref="Q43:U43" si="62">Q$39+Q$40-Q$41</f>
        <v>10030</v>
      </c>
      <c r="R43" s="200">
        <f t="shared" si="62"/>
        <v>13130</v>
      </c>
      <c r="S43" s="200">
        <f t="shared" si="62"/>
        <v>20030</v>
      </c>
      <c r="T43" s="200">
        <f t="shared" si="62"/>
        <v>26230</v>
      </c>
      <c r="U43" s="200">
        <f t="shared" si="62"/>
        <v>25330</v>
      </c>
      <c r="V43" s="197"/>
      <c r="X43" s="200">
        <f t="shared" ref="X43:AB43" si="63">X$39+X$40-X$41</f>
        <v>8030</v>
      </c>
      <c r="Y43" s="200">
        <f t="shared" si="63"/>
        <v>12230</v>
      </c>
      <c r="Z43" s="200">
        <f t="shared" si="63"/>
        <v>22230</v>
      </c>
      <c r="AA43" s="200">
        <f t="shared" si="63"/>
        <v>29230</v>
      </c>
      <c r="AB43" s="200">
        <f t="shared" si="63"/>
        <v>29230</v>
      </c>
    </row>
    <row r="44" spans="2:28" x14ac:dyDescent="0.3">
      <c r="H44" s="197"/>
      <c r="O44" s="197"/>
      <c r="V44" s="197"/>
    </row>
    <row r="45" spans="2:28" x14ac:dyDescent="0.3">
      <c r="B45" s="325" t="s">
        <v>2590</v>
      </c>
      <c r="C45" s="301">
        <f>(C$39+C$43)/2</f>
        <v>8891.5</v>
      </c>
      <c r="D45" s="301">
        <f t="shared" ref="D45:G45" si="64">(D$39+D$43)/2</f>
        <v>13992.92</v>
      </c>
      <c r="E45" s="301">
        <f t="shared" si="64"/>
        <v>10051.81</v>
      </c>
      <c r="F45" s="301">
        <f t="shared" si="64"/>
        <v>10098.89</v>
      </c>
      <c r="G45" s="301">
        <f t="shared" si="64"/>
        <v>16663.5</v>
      </c>
      <c r="H45" s="197"/>
      <c r="J45" s="301">
        <f>(J$39+J$43)/2</f>
        <v>18080</v>
      </c>
      <c r="K45" s="301">
        <f t="shared" ref="K45:N45" si="65">(K$39+K$43)/2</f>
        <v>15180</v>
      </c>
      <c r="L45" s="301">
        <f t="shared" si="65"/>
        <v>18855</v>
      </c>
      <c r="M45" s="301">
        <f t="shared" si="65"/>
        <v>22230</v>
      </c>
      <c r="N45" s="301">
        <f t="shared" si="65"/>
        <v>23230</v>
      </c>
      <c r="O45" s="197"/>
      <c r="Q45" s="301">
        <f t="shared" ref="Q45:U45" si="66">(Q$39+Q$43)/2</f>
        <v>16530</v>
      </c>
      <c r="R45" s="301">
        <f t="shared" si="66"/>
        <v>11580</v>
      </c>
      <c r="S45" s="301">
        <f t="shared" si="66"/>
        <v>16580</v>
      </c>
      <c r="T45" s="301">
        <f t="shared" si="66"/>
        <v>23130</v>
      </c>
      <c r="U45" s="301">
        <f t="shared" si="66"/>
        <v>25780</v>
      </c>
      <c r="V45" s="197"/>
      <c r="X45" s="301">
        <f t="shared" ref="X45:AB45" si="67">(X$39+X$43)/2</f>
        <v>15530</v>
      </c>
      <c r="Y45" s="301">
        <f t="shared" si="67"/>
        <v>10130</v>
      </c>
      <c r="Z45" s="301">
        <f t="shared" si="67"/>
        <v>17230</v>
      </c>
      <c r="AA45" s="301">
        <f t="shared" si="67"/>
        <v>25730</v>
      </c>
      <c r="AB45" s="301">
        <f t="shared" si="67"/>
        <v>29230</v>
      </c>
    </row>
    <row r="46" spans="2:28" x14ac:dyDescent="0.3">
      <c r="B46" s="353" t="s">
        <v>2591</v>
      </c>
      <c r="C46" s="308">
        <v>0</v>
      </c>
      <c r="D46" s="354">
        <f>D$49/D$45</f>
        <v>6.7513428219413821E-2</v>
      </c>
      <c r="E46" s="354">
        <f t="shared" ref="E46:G46" si="68">E$49/E$45</f>
        <v>8.1847945792847265E-2</v>
      </c>
      <c r="F46" s="354">
        <f t="shared" si="68"/>
        <v>9.5852118401131226E-2</v>
      </c>
      <c r="G46" s="354">
        <f t="shared" si="68"/>
        <v>9.9018813574579173E-2</v>
      </c>
      <c r="H46" s="307"/>
      <c r="I46" s="308"/>
      <c r="J46" s="354">
        <f>$M$59</f>
        <v>6.6100000000000006E-2</v>
      </c>
      <c r="K46" s="354">
        <f t="shared" ref="K46:N46" si="69">$M$59</f>
        <v>6.6100000000000006E-2</v>
      </c>
      <c r="L46" s="354">
        <f t="shared" si="69"/>
        <v>6.6100000000000006E-2</v>
      </c>
      <c r="M46" s="354">
        <f t="shared" si="69"/>
        <v>6.6100000000000006E-2</v>
      </c>
      <c r="N46" s="354">
        <f t="shared" si="69"/>
        <v>6.6100000000000006E-2</v>
      </c>
      <c r="O46" s="307"/>
      <c r="P46" s="308"/>
      <c r="Q46" s="354">
        <f>$T$59</f>
        <v>8.6058076496992875E-2</v>
      </c>
      <c r="R46" s="354">
        <f t="shared" ref="R46:U46" si="70">$T$59</f>
        <v>8.6058076496992875E-2</v>
      </c>
      <c r="S46" s="354">
        <f t="shared" si="70"/>
        <v>8.6058076496992875E-2</v>
      </c>
      <c r="T46" s="354">
        <f t="shared" si="70"/>
        <v>8.6058076496992875E-2</v>
      </c>
      <c r="U46" s="354">
        <f t="shared" si="70"/>
        <v>8.6058076496992875E-2</v>
      </c>
      <c r="V46" s="307"/>
      <c r="W46" s="308"/>
      <c r="X46" s="354">
        <f>$AA$59</f>
        <v>0.1061</v>
      </c>
      <c r="Y46" s="354">
        <f t="shared" ref="Y46:AB46" si="71">$AA$59</f>
        <v>0.1061</v>
      </c>
      <c r="Z46" s="354">
        <f t="shared" si="71"/>
        <v>0.1061</v>
      </c>
      <c r="AA46" s="354">
        <f t="shared" si="71"/>
        <v>0.1061</v>
      </c>
      <c r="AB46" s="354">
        <f t="shared" si="71"/>
        <v>0.1061</v>
      </c>
    </row>
    <row r="47" spans="2:28" x14ac:dyDescent="0.3">
      <c r="B47" s="322" t="s">
        <v>2592</v>
      </c>
      <c r="C47" s="314">
        <v>0</v>
      </c>
      <c r="D47" s="314">
        <v>0</v>
      </c>
      <c r="E47" s="314">
        <v>0</v>
      </c>
      <c r="F47" s="314">
        <v>0</v>
      </c>
      <c r="G47" s="314">
        <v>0</v>
      </c>
      <c r="H47" s="197"/>
      <c r="J47" s="314">
        <v>0</v>
      </c>
      <c r="K47" s="314">
        <v>0</v>
      </c>
      <c r="L47" s="314">
        <v>0</v>
      </c>
      <c r="M47" s="314">
        <v>0</v>
      </c>
      <c r="N47" s="314">
        <v>0</v>
      </c>
      <c r="O47" s="197"/>
      <c r="Q47" s="314">
        <v>0</v>
      </c>
      <c r="R47" s="314">
        <v>0</v>
      </c>
      <c r="S47" s="314">
        <v>0</v>
      </c>
      <c r="T47" s="314">
        <v>0</v>
      </c>
      <c r="U47" s="314">
        <v>0</v>
      </c>
      <c r="V47" s="197"/>
      <c r="X47" s="314">
        <v>0</v>
      </c>
      <c r="Y47" s="314">
        <v>0</v>
      </c>
      <c r="Z47" s="314">
        <v>0</v>
      </c>
      <c r="AA47" s="314">
        <v>0</v>
      </c>
      <c r="AB47" s="314">
        <v>0</v>
      </c>
    </row>
    <row r="48" spans="2:28" x14ac:dyDescent="0.3">
      <c r="H48" s="197"/>
      <c r="O48" s="197"/>
      <c r="V48" s="197"/>
    </row>
    <row r="49" spans="2:28" x14ac:dyDescent="0.3">
      <c r="B49" s="200" t="s">
        <v>2593</v>
      </c>
      <c r="C49" s="200">
        <f>C$35</f>
        <v>1485</v>
      </c>
      <c r="D49" s="200">
        <f t="shared" ref="D49:G49" si="72">D$35</f>
        <v>944.71</v>
      </c>
      <c r="E49" s="200">
        <f t="shared" si="72"/>
        <v>822.72</v>
      </c>
      <c r="F49" s="200">
        <f t="shared" si="72"/>
        <v>968</v>
      </c>
      <c r="G49" s="200">
        <f t="shared" si="72"/>
        <v>1650</v>
      </c>
      <c r="H49" s="197"/>
      <c r="J49" s="200">
        <f>J$45*J$46</f>
        <v>1195.0880000000002</v>
      </c>
      <c r="K49" s="200">
        <f t="shared" ref="K49:N49" si="73">K$45*K$46</f>
        <v>1003.3980000000001</v>
      </c>
      <c r="L49" s="200">
        <f t="shared" si="73"/>
        <v>1246.3155000000002</v>
      </c>
      <c r="M49" s="200">
        <f t="shared" si="73"/>
        <v>1469.403</v>
      </c>
      <c r="N49" s="200">
        <f t="shared" si="73"/>
        <v>1535.5030000000002</v>
      </c>
      <c r="O49" s="197"/>
      <c r="Q49" s="200">
        <f t="shared" ref="Q49:U49" si="74">Q$45*Q$46</f>
        <v>1422.5400044952921</v>
      </c>
      <c r="R49" s="200">
        <f t="shared" si="74"/>
        <v>996.55252583517745</v>
      </c>
      <c r="S49" s="200">
        <f t="shared" si="74"/>
        <v>1426.8429083201418</v>
      </c>
      <c r="T49" s="200">
        <f t="shared" si="74"/>
        <v>1990.5233093754453</v>
      </c>
      <c r="U49" s="200">
        <f t="shared" si="74"/>
        <v>2218.5772120924762</v>
      </c>
      <c r="V49" s="197"/>
      <c r="X49" s="200">
        <f t="shared" ref="X49:AB49" si="75">X$45*X$46</f>
        <v>1647.7329999999999</v>
      </c>
      <c r="Y49" s="200">
        <f t="shared" si="75"/>
        <v>1074.7929999999999</v>
      </c>
      <c r="Z49" s="200">
        <f t="shared" si="75"/>
        <v>1828.1030000000001</v>
      </c>
      <c r="AA49" s="200">
        <f t="shared" si="75"/>
        <v>2729.953</v>
      </c>
      <c r="AB49" s="200">
        <f t="shared" si="75"/>
        <v>3101.3029999999999</v>
      </c>
    </row>
    <row r="50" spans="2:28" x14ac:dyDescent="0.3">
      <c r="B50" s="199" t="s">
        <v>2860</v>
      </c>
      <c r="C50" s="199">
        <v>1</v>
      </c>
      <c r="D50" s="199">
        <v>2</v>
      </c>
      <c r="E50" s="199">
        <v>3</v>
      </c>
      <c r="F50" s="199">
        <v>4</v>
      </c>
      <c r="G50" s="199">
        <v>5</v>
      </c>
      <c r="J50" s="193"/>
      <c r="K50" s="193"/>
      <c r="L50" s="193"/>
      <c r="M50" s="193"/>
      <c r="N50" s="193"/>
      <c r="Q50" s="193"/>
      <c r="R50" s="193"/>
      <c r="S50" s="193"/>
      <c r="T50" s="193"/>
      <c r="U50" s="193"/>
      <c r="X50" s="193"/>
      <c r="Y50" s="193"/>
      <c r="Z50" s="193"/>
      <c r="AA50" s="193"/>
      <c r="AB50" s="193"/>
    </row>
    <row r="51" spans="2:28" x14ac:dyDescent="0.3">
      <c r="B51" s="203" t="s">
        <v>2638</v>
      </c>
      <c r="C51" s="327">
        <v>-3200</v>
      </c>
      <c r="D51" s="327">
        <v>1600</v>
      </c>
      <c r="E51" s="327">
        <v>1900</v>
      </c>
      <c r="F51" s="327">
        <v>2000</v>
      </c>
      <c r="G51" s="467">
        <v>-2500</v>
      </c>
      <c r="J51" s="216"/>
      <c r="K51" s="216"/>
      <c r="L51" s="216"/>
      <c r="M51" s="216"/>
      <c r="N51" s="216"/>
      <c r="Q51" s="193"/>
      <c r="R51" s="193"/>
      <c r="S51" s="193"/>
      <c r="T51" s="193"/>
      <c r="U51" s="193"/>
      <c r="X51" s="193"/>
      <c r="Y51" s="193"/>
      <c r="Z51" s="193"/>
      <c r="AA51" s="193"/>
      <c r="AB51" s="193"/>
    </row>
    <row r="52" spans="2:28" x14ac:dyDescent="0.3">
      <c r="B52" s="203" t="s">
        <v>2639</v>
      </c>
      <c r="C52" s="327">
        <v>-5000</v>
      </c>
      <c r="D52" s="327">
        <v>1600</v>
      </c>
      <c r="E52" s="327">
        <v>3400</v>
      </c>
      <c r="F52" s="327">
        <v>3700</v>
      </c>
      <c r="G52" s="467">
        <v>-2000</v>
      </c>
      <c r="J52" s="193"/>
      <c r="K52" s="193"/>
      <c r="L52" s="193"/>
      <c r="M52" s="193"/>
      <c r="N52" s="193"/>
      <c r="Q52" s="193"/>
      <c r="R52" s="193"/>
      <c r="S52" s="193"/>
      <c r="T52" s="193"/>
      <c r="U52" s="193"/>
      <c r="X52" s="193"/>
      <c r="Y52" s="193"/>
      <c r="Z52" s="193"/>
      <c r="AA52" s="193"/>
      <c r="AB52" s="193"/>
    </row>
    <row r="53" spans="2:28" x14ac:dyDescent="0.3">
      <c r="B53" s="203" t="s">
        <v>2640</v>
      </c>
      <c r="C53" s="327">
        <v>-4000</v>
      </c>
      <c r="D53" s="327">
        <v>200</v>
      </c>
      <c r="E53" s="327">
        <v>2000</v>
      </c>
      <c r="F53" s="327">
        <v>3000</v>
      </c>
      <c r="G53" s="467">
        <v>1000</v>
      </c>
      <c r="J53" s="193"/>
      <c r="K53" s="193"/>
      <c r="L53" s="193"/>
      <c r="M53" s="193"/>
      <c r="N53" s="193"/>
      <c r="Q53" s="193"/>
      <c r="R53" s="193"/>
      <c r="S53" s="193"/>
      <c r="T53" s="193"/>
      <c r="U53" s="193"/>
      <c r="X53" s="193"/>
      <c r="Y53" s="193"/>
      <c r="Z53" s="193"/>
      <c r="AA53" s="193"/>
      <c r="AB53" s="193"/>
    </row>
    <row r="54" spans="2:28" x14ac:dyDescent="0.3">
      <c r="B54" s="308"/>
      <c r="C54" s="288"/>
      <c r="D54" s="288"/>
      <c r="E54" s="288"/>
      <c r="F54" s="288"/>
      <c r="G54" s="311"/>
      <c r="J54" s="193"/>
      <c r="K54" s="193"/>
      <c r="L54" s="193"/>
      <c r="M54" s="193"/>
      <c r="N54" s="193"/>
      <c r="Q54" s="193"/>
      <c r="R54" s="193"/>
      <c r="S54" s="193"/>
      <c r="T54" s="193"/>
      <c r="U54" s="193"/>
      <c r="X54" s="193"/>
      <c r="Y54" s="193"/>
      <c r="Z54" s="193"/>
      <c r="AA54" s="193"/>
      <c r="AB54" s="193"/>
    </row>
    <row r="55" spans="2:28" x14ac:dyDescent="0.3">
      <c r="B55" s="203" t="s">
        <v>2857</v>
      </c>
      <c r="C55" s="327">
        <v>-6700</v>
      </c>
      <c r="D55" s="327">
        <v>2500</v>
      </c>
      <c r="E55" s="327">
        <v>1350</v>
      </c>
      <c r="F55" s="327">
        <v>1500</v>
      </c>
      <c r="G55" s="467">
        <v>1000</v>
      </c>
      <c r="J55" s="193"/>
      <c r="K55" s="193"/>
      <c r="L55" s="193"/>
      <c r="M55" s="193"/>
      <c r="N55" s="193"/>
      <c r="Q55" s="193"/>
      <c r="R55" s="193"/>
      <c r="S55" s="193"/>
      <c r="T55" s="193"/>
      <c r="U55" s="193"/>
      <c r="X55" s="193"/>
      <c r="Y55" s="193"/>
      <c r="Z55" s="193"/>
      <c r="AA55" s="193"/>
      <c r="AB55" s="193"/>
    </row>
    <row r="56" spans="2:28" x14ac:dyDescent="0.3">
      <c r="B56" s="203" t="s">
        <v>2858</v>
      </c>
      <c r="C56" s="327">
        <v>-8000</v>
      </c>
      <c r="D56" s="327">
        <v>1500</v>
      </c>
      <c r="E56" s="327">
        <v>3500</v>
      </c>
      <c r="F56" s="327">
        <v>2500</v>
      </c>
      <c r="G56" s="467">
        <v>1100</v>
      </c>
      <c r="J56" s="193"/>
      <c r="K56" s="193"/>
      <c r="L56" s="193"/>
      <c r="M56" s="193"/>
      <c r="N56" s="193"/>
      <c r="Q56" s="193"/>
      <c r="R56" s="193"/>
      <c r="S56" s="193"/>
      <c r="T56" s="193"/>
      <c r="U56" s="193"/>
      <c r="X56" s="193"/>
      <c r="Y56" s="193"/>
      <c r="Z56" s="193"/>
      <c r="AA56" s="193"/>
      <c r="AB56" s="193"/>
    </row>
    <row r="57" spans="2:28" x14ac:dyDescent="0.3">
      <c r="B57" s="203" t="s">
        <v>2859</v>
      </c>
      <c r="C57" s="327">
        <v>-11000</v>
      </c>
      <c r="D57" s="327">
        <v>4000</v>
      </c>
      <c r="E57" s="327">
        <v>8000</v>
      </c>
      <c r="F57" s="327">
        <v>4000</v>
      </c>
      <c r="G57" s="467">
        <v>-1000</v>
      </c>
      <c r="J57" s="193"/>
      <c r="K57" s="193"/>
      <c r="L57" s="193"/>
      <c r="M57" s="193"/>
      <c r="N57" s="193"/>
      <c r="Q57" s="193"/>
      <c r="R57" s="193"/>
      <c r="S57" s="193"/>
      <c r="T57" s="193"/>
      <c r="U57" s="193"/>
      <c r="X57" s="193"/>
      <c r="Y57" s="193"/>
      <c r="Z57" s="193"/>
      <c r="AA57" s="193"/>
      <c r="AB57" s="193"/>
    </row>
    <row r="59" spans="2:28" x14ac:dyDescent="0.3">
      <c r="B59" s="189"/>
      <c r="C59" s="189"/>
      <c r="D59" s="189"/>
      <c r="E59" s="189"/>
      <c r="F59" s="189"/>
      <c r="G59" s="189"/>
      <c r="H59" s="189"/>
      <c r="I59" s="189"/>
      <c r="J59" s="192" t="s">
        <v>459</v>
      </c>
      <c r="K59" s="304" t="s">
        <v>2529</v>
      </c>
      <c r="L59" s="284" t="s">
        <v>2595</v>
      </c>
      <c r="M59" s="293">
        <v>6.6100000000000006E-2</v>
      </c>
      <c r="N59" s="189"/>
      <c r="O59" s="189"/>
      <c r="P59" s="189"/>
      <c r="Q59" s="192" t="s">
        <v>459</v>
      </c>
      <c r="R59" s="304" t="s">
        <v>2530</v>
      </c>
      <c r="S59" s="284" t="s">
        <v>2595</v>
      </c>
      <c r="T59" s="293">
        <f>AVERAGE(D46,E46,F46,G46)</f>
        <v>8.6058076496992875E-2</v>
      </c>
      <c r="U59" s="189"/>
      <c r="V59" s="189"/>
      <c r="W59" s="189"/>
      <c r="X59" s="192" t="s">
        <v>459</v>
      </c>
      <c r="Y59" s="304" t="s">
        <v>2531</v>
      </c>
      <c r="Z59" s="284" t="s">
        <v>2595</v>
      </c>
      <c r="AA59" s="293">
        <v>0.1061</v>
      </c>
      <c r="AB59" s="189"/>
    </row>
    <row r="61" spans="2:28" x14ac:dyDescent="0.3">
      <c r="B61" s="522" t="s">
        <v>2620</v>
      </c>
      <c r="C61" s="522"/>
      <c r="D61" s="522"/>
      <c r="E61" s="522"/>
      <c r="F61" s="522"/>
      <c r="G61" s="522"/>
      <c r="H61" s="522"/>
      <c r="I61" s="522"/>
      <c r="J61" s="522"/>
      <c r="K61" s="522"/>
      <c r="L61" s="522"/>
      <c r="M61" s="522"/>
      <c r="N61" s="522"/>
      <c r="O61" s="522"/>
      <c r="P61" s="522"/>
      <c r="Q61" s="522"/>
      <c r="R61" s="522"/>
      <c r="S61" s="522"/>
      <c r="T61" s="522"/>
      <c r="U61" s="522"/>
      <c r="V61" s="522"/>
      <c r="W61" s="522"/>
      <c r="X61" s="522"/>
      <c r="Y61" s="522"/>
      <c r="Z61" s="522"/>
      <c r="AA61" s="522"/>
      <c r="AB61" s="522"/>
    </row>
  </sheetData>
  <mergeCells count="1">
    <mergeCell ref="B61:AB61"/>
  </mergeCells>
  <printOptions horizontalCentered="1" verticalCentered="1"/>
  <pageMargins left="0" right="0" top="0" bottom="0" header="0" footer="0"/>
  <pageSetup paperSize="9" scale="36" orientation="landscape" horizontalDpi="1200" verticalDpi="12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41"/>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190" customWidth="1"/>
    <col min="2" max="2" width="44.77734375" style="190" customWidth="1"/>
    <col min="3" max="7" width="16.77734375" style="190"/>
    <col min="8" max="9" width="2" style="190" customWidth="1"/>
    <col min="10" max="14" width="16.77734375" style="190"/>
    <col min="15" max="16" width="2" style="190" customWidth="1"/>
    <col min="17" max="21" width="16.77734375" style="190"/>
    <col min="22" max="23" width="2" style="190" customWidth="1"/>
    <col min="24" max="16384" width="16.77734375" style="190"/>
  </cols>
  <sheetData>
    <row r="1" spans="2:28" ht="15.6" x14ac:dyDescent="0.4">
      <c r="B1" s="188" t="s">
        <v>342</v>
      </c>
      <c r="C1" s="189"/>
      <c r="D1" s="189"/>
      <c r="E1" s="189"/>
      <c r="F1" s="189"/>
      <c r="G1" s="189"/>
      <c r="H1" s="189"/>
      <c r="I1" s="189"/>
      <c r="J1" s="189"/>
      <c r="K1" s="189"/>
      <c r="L1" s="189"/>
      <c r="M1" s="189"/>
      <c r="N1" s="189"/>
      <c r="O1" s="189"/>
      <c r="P1" s="189"/>
      <c r="Q1" s="189"/>
      <c r="R1" s="189"/>
      <c r="S1" s="189"/>
      <c r="T1" s="189"/>
      <c r="U1" s="189"/>
      <c r="V1" s="189"/>
      <c r="W1" s="189"/>
      <c r="X1" s="189"/>
      <c r="Y1" s="189"/>
      <c r="Z1" s="189"/>
      <c r="AA1" s="189"/>
      <c r="AB1" s="189"/>
    </row>
    <row r="2" spans="2:28" ht="23.4" x14ac:dyDescent="0.45">
      <c r="B2" s="191" t="s">
        <v>341</v>
      </c>
      <c r="C2" s="189"/>
      <c r="D2" s="189"/>
      <c r="E2" s="189"/>
      <c r="F2" s="189"/>
      <c r="G2" s="189"/>
      <c r="H2" s="189"/>
      <c r="I2" s="189"/>
      <c r="J2" s="189"/>
      <c r="K2" s="189"/>
      <c r="L2" s="189"/>
      <c r="M2" s="189"/>
      <c r="N2" s="189"/>
      <c r="O2" s="189"/>
      <c r="P2" s="189"/>
      <c r="Q2" s="189"/>
      <c r="R2" s="189"/>
      <c r="S2" s="189"/>
      <c r="T2" s="189"/>
      <c r="U2" s="189"/>
      <c r="V2" s="189"/>
      <c r="W2" s="189"/>
      <c r="X2" s="189"/>
      <c r="Y2" s="189"/>
      <c r="Z2" s="189"/>
      <c r="AA2" s="189"/>
      <c r="AB2" s="189"/>
    </row>
    <row r="3" spans="2:28" x14ac:dyDescent="0.3">
      <c r="B3" s="189" t="s">
        <v>343</v>
      </c>
      <c r="C3" s="189"/>
      <c r="D3" s="189"/>
      <c r="E3" s="189"/>
      <c r="F3" s="189"/>
      <c r="G3" s="189"/>
      <c r="H3" s="189"/>
      <c r="I3" s="189"/>
      <c r="J3" s="189"/>
      <c r="K3" s="189"/>
      <c r="L3" s="189"/>
      <c r="M3" s="189"/>
      <c r="N3" s="189"/>
      <c r="O3" s="189"/>
      <c r="P3" s="189"/>
      <c r="Q3" s="189"/>
      <c r="R3" s="189"/>
      <c r="S3" s="189"/>
      <c r="T3" s="189"/>
      <c r="U3" s="189"/>
      <c r="V3" s="189"/>
      <c r="W3" s="189"/>
      <c r="X3" s="189"/>
      <c r="Y3" s="189"/>
      <c r="Z3" s="189"/>
      <c r="AA3" s="189"/>
      <c r="AB3" s="189"/>
    </row>
    <row r="5" spans="2:28" x14ac:dyDescent="0.3">
      <c r="B5" s="192" t="s">
        <v>2596</v>
      </c>
      <c r="C5" s="192"/>
      <c r="D5" s="192"/>
      <c r="E5" s="189"/>
      <c r="F5" s="192"/>
      <c r="G5" s="192"/>
      <c r="H5" s="197"/>
      <c r="J5" s="192" t="s">
        <v>459</v>
      </c>
      <c r="K5" s="304" t="s">
        <v>2529</v>
      </c>
      <c r="L5" s="332"/>
      <c r="M5" s="189"/>
      <c r="N5" s="192"/>
      <c r="O5" s="197"/>
      <c r="Q5" s="192" t="s">
        <v>459</v>
      </c>
      <c r="R5" s="304" t="s">
        <v>2530</v>
      </c>
      <c r="S5" s="332" t="s">
        <v>2634</v>
      </c>
      <c r="T5" s="189">
        <f>AVERAGE(C19:G19)</f>
        <v>6726.2</v>
      </c>
      <c r="U5" s="192"/>
      <c r="V5" s="197"/>
      <c r="X5" s="192" t="s">
        <v>459</v>
      </c>
      <c r="Y5" s="304" t="s">
        <v>2531</v>
      </c>
      <c r="Z5" s="332"/>
      <c r="AA5" s="189"/>
      <c r="AB5" s="192"/>
    </row>
    <row r="6" spans="2:28" x14ac:dyDescent="0.3">
      <c r="H6" s="197"/>
      <c r="O6" s="197"/>
      <c r="V6" s="197"/>
    </row>
    <row r="7" spans="2:28" x14ac:dyDescent="0.3">
      <c r="B7" s="192" t="s">
        <v>1</v>
      </c>
      <c r="C7" s="110">
        <v>44440</v>
      </c>
      <c r="D7" s="110">
        <f>EDATE(C7,12)</f>
        <v>44805</v>
      </c>
      <c r="E7" s="110">
        <f t="shared" ref="E7:G7" si="0">EDATE(D7,12)</f>
        <v>45170</v>
      </c>
      <c r="F7" s="110">
        <f t="shared" si="0"/>
        <v>45536</v>
      </c>
      <c r="G7" s="110">
        <f t="shared" si="0"/>
        <v>45901</v>
      </c>
      <c r="H7" s="197"/>
      <c r="J7" s="279">
        <v>46266</v>
      </c>
      <c r="K7" s="279">
        <f>EDATE(J7,12)</f>
        <v>46631</v>
      </c>
      <c r="L7" s="279">
        <f t="shared" ref="L7:N7" si="1">EDATE(K7,12)</f>
        <v>46997</v>
      </c>
      <c r="M7" s="279">
        <f t="shared" si="1"/>
        <v>47362</v>
      </c>
      <c r="N7" s="279">
        <f t="shared" si="1"/>
        <v>47727</v>
      </c>
      <c r="O7" s="197"/>
      <c r="Q7" s="279">
        <v>46266</v>
      </c>
      <c r="R7" s="279">
        <f>EDATE(Q7,12)</f>
        <v>46631</v>
      </c>
      <c r="S7" s="279">
        <f t="shared" ref="S7" si="2">EDATE(R7,12)</f>
        <v>46997</v>
      </c>
      <c r="T7" s="279">
        <f t="shared" ref="T7" si="3">EDATE(S7,12)</f>
        <v>47362</v>
      </c>
      <c r="U7" s="279">
        <f t="shared" ref="U7" si="4">EDATE(T7,12)</f>
        <v>47727</v>
      </c>
      <c r="V7" s="197"/>
      <c r="X7" s="279">
        <v>46266</v>
      </c>
      <c r="Y7" s="279">
        <f>EDATE(X7,12)</f>
        <v>46631</v>
      </c>
      <c r="Z7" s="279">
        <f t="shared" ref="Z7" si="5">EDATE(Y7,12)</f>
        <v>46997</v>
      </c>
      <c r="AA7" s="279">
        <f t="shared" ref="AA7" si="6">EDATE(Z7,12)</f>
        <v>47362</v>
      </c>
      <c r="AB7" s="279">
        <f t="shared" ref="AB7" si="7">EDATE(AA7,12)</f>
        <v>47727</v>
      </c>
    </row>
    <row r="8" spans="2:28" ht="7.05" customHeight="1" x14ac:dyDescent="0.3">
      <c r="H8" s="197"/>
      <c r="O8" s="197"/>
      <c r="V8" s="197"/>
    </row>
    <row r="9" spans="2:28" x14ac:dyDescent="0.3">
      <c r="B9" s="199" t="s">
        <v>2600</v>
      </c>
      <c r="H9" s="197"/>
      <c r="O9" s="197"/>
      <c r="V9" s="197"/>
    </row>
    <row r="10" spans="2:28" ht="7.05" customHeight="1" x14ac:dyDescent="0.3">
      <c r="H10" s="197"/>
      <c r="O10" s="197"/>
      <c r="V10" s="197"/>
    </row>
    <row r="11" spans="2:28" x14ac:dyDescent="0.3">
      <c r="B11" s="295" t="s">
        <v>2598</v>
      </c>
      <c r="C11" s="301"/>
      <c r="D11" s="301"/>
      <c r="E11" s="301"/>
      <c r="F11" s="301"/>
      <c r="G11" s="301"/>
      <c r="H11" s="197"/>
      <c r="J11" s="301"/>
      <c r="K11" s="301"/>
      <c r="L11" s="301"/>
      <c r="M11" s="301"/>
      <c r="N11" s="301"/>
      <c r="O11" s="197"/>
      <c r="Q11" s="301"/>
      <c r="R11" s="301"/>
      <c r="S11" s="301"/>
      <c r="T11" s="301"/>
      <c r="U11" s="301"/>
      <c r="V11" s="197"/>
      <c r="X11" s="301"/>
      <c r="Y11" s="301"/>
      <c r="Z11" s="301"/>
      <c r="AA11" s="301"/>
      <c r="AB11" s="301"/>
    </row>
    <row r="12" spans="2:28" ht="7.05" customHeight="1" x14ac:dyDescent="0.3">
      <c r="B12" s="193"/>
      <c r="H12" s="197"/>
      <c r="O12" s="197"/>
      <c r="V12" s="197"/>
    </row>
    <row r="13" spans="2:28" x14ac:dyDescent="0.3">
      <c r="B13" s="194" t="s">
        <v>2599</v>
      </c>
      <c r="C13" s="190">
        <v>-235</v>
      </c>
      <c r="D13" s="190">
        <v>-234</v>
      </c>
      <c r="E13" s="190">
        <v>-237</v>
      </c>
      <c r="F13" s="190">
        <v>-269</v>
      </c>
      <c r="G13" s="190">
        <v>-139</v>
      </c>
      <c r="H13" s="197"/>
      <c r="J13" s="190">
        <f>$G$13-30</f>
        <v>-169</v>
      </c>
      <c r="K13" s="190">
        <f>J$13-30</f>
        <v>-199</v>
      </c>
      <c r="L13" s="190">
        <f t="shared" ref="L13:N13" si="8">K$13-30</f>
        <v>-229</v>
      </c>
      <c r="M13" s="190">
        <f t="shared" si="8"/>
        <v>-259</v>
      </c>
      <c r="N13" s="190">
        <f t="shared" si="8"/>
        <v>-289</v>
      </c>
      <c r="O13" s="197"/>
      <c r="Q13" s="190">
        <f>$G$13-15</f>
        <v>-154</v>
      </c>
      <c r="R13" s="190">
        <f>Q$13-15</f>
        <v>-169</v>
      </c>
      <c r="S13" s="190">
        <f t="shared" ref="S13:U13" si="9">R$13-15</f>
        <v>-184</v>
      </c>
      <c r="T13" s="190">
        <f t="shared" si="9"/>
        <v>-199</v>
      </c>
      <c r="U13" s="190">
        <f t="shared" si="9"/>
        <v>-214</v>
      </c>
      <c r="V13" s="197"/>
      <c r="X13" s="190">
        <f>$G$13+20</f>
        <v>-119</v>
      </c>
      <c r="Y13" s="190">
        <f>X$13+20</f>
        <v>-99</v>
      </c>
      <c r="Z13" s="190">
        <f t="shared" ref="Z13:AB13" si="10">Y$13+20</f>
        <v>-79</v>
      </c>
      <c r="AA13" s="190">
        <f t="shared" si="10"/>
        <v>-59</v>
      </c>
      <c r="AB13" s="190">
        <f t="shared" si="10"/>
        <v>-39</v>
      </c>
    </row>
    <row r="14" spans="2:28" x14ac:dyDescent="0.3">
      <c r="B14" s="194" t="s">
        <v>2557</v>
      </c>
      <c r="C14" s="190">
        <v>-105</v>
      </c>
      <c r="D14" s="190">
        <v>-122</v>
      </c>
      <c r="E14" s="190">
        <v>-181</v>
      </c>
      <c r="F14" s="190">
        <v>-205</v>
      </c>
      <c r="G14" s="190">
        <v>-351</v>
      </c>
      <c r="H14" s="197"/>
      <c r="J14" s="314">
        <f>$G$14-20</f>
        <v>-371</v>
      </c>
      <c r="K14" s="314">
        <f>J$14-20</f>
        <v>-391</v>
      </c>
      <c r="L14" s="314">
        <f t="shared" ref="L14:N14" si="11">K$14-20</f>
        <v>-411</v>
      </c>
      <c r="M14" s="314">
        <f t="shared" si="11"/>
        <v>-431</v>
      </c>
      <c r="N14" s="314">
        <f t="shared" si="11"/>
        <v>-451</v>
      </c>
      <c r="O14" s="197"/>
      <c r="Q14" s="314">
        <f>$G$14-10</f>
        <v>-361</v>
      </c>
      <c r="R14" s="314">
        <f>Q$14-10</f>
        <v>-371</v>
      </c>
      <c r="S14" s="314">
        <f t="shared" ref="S14:U14" si="12">R$14-10</f>
        <v>-381</v>
      </c>
      <c r="T14" s="314">
        <f t="shared" si="12"/>
        <v>-391</v>
      </c>
      <c r="U14" s="314">
        <f t="shared" si="12"/>
        <v>-401</v>
      </c>
      <c r="V14" s="197"/>
      <c r="X14" s="314">
        <f>$G$14+20</f>
        <v>-331</v>
      </c>
      <c r="Y14" s="314">
        <f>X$14+20</f>
        <v>-311</v>
      </c>
      <c r="Z14" s="314">
        <f t="shared" ref="Z14:AB14" si="13">Y$14+20</f>
        <v>-291</v>
      </c>
      <c r="AA14" s="314">
        <f t="shared" si="13"/>
        <v>-271</v>
      </c>
      <c r="AB14" s="314">
        <f t="shared" si="13"/>
        <v>-251</v>
      </c>
    </row>
    <row r="15" spans="2:28" x14ac:dyDescent="0.3">
      <c r="B15" s="435" t="s">
        <v>509</v>
      </c>
      <c r="C15" s="435">
        <f>SUM(C13:C14)</f>
        <v>-340</v>
      </c>
      <c r="D15" s="435">
        <f>SUM(D13:D14)</f>
        <v>-356</v>
      </c>
      <c r="E15" s="435">
        <f>SUM(E13:E14)</f>
        <v>-418</v>
      </c>
      <c r="F15" s="435">
        <f>SUM(F13:F14)</f>
        <v>-474</v>
      </c>
      <c r="G15" s="435">
        <f>SUM(G13:G14)</f>
        <v>-490</v>
      </c>
      <c r="H15" s="197"/>
      <c r="J15" s="324">
        <f>J$13+J$14</f>
        <v>-540</v>
      </c>
      <c r="K15" s="324">
        <f t="shared" ref="K15:N15" si="14">K$13+K$14</f>
        <v>-590</v>
      </c>
      <c r="L15" s="324">
        <f t="shared" si="14"/>
        <v>-640</v>
      </c>
      <c r="M15" s="324">
        <f t="shared" si="14"/>
        <v>-690</v>
      </c>
      <c r="N15" s="324">
        <f t="shared" si="14"/>
        <v>-740</v>
      </c>
      <c r="O15" s="197"/>
      <c r="Q15" s="324">
        <f t="shared" ref="Q15:U15" si="15">Q$13+Q$14</f>
        <v>-515</v>
      </c>
      <c r="R15" s="324">
        <f t="shared" si="15"/>
        <v>-540</v>
      </c>
      <c r="S15" s="324">
        <f t="shared" si="15"/>
        <v>-565</v>
      </c>
      <c r="T15" s="324">
        <f t="shared" si="15"/>
        <v>-590</v>
      </c>
      <c r="U15" s="324">
        <f t="shared" si="15"/>
        <v>-615</v>
      </c>
      <c r="V15" s="197"/>
      <c r="X15" s="324">
        <f>X$13+X$14</f>
        <v>-450</v>
      </c>
      <c r="Y15" s="324">
        <f t="shared" ref="Y15:AB15" si="16">Y$13+Y$14</f>
        <v>-410</v>
      </c>
      <c r="Z15" s="324">
        <f t="shared" si="16"/>
        <v>-370</v>
      </c>
      <c r="AA15" s="324">
        <f t="shared" si="16"/>
        <v>-330</v>
      </c>
      <c r="AB15" s="324">
        <f t="shared" si="16"/>
        <v>-290</v>
      </c>
    </row>
    <row r="16" spans="2:28" x14ac:dyDescent="0.3">
      <c r="H16" s="197"/>
      <c r="O16" s="197"/>
      <c r="V16" s="197"/>
    </row>
    <row r="17" spans="2:28" x14ac:dyDescent="0.3">
      <c r="B17" s="295" t="s">
        <v>2600</v>
      </c>
      <c r="C17" s="295"/>
      <c r="D17" s="295"/>
      <c r="E17" s="295"/>
      <c r="F17" s="295"/>
      <c r="G17" s="295"/>
      <c r="H17" s="197"/>
      <c r="J17" s="295"/>
      <c r="K17" s="295"/>
      <c r="L17" s="295"/>
      <c r="M17" s="295"/>
      <c r="N17" s="295"/>
      <c r="O17" s="197"/>
      <c r="Q17" s="295"/>
      <c r="R17" s="295"/>
      <c r="S17" s="295"/>
      <c r="T17" s="295"/>
      <c r="U17" s="295"/>
      <c r="V17" s="197"/>
      <c r="X17" s="295"/>
      <c r="Y17" s="295"/>
      <c r="Z17" s="295"/>
      <c r="AA17" s="295"/>
      <c r="AB17" s="295"/>
    </row>
    <row r="18" spans="2:28" ht="7.05" customHeight="1" x14ac:dyDescent="0.3">
      <c r="B18"/>
      <c r="H18" s="197"/>
      <c r="O18" s="197"/>
      <c r="V18" s="197"/>
    </row>
    <row r="19" spans="2:28" x14ac:dyDescent="0.3">
      <c r="B19" s="323" t="s">
        <v>2601</v>
      </c>
      <c r="C19" s="190">
        <v>5455</v>
      </c>
      <c r="D19" s="190">
        <v>5527</v>
      </c>
      <c r="E19" s="190">
        <v>5842</v>
      </c>
      <c r="F19" s="190">
        <v>6826</v>
      </c>
      <c r="G19" s="190">
        <v>9981</v>
      </c>
      <c r="H19" s="197"/>
      <c r="J19" s="320">
        <f>Q19-1000</f>
        <v>5726.2</v>
      </c>
      <c r="K19" s="320">
        <f t="shared" ref="K19:N19" si="17">R19-1000</f>
        <v>5726.2</v>
      </c>
      <c r="L19" s="320">
        <f t="shared" si="17"/>
        <v>5726.2</v>
      </c>
      <c r="M19" s="320">
        <f t="shared" si="17"/>
        <v>5726.2</v>
      </c>
      <c r="N19" s="320">
        <f t="shared" si="17"/>
        <v>5726.2</v>
      </c>
      <c r="O19" s="197"/>
      <c r="Q19" s="320">
        <f>$T$5</f>
        <v>6726.2</v>
      </c>
      <c r="R19" s="320">
        <f>$Q$19</f>
        <v>6726.2</v>
      </c>
      <c r="S19" s="320">
        <f t="shared" ref="S19:U19" si="18">$Q$19</f>
        <v>6726.2</v>
      </c>
      <c r="T19" s="320">
        <f t="shared" si="18"/>
        <v>6726.2</v>
      </c>
      <c r="U19" s="320">
        <f t="shared" si="18"/>
        <v>6726.2</v>
      </c>
      <c r="V19" s="197"/>
      <c r="X19" s="320">
        <f>Q19+1000</f>
        <v>7726.2</v>
      </c>
      <c r="Y19" s="320">
        <f t="shared" ref="Y19:AB19" si="19">R19+1000</f>
        <v>7726.2</v>
      </c>
      <c r="Z19" s="320">
        <f t="shared" si="19"/>
        <v>7726.2</v>
      </c>
      <c r="AA19" s="320">
        <f t="shared" si="19"/>
        <v>7726.2</v>
      </c>
      <c r="AB19" s="320">
        <f t="shared" si="19"/>
        <v>7726.2</v>
      </c>
    </row>
    <row r="20" spans="2:28" x14ac:dyDescent="0.3">
      <c r="B20" s="359" t="s">
        <v>2756</v>
      </c>
      <c r="C20" s="203">
        <v>0</v>
      </c>
      <c r="D20" s="203">
        <f>D19-C19</f>
        <v>72</v>
      </c>
      <c r="E20" s="203">
        <f t="shared" ref="E20:G20" si="20">E19-D19</f>
        <v>315</v>
      </c>
      <c r="F20" s="203">
        <f t="shared" si="20"/>
        <v>984</v>
      </c>
      <c r="G20" s="203">
        <f t="shared" si="20"/>
        <v>3155</v>
      </c>
      <c r="H20" s="307"/>
      <c r="I20" s="308"/>
      <c r="J20" s="203">
        <f>G19-J19</f>
        <v>4254.8</v>
      </c>
      <c r="K20" s="203">
        <f>K19-J19</f>
        <v>0</v>
      </c>
      <c r="L20" s="203">
        <f t="shared" ref="L20:N20" si="21">L19-K19</f>
        <v>0</v>
      </c>
      <c r="M20" s="203">
        <f t="shared" si="21"/>
        <v>0</v>
      </c>
      <c r="N20" s="203">
        <f t="shared" si="21"/>
        <v>0</v>
      </c>
      <c r="O20" s="307"/>
      <c r="P20" s="308"/>
      <c r="Q20" s="203">
        <f>G19-Q19</f>
        <v>3254.8</v>
      </c>
      <c r="R20" s="203">
        <f>R19-Q19</f>
        <v>0</v>
      </c>
      <c r="S20" s="203">
        <f t="shared" ref="S20:U20" si="22">S19-R19</f>
        <v>0</v>
      </c>
      <c r="T20" s="203">
        <f t="shared" si="22"/>
        <v>0</v>
      </c>
      <c r="U20" s="203">
        <f t="shared" si="22"/>
        <v>0</v>
      </c>
      <c r="V20" s="307"/>
      <c r="W20" s="308"/>
      <c r="X20" s="203">
        <f>G19-X19</f>
        <v>2254.8000000000002</v>
      </c>
      <c r="Y20" s="203">
        <f>Y19-X19</f>
        <v>0</v>
      </c>
      <c r="Z20" s="203">
        <f t="shared" ref="Z20:AB20" si="23">Z19-Y19</f>
        <v>0</v>
      </c>
      <c r="AA20" s="203">
        <f t="shared" si="23"/>
        <v>0</v>
      </c>
      <c r="AB20" s="203">
        <f t="shared" si="23"/>
        <v>0</v>
      </c>
    </row>
    <row r="21" spans="2:28" ht="14.4" customHeight="1" x14ac:dyDescent="0.3">
      <c r="B21" s="194" t="s">
        <v>2602</v>
      </c>
      <c r="C21" s="190">
        <v>88</v>
      </c>
      <c r="D21" s="190">
        <v>28</v>
      </c>
      <c r="E21" s="190">
        <v>12</v>
      </c>
      <c r="F21" s="190">
        <v>54</v>
      </c>
      <c r="G21" s="190">
        <v>40</v>
      </c>
      <c r="H21" s="197"/>
      <c r="J21" s="311">
        <v>12</v>
      </c>
      <c r="K21" s="190">
        <f>$J$21</f>
        <v>12</v>
      </c>
      <c r="L21" s="190">
        <f t="shared" ref="L21:N21" si="24">$J$21</f>
        <v>12</v>
      </c>
      <c r="M21" s="190">
        <f t="shared" si="24"/>
        <v>12</v>
      </c>
      <c r="N21" s="190">
        <f t="shared" si="24"/>
        <v>12</v>
      </c>
      <c r="O21" s="197"/>
      <c r="Q21" s="311">
        <v>44</v>
      </c>
      <c r="R21" s="190">
        <f>$Q$21</f>
        <v>44</v>
      </c>
      <c r="S21" s="190">
        <f t="shared" ref="S21:U21" si="25">$Q$21</f>
        <v>44</v>
      </c>
      <c r="T21" s="190">
        <f t="shared" si="25"/>
        <v>44</v>
      </c>
      <c r="U21" s="190">
        <f t="shared" si="25"/>
        <v>44</v>
      </c>
      <c r="V21" s="197"/>
      <c r="X21" s="311">
        <v>88</v>
      </c>
      <c r="Y21" s="190">
        <f>$X$21</f>
        <v>88</v>
      </c>
      <c r="Z21" s="190">
        <f t="shared" ref="Z21:AB21" si="26">$X$21</f>
        <v>88</v>
      </c>
      <c r="AA21" s="190">
        <f t="shared" si="26"/>
        <v>88</v>
      </c>
      <c r="AB21" s="190">
        <f t="shared" si="26"/>
        <v>88</v>
      </c>
    </row>
    <row r="22" spans="2:28" x14ac:dyDescent="0.3">
      <c r="B22" s="194" t="s">
        <v>2557</v>
      </c>
      <c r="C22" s="190">
        <v>17</v>
      </c>
      <c r="D22" s="190">
        <v>31</v>
      </c>
      <c r="E22" s="190">
        <v>40</v>
      </c>
      <c r="F22" s="190">
        <v>42</v>
      </c>
      <c r="G22" s="190">
        <v>48</v>
      </c>
      <c r="H22" s="197"/>
      <c r="J22" s="328">
        <v>17</v>
      </c>
      <c r="K22" s="314">
        <f>$J$22</f>
        <v>17</v>
      </c>
      <c r="L22" s="314">
        <f t="shared" ref="L22:N22" si="27">$J$22</f>
        <v>17</v>
      </c>
      <c r="M22" s="314">
        <f t="shared" si="27"/>
        <v>17</v>
      </c>
      <c r="N22" s="314">
        <f t="shared" si="27"/>
        <v>17</v>
      </c>
      <c r="O22" s="197"/>
      <c r="Q22" s="328">
        <v>35</v>
      </c>
      <c r="R22" s="314">
        <f>$Q$22</f>
        <v>35</v>
      </c>
      <c r="S22" s="314">
        <f t="shared" ref="S22:U22" si="28">$Q$22</f>
        <v>35</v>
      </c>
      <c r="T22" s="314">
        <f t="shared" si="28"/>
        <v>35</v>
      </c>
      <c r="U22" s="314">
        <f t="shared" si="28"/>
        <v>35</v>
      </c>
      <c r="V22" s="197"/>
      <c r="X22" s="328">
        <v>48</v>
      </c>
      <c r="Y22" s="314">
        <f>$X$22</f>
        <v>48</v>
      </c>
      <c r="Z22" s="314">
        <f t="shared" ref="Z22:AB22" si="29">$X$22</f>
        <v>48</v>
      </c>
      <c r="AA22" s="314">
        <f t="shared" si="29"/>
        <v>48</v>
      </c>
      <c r="AB22" s="314">
        <f t="shared" si="29"/>
        <v>48</v>
      </c>
    </row>
    <row r="23" spans="2:28" x14ac:dyDescent="0.3">
      <c r="B23" s="435" t="s">
        <v>509</v>
      </c>
      <c r="C23" s="435">
        <f t="shared" ref="C23:F23" si="30">SUM(C19,C21,C22)</f>
        <v>5560</v>
      </c>
      <c r="D23" s="435">
        <f t="shared" si="30"/>
        <v>5586</v>
      </c>
      <c r="E23" s="435">
        <f t="shared" si="30"/>
        <v>5894</v>
      </c>
      <c r="F23" s="435">
        <f t="shared" si="30"/>
        <v>6922</v>
      </c>
      <c r="G23" s="435">
        <f>SUM(G19,G21,G22)</f>
        <v>10069</v>
      </c>
      <c r="H23" s="197"/>
      <c r="J23" s="324">
        <f>SUM(J19,J21,J22)</f>
        <v>5755.2</v>
      </c>
      <c r="K23" s="324">
        <f t="shared" ref="K23:N23" si="31">SUM(K19,K21,K22)</f>
        <v>5755.2</v>
      </c>
      <c r="L23" s="324">
        <f t="shared" si="31"/>
        <v>5755.2</v>
      </c>
      <c r="M23" s="324">
        <f t="shared" si="31"/>
        <v>5755.2</v>
      </c>
      <c r="N23" s="324">
        <f t="shared" si="31"/>
        <v>5755.2</v>
      </c>
      <c r="O23" s="197"/>
      <c r="Q23" s="324">
        <f t="shared" ref="Q23" si="32">SUM(Q19,Q21,Q22)</f>
        <v>6805.2</v>
      </c>
      <c r="R23" s="324">
        <f t="shared" ref="R23" si="33">SUM(R19,R21,R22)</f>
        <v>6805.2</v>
      </c>
      <c r="S23" s="324">
        <f t="shared" ref="S23" si="34">SUM(S19,S21,S22)</f>
        <v>6805.2</v>
      </c>
      <c r="T23" s="324">
        <f t="shared" ref="T23" si="35">SUM(T19,T21,T22)</f>
        <v>6805.2</v>
      </c>
      <c r="U23" s="324">
        <f t="shared" ref="U23" si="36">SUM(U19,U21,U22)</f>
        <v>6805.2</v>
      </c>
      <c r="V23" s="197"/>
      <c r="X23" s="324">
        <f t="shared" ref="X23" si="37">SUM(X19,X21,X22)</f>
        <v>7862.2</v>
      </c>
      <c r="Y23" s="324">
        <f t="shared" ref="Y23" si="38">SUM(Y19,Y21,Y22)</f>
        <v>7862.2</v>
      </c>
      <c r="Z23" s="324">
        <f t="shared" ref="Z23" si="39">SUM(Z19,Z21,Z22)</f>
        <v>7862.2</v>
      </c>
      <c r="AA23" s="324">
        <f t="shared" ref="AA23" si="40">SUM(AA19,AA21,AA22)</f>
        <v>7862.2</v>
      </c>
      <c r="AB23" s="324">
        <f t="shared" ref="AB23" si="41">SUM(AB19,AB21,AB22)</f>
        <v>7862.2</v>
      </c>
    </row>
    <row r="24" spans="2:28" ht="14.4" customHeight="1" x14ac:dyDescent="0.3">
      <c r="H24" s="197"/>
      <c r="O24" s="197"/>
      <c r="V24" s="197"/>
    </row>
    <row r="25" spans="2:28" x14ac:dyDescent="0.3">
      <c r="B25" s="200" t="s">
        <v>2597</v>
      </c>
      <c r="C25" s="200">
        <f>C23+C15</f>
        <v>5220</v>
      </c>
      <c r="D25" s="200">
        <f t="shared" ref="D25:G25" si="42">D23+D15</f>
        <v>5230</v>
      </c>
      <c r="E25" s="200">
        <f t="shared" si="42"/>
        <v>5476</v>
      </c>
      <c r="F25" s="200">
        <f t="shared" si="42"/>
        <v>6448</v>
      </c>
      <c r="G25" s="200">
        <f t="shared" si="42"/>
        <v>9579</v>
      </c>
      <c r="H25" s="197"/>
      <c r="J25" s="200">
        <f>J23+J15</f>
        <v>5215.2</v>
      </c>
      <c r="K25" s="200">
        <f t="shared" ref="K25:N25" si="43">K23+K15</f>
        <v>5165.2</v>
      </c>
      <c r="L25" s="200">
        <f t="shared" si="43"/>
        <v>5115.2</v>
      </c>
      <c r="M25" s="200">
        <f t="shared" si="43"/>
        <v>5065.2</v>
      </c>
      <c r="N25" s="200">
        <f t="shared" si="43"/>
        <v>5015.2</v>
      </c>
      <c r="O25" s="197"/>
      <c r="Q25" s="200">
        <f t="shared" ref="Q25:U25" si="44">Q23+Q15</f>
        <v>6290.2</v>
      </c>
      <c r="R25" s="200">
        <f t="shared" si="44"/>
        <v>6265.2</v>
      </c>
      <c r="S25" s="200">
        <f t="shared" si="44"/>
        <v>6240.2</v>
      </c>
      <c r="T25" s="200">
        <f t="shared" si="44"/>
        <v>6215.2</v>
      </c>
      <c r="U25" s="200">
        <f t="shared" si="44"/>
        <v>6190.2</v>
      </c>
      <c r="V25" s="197"/>
      <c r="X25" s="200">
        <f t="shared" ref="X25:AB25" si="45">X23+X15</f>
        <v>7412.2</v>
      </c>
      <c r="Y25" s="200">
        <f t="shared" si="45"/>
        <v>7452.2</v>
      </c>
      <c r="Z25" s="200">
        <f t="shared" si="45"/>
        <v>7492.2</v>
      </c>
      <c r="AA25" s="200">
        <f t="shared" si="45"/>
        <v>7532.2</v>
      </c>
      <c r="AB25" s="200">
        <f t="shared" si="45"/>
        <v>7572.2</v>
      </c>
    </row>
    <row r="26" spans="2:28" ht="7.05" customHeight="1" x14ac:dyDescent="0.3">
      <c r="H26" s="197"/>
      <c r="O26" s="197"/>
      <c r="V26" s="197"/>
    </row>
    <row r="27" spans="2:28" ht="14.4" customHeight="1" x14ac:dyDescent="0.3">
      <c r="B27" s="199" t="s">
        <v>2603</v>
      </c>
      <c r="H27" s="197"/>
      <c r="O27" s="197"/>
      <c r="V27" s="197"/>
    </row>
    <row r="28" spans="2:28" ht="7.05" customHeight="1" x14ac:dyDescent="0.3">
      <c r="H28" s="197"/>
      <c r="O28" s="197"/>
      <c r="V28" s="197"/>
    </row>
    <row r="29" spans="2:28" ht="14.4" customHeight="1" x14ac:dyDescent="0.3">
      <c r="B29" s="325" t="s">
        <v>2604</v>
      </c>
      <c r="C29" s="301">
        <f>'BALANCE SHEET'!C$49</f>
        <v>711</v>
      </c>
      <c r="D29" s="301">
        <f>'BALANCE SHEET'!D$49</f>
        <v>527.29</v>
      </c>
      <c r="E29" s="301">
        <f>'BALANCE SHEET'!E$49</f>
        <v>1366.42</v>
      </c>
      <c r="F29" s="301">
        <f>'BALANCE SHEET'!F$49</f>
        <v>1983</v>
      </c>
      <c r="G29" s="301">
        <f>'BALANCE SHEET'!G$49</f>
        <v>1989</v>
      </c>
      <c r="H29" s="197"/>
      <c r="J29" s="329">
        <f>$G$29+$M$39</f>
        <v>2209</v>
      </c>
      <c r="K29" s="329">
        <f>J$29+$M$39</f>
        <v>2429</v>
      </c>
      <c r="L29" s="329">
        <f t="shared" ref="L29:N29" si="46">K$29+$M$39</f>
        <v>2649</v>
      </c>
      <c r="M29" s="329">
        <f t="shared" si="46"/>
        <v>2869</v>
      </c>
      <c r="N29" s="329">
        <f t="shared" si="46"/>
        <v>3089</v>
      </c>
      <c r="O29" s="197"/>
      <c r="Q29" s="329">
        <f>$G$29+$T$39</f>
        <v>2308.5</v>
      </c>
      <c r="R29" s="329">
        <f>Q$29+$T$39</f>
        <v>2628</v>
      </c>
      <c r="S29" s="329">
        <f t="shared" ref="S29:U29" si="47">R$29+$T$39</f>
        <v>2947.5</v>
      </c>
      <c r="T29" s="329">
        <f t="shared" si="47"/>
        <v>3267</v>
      </c>
      <c r="U29" s="329">
        <f t="shared" si="47"/>
        <v>3586.5</v>
      </c>
      <c r="V29" s="197"/>
      <c r="X29" s="329">
        <f>$G$29+$AA$39</f>
        <v>2409</v>
      </c>
      <c r="Y29" s="329">
        <f>X$29+$AA$39</f>
        <v>2829</v>
      </c>
      <c r="Z29" s="329">
        <f t="shared" ref="Z29:AB29" si="48">Y$29+$AA$39</f>
        <v>3249</v>
      </c>
      <c r="AA29" s="329">
        <f t="shared" si="48"/>
        <v>3669</v>
      </c>
      <c r="AB29" s="329">
        <f t="shared" si="48"/>
        <v>4089</v>
      </c>
    </row>
    <row r="30" spans="2:28" ht="14.4" customHeight="1" x14ac:dyDescent="0.3">
      <c r="B30" s="350" t="s">
        <v>2756</v>
      </c>
      <c r="C30" s="243">
        <v>0</v>
      </c>
      <c r="D30" s="243">
        <f>D29-C29</f>
        <v>-183.71000000000004</v>
      </c>
      <c r="E30" s="243">
        <f t="shared" ref="E30:G30" si="49">E29-D29</f>
        <v>839.13000000000011</v>
      </c>
      <c r="F30" s="243">
        <f t="shared" si="49"/>
        <v>616.57999999999993</v>
      </c>
      <c r="G30" s="243">
        <f t="shared" si="49"/>
        <v>6</v>
      </c>
      <c r="H30" s="307"/>
      <c r="I30" s="308"/>
      <c r="J30" s="243">
        <f>$M$39</f>
        <v>220</v>
      </c>
      <c r="K30" s="243">
        <f>$J$30</f>
        <v>220</v>
      </c>
      <c r="L30" s="243">
        <f t="shared" ref="L30:N30" si="50">$J$30</f>
        <v>220</v>
      </c>
      <c r="M30" s="243">
        <f t="shared" si="50"/>
        <v>220</v>
      </c>
      <c r="N30" s="243">
        <f t="shared" si="50"/>
        <v>220</v>
      </c>
      <c r="O30" s="307"/>
      <c r="P30" s="308"/>
      <c r="Q30" s="243">
        <f>$T$39</f>
        <v>319.5</v>
      </c>
      <c r="R30" s="243">
        <f>$Q$30</f>
        <v>319.5</v>
      </c>
      <c r="S30" s="243">
        <f t="shared" ref="S30:U30" si="51">$Q$30</f>
        <v>319.5</v>
      </c>
      <c r="T30" s="243">
        <f t="shared" si="51"/>
        <v>319.5</v>
      </c>
      <c r="U30" s="243">
        <f t="shared" si="51"/>
        <v>319.5</v>
      </c>
      <c r="V30" s="307"/>
      <c r="W30" s="308"/>
      <c r="X30" s="243">
        <f>$AA$39</f>
        <v>420</v>
      </c>
      <c r="Y30" s="243">
        <f>$X$30</f>
        <v>420</v>
      </c>
      <c r="Z30" s="243">
        <f t="shared" ref="Z30:AB30" si="52">$X$30</f>
        <v>420</v>
      </c>
      <c r="AA30" s="243">
        <f t="shared" si="52"/>
        <v>420</v>
      </c>
      <c r="AB30" s="243">
        <f t="shared" si="52"/>
        <v>420</v>
      </c>
    </row>
    <row r="31" spans="2:28" ht="7.05" customHeight="1" x14ac:dyDescent="0.3">
      <c r="B31" s="194"/>
      <c r="H31" s="197"/>
      <c r="O31" s="197"/>
      <c r="V31" s="197"/>
    </row>
    <row r="32" spans="2:28" x14ac:dyDescent="0.3">
      <c r="B32" s="199" t="s">
        <v>309</v>
      </c>
      <c r="H32" s="197"/>
      <c r="O32" s="197"/>
      <c r="V32" s="197"/>
    </row>
    <row r="33" spans="2:28" ht="7.05" customHeight="1" x14ac:dyDescent="0.3">
      <c r="H33" s="197"/>
      <c r="O33" s="197"/>
      <c r="V33" s="197"/>
    </row>
    <row r="34" spans="2:28" x14ac:dyDescent="0.3">
      <c r="B34" s="325" t="s">
        <v>10</v>
      </c>
      <c r="C34" s="301">
        <f>'INCOME STATEMENT'!C$38</f>
        <v>8096</v>
      </c>
      <c r="D34" s="301">
        <f>'INCOME STATEMENT'!D$38</f>
        <v>8362.6999999999971</v>
      </c>
      <c r="E34" s="301">
        <f>'INCOME STATEMENT'!E$38</f>
        <v>7412.2200000000021</v>
      </c>
      <c r="F34" s="301">
        <f>'INCOME STATEMENT'!F$38</f>
        <v>9475</v>
      </c>
      <c r="G34" s="301">
        <f>'INCOME STATEMENT'!G$38</f>
        <v>7641</v>
      </c>
      <c r="H34" s="197"/>
      <c r="J34" s="326">
        <v>11417.928425599996</v>
      </c>
      <c r="K34" s="326">
        <v>12979.636220415996</v>
      </c>
      <c r="L34" s="326">
        <v>14257.438472661765</v>
      </c>
      <c r="M34" s="326">
        <v>15722.349897654554</v>
      </c>
      <c r="N34" s="326">
        <v>17529.928704396556</v>
      </c>
      <c r="O34" s="197"/>
      <c r="Q34" s="326">
        <v>8750.4128595047041</v>
      </c>
      <c r="R34" s="326">
        <v>9984.2732392848266</v>
      </c>
      <c r="S34" s="326">
        <v>10426.485590009463</v>
      </c>
      <c r="T34" s="326">
        <v>10805.108140820517</v>
      </c>
      <c r="U34" s="326">
        <v>11594.741426119172</v>
      </c>
      <c r="V34" s="197"/>
      <c r="X34" s="326">
        <v>6327.4906800000017</v>
      </c>
      <c r="Y34" s="326">
        <v>7297.8218639999959</v>
      </c>
      <c r="Z34" s="326">
        <v>6961.7726072000032</v>
      </c>
      <c r="AA34" s="326">
        <v>6498.0463875600017</v>
      </c>
      <c r="AB34" s="326">
        <v>6586.7263569379975</v>
      </c>
    </row>
    <row r="35" spans="2:28" x14ac:dyDescent="0.3">
      <c r="B35" s="351" t="s">
        <v>75</v>
      </c>
      <c r="C35" s="312">
        <f>C37/C34</f>
        <v>0.31348814229249011</v>
      </c>
      <c r="D35" s="312">
        <f t="shared" ref="D35:G35" si="53">D37/D34</f>
        <v>0.1423057146615328</v>
      </c>
      <c r="E35" s="312">
        <f t="shared" si="53"/>
        <v>0.31607939321822603</v>
      </c>
      <c r="F35" s="312">
        <f t="shared" si="53"/>
        <v>0.25519788918205805</v>
      </c>
      <c r="G35" s="312">
        <f t="shared" si="53"/>
        <v>0.19473890851982725</v>
      </c>
      <c r="H35" s="307"/>
      <c r="I35" s="308"/>
      <c r="J35" s="352">
        <v>0.2</v>
      </c>
      <c r="K35" s="312">
        <f>$J$35</f>
        <v>0.2</v>
      </c>
      <c r="L35" s="312">
        <f t="shared" ref="L35:N35" si="54">$J$35</f>
        <v>0.2</v>
      </c>
      <c r="M35" s="312">
        <f t="shared" si="54"/>
        <v>0.2</v>
      </c>
      <c r="N35" s="312">
        <f t="shared" si="54"/>
        <v>0.2</v>
      </c>
      <c r="O35" s="307"/>
      <c r="P35" s="308"/>
      <c r="Q35" s="352">
        <v>0.25</v>
      </c>
      <c r="R35" s="312">
        <f>$Q$35</f>
        <v>0.25</v>
      </c>
      <c r="S35" s="312">
        <f t="shared" ref="S35:U35" si="55">$Q$35</f>
        <v>0.25</v>
      </c>
      <c r="T35" s="312">
        <f t="shared" si="55"/>
        <v>0.25</v>
      </c>
      <c r="U35" s="312">
        <f t="shared" si="55"/>
        <v>0.25</v>
      </c>
      <c r="V35" s="307"/>
      <c r="W35" s="308"/>
      <c r="X35" s="352">
        <v>0.3</v>
      </c>
      <c r="Y35" s="312">
        <f>$X$35</f>
        <v>0.3</v>
      </c>
      <c r="Z35" s="312">
        <f t="shared" ref="Z35:AB35" si="56">$X$35</f>
        <v>0.3</v>
      </c>
      <c r="AA35" s="312">
        <f t="shared" si="56"/>
        <v>0.3</v>
      </c>
      <c r="AB35" s="312">
        <f t="shared" si="56"/>
        <v>0.3</v>
      </c>
    </row>
    <row r="36" spans="2:28" x14ac:dyDescent="0.3">
      <c r="H36" s="197"/>
      <c r="O36" s="197"/>
      <c r="V36" s="197"/>
    </row>
    <row r="37" spans="2:28" x14ac:dyDescent="0.3">
      <c r="B37" s="200" t="s">
        <v>309</v>
      </c>
      <c r="C37" s="200">
        <f>-'INCOME STATEMENT'!C$40</f>
        <v>2538</v>
      </c>
      <c r="D37" s="200">
        <f>-'INCOME STATEMENT'!D$40</f>
        <v>1190.06</v>
      </c>
      <c r="E37" s="200">
        <f>-'INCOME STATEMENT'!E$40</f>
        <v>2342.85</v>
      </c>
      <c r="F37" s="200">
        <f>-'INCOME STATEMENT'!F$40</f>
        <v>2418</v>
      </c>
      <c r="G37" s="200">
        <f>-'INCOME STATEMENT'!G$40</f>
        <v>1488</v>
      </c>
      <c r="H37" s="197"/>
      <c r="J37" s="200">
        <f>J$34*J$35</f>
        <v>2283.5856851199992</v>
      </c>
      <c r="K37" s="200">
        <f t="shared" ref="K37:M37" si="57">K$34*K$35</f>
        <v>2595.9272440831992</v>
      </c>
      <c r="L37" s="200">
        <f t="shared" si="57"/>
        <v>2851.4876945323531</v>
      </c>
      <c r="M37" s="200">
        <f t="shared" si="57"/>
        <v>3144.4699795309111</v>
      </c>
      <c r="N37" s="200">
        <f>N$34*N$35</f>
        <v>3505.9857408793114</v>
      </c>
      <c r="O37" s="197"/>
      <c r="Q37" s="200">
        <f t="shared" ref="Q37:U37" si="58">Q$34*Q$35</f>
        <v>2187.603214876176</v>
      </c>
      <c r="R37" s="200">
        <f t="shared" si="58"/>
        <v>2496.0683098212066</v>
      </c>
      <c r="S37" s="200">
        <f t="shared" si="58"/>
        <v>2606.6213975023657</v>
      </c>
      <c r="T37" s="200">
        <f t="shared" si="58"/>
        <v>2701.2770352051293</v>
      </c>
      <c r="U37" s="200">
        <f t="shared" si="58"/>
        <v>2898.6853565297929</v>
      </c>
      <c r="V37" s="197"/>
      <c r="X37" s="200">
        <f t="shared" ref="X37:AB37" si="59">X$34*X$35</f>
        <v>1898.2472040000005</v>
      </c>
      <c r="Y37" s="200">
        <f t="shared" si="59"/>
        <v>2189.3465591999989</v>
      </c>
      <c r="Z37" s="200">
        <f t="shared" si="59"/>
        <v>2088.5317821600011</v>
      </c>
      <c r="AA37" s="200">
        <f t="shared" si="59"/>
        <v>1949.4139162680003</v>
      </c>
      <c r="AB37" s="200">
        <f t="shared" si="59"/>
        <v>1976.0179070813992</v>
      </c>
    </row>
    <row r="39" spans="2:28" x14ac:dyDescent="0.3">
      <c r="B39" s="189"/>
      <c r="C39" s="189"/>
      <c r="D39" s="189"/>
      <c r="E39" s="189"/>
      <c r="F39" s="189"/>
      <c r="G39" s="189"/>
      <c r="H39" s="189"/>
      <c r="I39" s="189"/>
      <c r="J39" s="192" t="s">
        <v>459</v>
      </c>
      <c r="K39" s="304" t="s">
        <v>2529</v>
      </c>
      <c r="L39" s="332" t="s">
        <v>2759</v>
      </c>
      <c r="M39" s="189">
        <v>220</v>
      </c>
      <c r="N39" s="189"/>
      <c r="O39" s="189"/>
      <c r="P39" s="189"/>
      <c r="Q39" s="192" t="s">
        <v>459</v>
      </c>
      <c r="R39" s="304" t="s">
        <v>2530</v>
      </c>
      <c r="S39" s="332" t="s">
        <v>2759</v>
      </c>
      <c r="T39" s="189">
        <f>AVERAGE(D30:G30)</f>
        <v>319.5</v>
      </c>
      <c r="U39" s="189"/>
      <c r="V39" s="189"/>
      <c r="W39" s="189"/>
      <c r="X39" s="192" t="s">
        <v>459</v>
      </c>
      <c r="Y39" s="304" t="s">
        <v>2531</v>
      </c>
      <c r="Z39" s="332" t="s">
        <v>2759</v>
      </c>
      <c r="AA39" s="189">
        <v>420</v>
      </c>
      <c r="AB39" s="189"/>
    </row>
    <row r="41" spans="2:28" x14ac:dyDescent="0.3">
      <c r="B41" s="514" t="s">
        <v>2764</v>
      </c>
      <c r="C41" s="514"/>
      <c r="D41" s="514"/>
      <c r="E41" s="514"/>
      <c r="F41" s="514"/>
      <c r="G41" s="514"/>
      <c r="H41" s="514"/>
      <c r="I41" s="514"/>
      <c r="J41" s="514"/>
      <c r="K41" s="514"/>
      <c r="L41" s="514"/>
      <c r="M41" s="514"/>
      <c r="N41" s="514"/>
      <c r="O41" s="514"/>
      <c r="P41" s="514"/>
      <c r="Q41" s="514"/>
      <c r="R41" s="514"/>
      <c r="S41" s="514"/>
      <c r="T41" s="514"/>
      <c r="U41" s="514"/>
      <c r="V41" s="514"/>
      <c r="W41" s="514"/>
      <c r="X41" s="514"/>
      <c r="Y41" s="514"/>
      <c r="Z41" s="514"/>
      <c r="AA41" s="514"/>
      <c r="AB41" s="514"/>
    </row>
  </sheetData>
  <mergeCells count="1">
    <mergeCell ref="B41:AB41"/>
  </mergeCells>
  <printOptions horizontalCentered="1" verticalCentered="1"/>
  <pageMargins left="0" right="0" top="0" bottom="0" header="0" footer="0"/>
  <pageSetup paperSize="9" scale="36" orientation="landscape" horizontalDpi="1200" verticalDpi="12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47"/>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190" customWidth="1"/>
    <col min="2" max="2" width="44.77734375" style="190" customWidth="1"/>
    <col min="3" max="7" width="16.77734375" style="190"/>
    <col min="8" max="9" width="2" style="190" customWidth="1"/>
    <col min="10" max="10" width="44.77734375" style="190" customWidth="1"/>
    <col min="11" max="16384" width="16.77734375" style="190"/>
  </cols>
  <sheetData>
    <row r="1" spans="2:15" ht="15.6" x14ac:dyDescent="0.4">
      <c r="B1" s="188" t="s">
        <v>342</v>
      </c>
      <c r="C1" s="189"/>
      <c r="D1" s="189"/>
      <c r="E1" s="189"/>
      <c r="F1" s="189"/>
      <c r="G1" s="189"/>
      <c r="H1" s="189"/>
      <c r="I1" s="189"/>
      <c r="J1" s="189"/>
      <c r="K1" s="189"/>
      <c r="L1" s="189"/>
      <c r="M1" s="189"/>
      <c r="N1" s="189"/>
      <c r="O1" s="189"/>
    </row>
    <row r="2" spans="2:15" ht="23.4" x14ac:dyDescent="0.45">
      <c r="B2" s="191" t="s">
        <v>341</v>
      </c>
      <c r="C2" s="189"/>
      <c r="D2" s="189"/>
      <c r="E2" s="189"/>
      <c r="F2" s="189"/>
      <c r="G2" s="189"/>
      <c r="H2" s="189"/>
      <c r="I2" s="189"/>
      <c r="J2" s="189"/>
      <c r="K2" s="189"/>
      <c r="L2" s="189"/>
      <c r="M2" s="189"/>
      <c r="N2" s="189"/>
      <c r="O2" s="189"/>
    </row>
    <row r="3" spans="2:15" x14ac:dyDescent="0.3">
      <c r="B3" s="189" t="s">
        <v>343</v>
      </c>
      <c r="C3" s="189"/>
      <c r="D3" s="189"/>
      <c r="E3" s="189"/>
      <c r="F3" s="189"/>
      <c r="G3" s="189"/>
      <c r="H3" s="189"/>
      <c r="I3" s="189"/>
      <c r="J3" s="189"/>
      <c r="K3" s="189"/>
      <c r="L3" s="189"/>
      <c r="M3" s="189"/>
      <c r="N3" s="189"/>
      <c r="O3" s="189"/>
    </row>
    <row r="5" spans="2:15" x14ac:dyDescent="0.3">
      <c r="B5" s="192" t="s">
        <v>2606</v>
      </c>
      <c r="C5" s="192"/>
      <c r="D5" s="192"/>
      <c r="E5" s="189"/>
      <c r="F5" s="192"/>
      <c r="G5" s="192"/>
      <c r="H5" s="197"/>
      <c r="J5" s="192" t="s">
        <v>2606</v>
      </c>
      <c r="K5" s="192"/>
      <c r="L5" s="192"/>
      <c r="M5" s="189"/>
      <c r="N5" s="192"/>
      <c r="O5" s="192"/>
    </row>
    <row r="6" spans="2:15" x14ac:dyDescent="0.3">
      <c r="H6" s="197"/>
    </row>
    <row r="7" spans="2:15" x14ac:dyDescent="0.3">
      <c r="B7" s="192" t="s">
        <v>1</v>
      </c>
      <c r="C7" s="110">
        <v>44440</v>
      </c>
      <c r="D7" s="110">
        <f>EDATE(C7,12)</f>
        <v>44805</v>
      </c>
      <c r="E7" s="110">
        <f t="shared" ref="E7:G7" si="0">EDATE(D7,12)</f>
        <v>45170</v>
      </c>
      <c r="F7" s="110">
        <f t="shared" si="0"/>
        <v>45536</v>
      </c>
      <c r="G7" s="110">
        <f t="shared" si="0"/>
        <v>45901</v>
      </c>
      <c r="H7" s="197"/>
      <c r="J7" s="192" t="s">
        <v>1</v>
      </c>
      <c r="K7" s="110">
        <v>44440</v>
      </c>
      <c r="L7" s="110">
        <f>EDATE(K7,12)</f>
        <v>44805</v>
      </c>
      <c r="M7" s="110">
        <f t="shared" ref="M7" si="1">EDATE(L7,12)</f>
        <v>45170</v>
      </c>
      <c r="N7" s="110">
        <f t="shared" ref="N7" si="2">EDATE(M7,12)</f>
        <v>45536</v>
      </c>
      <c r="O7" s="110">
        <f t="shared" ref="O7" si="3">EDATE(N7,12)</f>
        <v>45901</v>
      </c>
    </row>
    <row r="8" spans="2:15" ht="7.05" customHeight="1" x14ac:dyDescent="0.3">
      <c r="H8" s="197"/>
    </row>
    <row r="9" spans="2:15" x14ac:dyDescent="0.3">
      <c r="B9" s="199" t="s">
        <v>2576</v>
      </c>
      <c r="H9" s="197"/>
      <c r="J9" s="199" t="s">
        <v>2576</v>
      </c>
    </row>
    <row r="10" spans="2:15" ht="7.05" customHeight="1" x14ac:dyDescent="0.3">
      <c r="H10" s="197"/>
    </row>
    <row r="11" spans="2:15" x14ac:dyDescent="0.3">
      <c r="B11" s="325" t="s">
        <v>2607</v>
      </c>
      <c r="C11" s="301">
        <v>0</v>
      </c>
      <c r="D11" s="301">
        <f>C$15</f>
        <v>288</v>
      </c>
      <c r="E11" s="301">
        <f t="shared" ref="E11:G11" si="4">D$15</f>
        <v>288.67</v>
      </c>
      <c r="F11" s="301">
        <f t="shared" si="4"/>
        <v>288.69</v>
      </c>
      <c r="G11" s="301">
        <f t="shared" si="4"/>
        <v>288</v>
      </c>
      <c r="H11" s="197"/>
      <c r="J11" s="325" t="s">
        <v>2607</v>
      </c>
      <c r="K11" s="301">
        <v>0</v>
      </c>
      <c r="L11" s="301">
        <f>K$15</f>
        <v>43886</v>
      </c>
      <c r="M11" s="301">
        <f t="shared" ref="M11:O11" si="5">L$15</f>
        <v>50146.6</v>
      </c>
      <c r="N11" s="301">
        <f t="shared" si="5"/>
        <v>54035.85</v>
      </c>
      <c r="O11" s="301">
        <f t="shared" si="5"/>
        <v>59938</v>
      </c>
    </row>
    <row r="12" spans="2:15" x14ac:dyDescent="0.3">
      <c r="B12" s="194" t="s">
        <v>2608</v>
      </c>
      <c r="C12" s="190">
        <v>0</v>
      </c>
      <c r="D12" s="190">
        <v>0</v>
      </c>
      <c r="E12" s="190">
        <v>0</v>
      </c>
      <c r="F12" s="190">
        <v>0</v>
      </c>
      <c r="G12" s="190">
        <f>G15-G11</f>
        <v>6</v>
      </c>
      <c r="H12" s="197"/>
      <c r="J12" s="194" t="s">
        <v>2610</v>
      </c>
      <c r="K12" s="190">
        <v>0</v>
      </c>
      <c r="L12" s="190">
        <f>L$15-K$15</f>
        <v>6260.5999999999985</v>
      </c>
      <c r="M12" s="190">
        <f t="shared" ref="M12:O12" si="6">M$15-L$15</f>
        <v>3889.25</v>
      </c>
      <c r="N12" s="190">
        <f t="shared" si="6"/>
        <v>5902.1500000000015</v>
      </c>
      <c r="O12" s="190">
        <f t="shared" si="6"/>
        <v>10473</v>
      </c>
    </row>
    <row r="13" spans="2:15" x14ac:dyDescent="0.3">
      <c r="B13" s="322" t="s">
        <v>2609</v>
      </c>
      <c r="C13" s="314">
        <v>0</v>
      </c>
      <c r="D13" s="314">
        <v>0</v>
      </c>
      <c r="E13" s="314">
        <v>0</v>
      </c>
      <c r="F13" s="314">
        <v>0</v>
      </c>
      <c r="G13" s="314">
        <v>0</v>
      </c>
      <c r="H13" s="197"/>
      <c r="J13" s="322" t="s">
        <v>2605</v>
      </c>
      <c r="K13" s="314">
        <v>0</v>
      </c>
      <c r="L13" s="66">
        <f>L$15/K$15-1</f>
        <v>0.14265597229184701</v>
      </c>
      <c r="M13" s="66">
        <f t="shared" ref="M13:O13" si="7">M$15/L$15-1</f>
        <v>7.7557601113535046E-2</v>
      </c>
      <c r="N13" s="66">
        <f t="shared" si="7"/>
        <v>0.10922655977466822</v>
      </c>
      <c r="O13" s="66">
        <f t="shared" si="7"/>
        <v>0.17473055490673706</v>
      </c>
    </row>
    <row r="14" spans="2:15" x14ac:dyDescent="0.3">
      <c r="H14" s="197"/>
      <c r="L14" s="49"/>
    </row>
    <row r="15" spans="2:15" x14ac:dyDescent="0.3">
      <c r="B15" s="316" t="s">
        <v>2604</v>
      </c>
      <c r="C15" s="316">
        <f>'BALANCE SHEET'!C$69</f>
        <v>288</v>
      </c>
      <c r="D15" s="316">
        <f>'BALANCE SHEET'!D$69</f>
        <v>288.67</v>
      </c>
      <c r="E15" s="316">
        <f>'BALANCE SHEET'!E$69</f>
        <v>288.69</v>
      </c>
      <c r="F15" s="316">
        <f>'BALANCE SHEET'!F$69</f>
        <v>288</v>
      </c>
      <c r="G15" s="316">
        <f>'BALANCE SHEET'!G$69</f>
        <v>294</v>
      </c>
      <c r="H15" s="197"/>
      <c r="J15" s="316" t="s">
        <v>2604</v>
      </c>
      <c r="K15" s="316">
        <f>'BALANCE SHEET'!C$70</f>
        <v>43886</v>
      </c>
      <c r="L15" s="316">
        <f>'BALANCE SHEET'!D$70</f>
        <v>50146.6</v>
      </c>
      <c r="M15" s="316">
        <f>'BALANCE SHEET'!E$70</f>
        <v>54035.85</v>
      </c>
      <c r="N15" s="316">
        <f>'BALANCE SHEET'!F$70</f>
        <v>59938</v>
      </c>
      <c r="O15" s="316">
        <f>'BALANCE SHEET'!G$70</f>
        <v>70411</v>
      </c>
    </row>
    <row r="16" spans="2:15" x14ac:dyDescent="0.3">
      <c r="H16" s="197"/>
    </row>
    <row r="17" spans="2:15" x14ac:dyDescent="0.3">
      <c r="B17" s="241" t="s">
        <v>1</v>
      </c>
      <c r="C17" s="313">
        <v>46266</v>
      </c>
      <c r="D17" s="313">
        <f>EDATE(C17,12)</f>
        <v>46631</v>
      </c>
      <c r="E17" s="313">
        <f t="shared" ref="E17:G17" si="8">EDATE(D17,12)</f>
        <v>46997</v>
      </c>
      <c r="F17" s="313">
        <f t="shared" si="8"/>
        <v>47362</v>
      </c>
      <c r="G17" s="313">
        <f t="shared" si="8"/>
        <v>47727</v>
      </c>
      <c r="H17" s="197"/>
      <c r="J17" s="241" t="s">
        <v>1</v>
      </c>
      <c r="K17" s="313">
        <v>46266</v>
      </c>
      <c r="L17" s="313">
        <f>EDATE(K17,12)</f>
        <v>46631</v>
      </c>
      <c r="M17" s="313">
        <f t="shared" ref="M17" si="9">EDATE(L17,12)</f>
        <v>46997</v>
      </c>
      <c r="N17" s="313">
        <f t="shared" ref="N17" si="10">EDATE(M17,12)</f>
        <v>47362</v>
      </c>
      <c r="O17" s="313">
        <f t="shared" ref="O17" si="11">EDATE(N17,12)</f>
        <v>47727</v>
      </c>
    </row>
    <row r="18" spans="2:15" ht="7.05" customHeight="1" x14ac:dyDescent="0.3">
      <c r="H18" s="197"/>
    </row>
    <row r="19" spans="2:15" x14ac:dyDescent="0.3">
      <c r="B19" s="199" t="s">
        <v>2577</v>
      </c>
      <c r="H19" s="197"/>
      <c r="J19" s="199" t="s">
        <v>2577</v>
      </c>
      <c r="K19" s="348" t="s">
        <v>2605</v>
      </c>
      <c r="L19" s="349">
        <v>0.14599999999999999</v>
      </c>
    </row>
    <row r="20" spans="2:15" ht="7.05" customHeight="1" x14ac:dyDescent="0.3">
      <c r="H20" s="197"/>
    </row>
    <row r="21" spans="2:15" x14ac:dyDescent="0.3">
      <c r="B21" s="325" t="s">
        <v>2607</v>
      </c>
      <c r="C21" s="301">
        <f>$G$15</f>
        <v>294</v>
      </c>
      <c r="D21" s="301">
        <f>C$25</f>
        <v>289</v>
      </c>
      <c r="E21" s="301">
        <f t="shared" ref="E21:G21" si="12">D$25</f>
        <v>285</v>
      </c>
      <c r="F21" s="301">
        <f t="shared" si="12"/>
        <v>282</v>
      </c>
      <c r="G21" s="301">
        <f t="shared" si="12"/>
        <v>280</v>
      </c>
      <c r="H21" s="197"/>
      <c r="J21" s="325" t="s">
        <v>2607</v>
      </c>
      <c r="K21" s="301">
        <f>$O$15</f>
        <v>70411</v>
      </c>
      <c r="L21" s="301">
        <f>K$25</f>
        <v>80691.005999999994</v>
      </c>
      <c r="M21" s="301">
        <f t="shared" ref="M21:O21" si="13">L$25</f>
        <v>92471.892875999998</v>
      </c>
      <c r="N21" s="301">
        <f t="shared" si="13"/>
        <v>105972.78923589599</v>
      </c>
      <c r="O21" s="301">
        <f t="shared" si="13"/>
        <v>121444.81646433681</v>
      </c>
    </row>
    <row r="22" spans="2:15" x14ac:dyDescent="0.3">
      <c r="B22" s="194" t="s">
        <v>2608</v>
      </c>
      <c r="C22" s="190">
        <v>0</v>
      </c>
      <c r="D22" s="190">
        <v>0</v>
      </c>
      <c r="E22" s="190">
        <v>0</v>
      </c>
      <c r="F22" s="190">
        <v>0</v>
      </c>
      <c r="G22" s="190">
        <v>0</v>
      </c>
      <c r="H22" s="197"/>
      <c r="J22" s="194" t="s">
        <v>2610</v>
      </c>
      <c r="K22" s="190">
        <f>K$25-K$21</f>
        <v>10280.005999999994</v>
      </c>
      <c r="L22" s="190">
        <f t="shared" ref="L22:O22" si="14">L$25-L$21</f>
        <v>11780.886876000004</v>
      </c>
      <c r="M22" s="190">
        <f t="shared" si="14"/>
        <v>13500.896359895996</v>
      </c>
      <c r="N22" s="190">
        <f t="shared" si="14"/>
        <v>15472.027228440813</v>
      </c>
      <c r="O22" s="190">
        <f t="shared" si="14"/>
        <v>17730.943203793184</v>
      </c>
    </row>
    <row r="23" spans="2:15" x14ac:dyDescent="0.3">
      <c r="B23" s="322" t="s">
        <v>2609</v>
      </c>
      <c r="C23" s="328">
        <v>5</v>
      </c>
      <c r="D23" s="328">
        <v>4</v>
      </c>
      <c r="E23" s="328">
        <v>3</v>
      </c>
      <c r="F23" s="328">
        <v>2</v>
      </c>
      <c r="G23" s="328">
        <v>1</v>
      </c>
      <c r="H23" s="197"/>
      <c r="J23" s="322" t="s">
        <v>2605</v>
      </c>
      <c r="K23" s="66">
        <f>$L$19</f>
        <v>0.14599999999999999</v>
      </c>
      <c r="L23" s="66">
        <f>$K$23</f>
        <v>0.14599999999999999</v>
      </c>
      <c r="M23" s="66">
        <f t="shared" ref="M23:O23" si="15">$K$23</f>
        <v>0.14599999999999999</v>
      </c>
      <c r="N23" s="66">
        <f t="shared" si="15"/>
        <v>0.14599999999999999</v>
      </c>
      <c r="O23" s="66">
        <f t="shared" si="15"/>
        <v>0.14599999999999999</v>
      </c>
    </row>
    <row r="24" spans="2:15" x14ac:dyDescent="0.3">
      <c r="H24" s="197"/>
    </row>
    <row r="25" spans="2:15" x14ac:dyDescent="0.3">
      <c r="B25" s="316" t="s">
        <v>2604</v>
      </c>
      <c r="C25" s="316">
        <f>C21+C22-C23</f>
        <v>289</v>
      </c>
      <c r="D25" s="316">
        <f t="shared" ref="D25:G25" si="16">D21+D22-D23</f>
        <v>285</v>
      </c>
      <c r="E25" s="316">
        <f t="shared" si="16"/>
        <v>282</v>
      </c>
      <c r="F25" s="316">
        <f t="shared" si="16"/>
        <v>280</v>
      </c>
      <c r="G25" s="316">
        <f t="shared" si="16"/>
        <v>279</v>
      </c>
      <c r="H25" s="197"/>
      <c r="J25" s="316" t="s">
        <v>2604</v>
      </c>
      <c r="K25" s="316">
        <f>K$21+(K$21*K$23)</f>
        <v>80691.005999999994</v>
      </c>
      <c r="L25" s="316">
        <f t="shared" ref="L25:O25" si="17">L$21+(L$21*L$23)</f>
        <v>92471.892875999998</v>
      </c>
      <c r="M25" s="316">
        <f t="shared" si="17"/>
        <v>105972.78923589599</v>
      </c>
      <c r="N25" s="316">
        <f t="shared" si="17"/>
        <v>121444.81646433681</v>
      </c>
      <c r="O25" s="316">
        <f t="shared" si="17"/>
        <v>139175.75966812999</v>
      </c>
    </row>
    <row r="26" spans="2:15" ht="7.05" customHeight="1" x14ac:dyDescent="0.3">
      <c r="H26" s="197"/>
    </row>
    <row r="27" spans="2:15" x14ac:dyDescent="0.3">
      <c r="B27" s="199" t="s">
        <v>2578</v>
      </c>
      <c r="H27" s="197"/>
      <c r="J27" s="199" t="s">
        <v>2578</v>
      </c>
      <c r="K27" s="348" t="s">
        <v>2605</v>
      </c>
      <c r="L27" s="349">
        <v>0.126</v>
      </c>
    </row>
    <row r="28" spans="2:15" ht="7.05" customHeight="1" x14ac:dyDescent="0.3">
      <c r="H28" s="197"/>
    </row>
    <row r="29" spans="2:15" x14ac:dyDescent="0.3">
      <c r="B29" s="325" t="s">
        <v>2607</v>
      </c>
      <c r="C29" s="301">
        <f>$C$21</f>
        <v>294</v>
      </c>
      <c r="D29" s="301">
        <f>C$33</f>
        <v>294</v>
      </c>
      <c r="E29" s="301">
        <f t="shared" ref="E29:G29" si="18">D$33</f>
        <v>294</v>
      </c>
      <c r="F29" s="301">
        <f t="shared" si="18"/>
        <v>294</v>
      </c>
      <c r="G29" s="301">
        <f t="shared" si="18"/>
        <v>294</v>
      </c>
      <c r="H29" s="197"/>
      <c r="J29" s="325" t="s">
        <v>2607</v>
      </c>
      <c r="K29" s="301">
        <f>$K$21</f>
        <v>70411</v>
      </c>
      <c r="L29" s="301">
        <f>K$33</f>
        <v>79282.785999999993</v>
      </c>
      <c r="M29" s="301">
        <f t="shared" ref="M29:O29" si="19">L$33</f>
        <v>89272.417035999999</v>
      </c>
      <c r="N29" s="301">
        <f t="shared" si="19"/>
        <v>100520.74158253599</v>
      </c>
      <c r="O29" s="301">
        <f t="shared" si="19"/>
        <v>113186.35502193552</v>
      </c>
    </row>
    <row r="30" spans="2:15" x14ac:dyDescent="0.3">
      <c r="B30" s="194" t="s">
        <v>2608</v>
      </c>
      <c r="C30" s="190">
        <v>0</v>
      </c>
      <c r="D30" s="190">
        <v>0</v>
      </c>
      <c r="E30" s="190">
        <v>0</v>
      </c>
      <c r="F30" s="190">
        <v>0</v>
      </c>
      <c r="G30" s="190">
        <v>0</v>
      </c>
      <c r="H30" s="197"/>
      <c r="J30" s="194" t="s">
        <v>2610</v>
      </c>
      <c r="K30" s="190">
        <f>K$33-K$29</f>
        <v>8871.7859999999928</v>
      </c>
      <c r="L30" s="190">
        <f t="shared" ref="L30:O30" si="20">L$33-L$29</f>
        <v>9989.6310360000061</v>
      </c>
      <c r="M30" s="190">
        <f t="shared" si="20"/>
        <v>11248.324546535994</v>
      </c>
      <c r="N30" s="190">
        <f t="shared" si="20"/>
        <v>12665.613439399531</v>
      </c>
      <c r="O30" s="190">
        <f t="shared" si="20"/>
        <v>14261.48073276387</v>
      </c>
    </row>
    <row r="31" spans="2:15" x14ac:dyDescent="0.3">
      <c r="B31" s="322" t="s">
        <v>2609</v>
      </c>
      <c r="C31" s="314">
        <v>0</v>
      </c>
      <c r="D31" s="314">
        <v>0</v>
      </c>
      <c r="E31" s="314">
        <v>0</v>
      </c>
      <c r="F31" s="314">
        <v>0</v>
      </c>
      <c r="G31" s="314">
        <v>0</v>
      </c>
      <c r="H31" s="197"/>
      <c r="J31" s="322" t="s">
        <v>2605</v>
      </c>
      <c r="K31" s="66">
        <f>$L$27</f>
        <v>0.126</v>
      </c>
      <c r="L31" s="66">
        <f>$K$31</f>
        <v>0.126</v>
      </c>
      <c r="M31" s="66">
        <f t="shared" ref="M31:O31" si="21">$K$31</f>
        <v>0.126</v>
      </c>
      <c r="N31" s="66">
        <f t="shared" si="21"/>
        <v>0.126</v>
      </c>
      <c r="O31" s="66">
        <f t="shared" si="21"/>
        <v>0.126</v>
      </c>
    </row>
    <row r="32" spans="2:15" x14ac:dyDescent="0.3">
      <c r="H32" s="197"/>
    </row>
    <row r="33" spans="2:15" x14ac:dyDescent="0.3">
      <c r="B33" s="316" t="s">
        <v>2604</v>
      </c>
      <c r="C33" s="316">
        <f>C29+C30-C31</f>
        <v>294</v>
      </c>
      <c r="D33" s="316">
        <f t="shared" ref="D33:G33" si="22">D29+D30-D31</f>
        <v>294</v>
      </c>
      <c r="E33" s="316">
        <f t="shared" si="22"/>
        <v>294</v>
      </c>
      <c r="F33" s="316">
        <f t="shared" si="22"/>
        <v>294</v>
      </c>
      <c r="G33" s="316">
        <f t="shared" si="22"/>
        <v>294</v>
      </c>
      <c r="H33" s="197"/>
      <c r="J33" s="316" t="s">
        <v>2604</v>
      </c>
      <c r="K33" s="316">
        <f>K$29+(K$29*K$31)</f>
        <v>79282.785999999993</v>
      </c>
      <c r="L33" s="316">
        <f t="shared" ref="L33:O33" si="23">L$29+(L$29*L$31)</f>
        <v>89272.417035999999</v>
      </c>
      <c r="M33" s="316">
        <f t="shared" si="23"/>
        <v>100520.74158253599</v>
      </c>
      <c r="N33" s="316">
        <f t="shared" si="23"/>
        <v>113186.35502193552</v>
      </c>
      <c r="O33" s="316">
        <f t="shared" si="23"/>
        <v>127447.83575469939</v>
      </c>
    </row>
    <row r="34" spans="2:15" ht="7.05" customHeight="1" x14ac:dyDescent="0.3">
      <c r="H34" s="197"/>
    </row>
    <row r="35" spans="2:15" x14ac:dyDescent="0.3">
      <c r="B35" s="199" t="s">
        <v>2579</v>
      </c>
      <c r="H35" s="197"/>
      <c r="J35" s="199" t="s">
        <v>2579</v>
      </c>
      <c r="K35" s="348" t="s">
        <v>2605</v>
      </c>
      <c r="L35" s="349">
        <v>0.08</v>
      </c>
    </row>
    <row r="36" spans="2:15" ht="7.05" customHeight="1" x14ac:dyDescent="0.3">
      <c r="H36" s="197"/>
    </row>
    <row r="37" spans="2:15" x14ac:dyDescent="0.3">
      <c r="B37" s="325" t="s">
        <v>2607</v>
      </c>
      <c r="C37" s="301">
        <f>$C$29</f>
        <v>294</v>
      </c>
      <c r="D37" s="301">
        <f>C$41</f>
        <v>299</v>
      </c>
      <c r="E37" s="301">
        <f t="shared" ref="E37:G37" si="24">D$41</f>
        <v>303</v>
      </c>
      <c r="F37" s="301">
        <f t="shared" si="24"/>
        <v>306</v>
      </c>
      <c r="G37" s="301">
        <f t="shared" si="24"/>
        <v>308</v>
      </c>
      <c r="H37" s="197"/>
      <c r="J37" s="325" t="s">
        <v>2607</v>
      </c>
      <c r="K37" s="301">
        <f>$K$29</f>
        <v>70411</v>
      </c>
      <c r="L37" s="301">
        <f>K$41</f>
        <v>76043.88</v>
      </c>
      <c r="M37" s="301">
        <f t="shared" ref="M37:O37" si="25">L$41</f>
        <v>82127.390400000004</v>
      </c>
      <c r="N37" s="301">
        <f t="shared" si="25"/>
        <v>88697.581632000001</v>
      </c>
      <c r="O37" s="301">
        <f t="shared" si="25"/>
        <v>95793.388162560004</v>
      </c>
    </row>
    <row r="38" spans="2:15" x14ac:dyDescent="0.3">
      <c r="B38" s="194" t="s">
        <v>2608</v>
      </c>
      <c r="C38" s="311">
        <v>5</v>
      </c>
      <c r="D38" s="311">
        <v>4</v>
      </c>
      <c r="E38" s="311">
        <v>3</v>
      </c>
      <c r="F38" s="311">
        <v>2</v>
      </c>
      <c r="G38" s="311">
        <v>1</v>
      </c>
      <c r="H38" s="197"/>
      <c r="J38" s="194" t="s">
        <v>2610</v>
      </c>
      <c r="K38" s="190">
        <f>K$41-K$37</f>
        <v>5632.8800000000047</v>
      </c>
      <c r="L38" s="190">
        <f t="shared" ref="L38:O38" si="26">L$41-L$37</f>
        <v>6083.5103999999992</v>
      </c>
      <c r="M38" s="190">
        <f t="shared" si="26"/>
        <v>6570.1912319999974</v>
      </c>
      <c r="N38" s="190">
        <f t="shared" si="26"/>
        <v>7095.806530560003</v>
      </c>
      <c r="O38" s="190">
        <f t="shared" si="26"/>
        <v>7663.4710530048033</v>
      </c>
    </row>
    <row r="39" spans="2:15" x14ac:dyDescent="0.3">
      <c r="B39" s="322" t="s">
        <v>2609</v>
      </c>
      <c r="C39" s="314">
        <v>0</v>
      </c>
      <c r="D39" s="314">
        <v>0</v>
      </c>
      <c r="E39" s="314">
        <v>0</v>
      </c>
      <c r="F39" s="314">
        <v>0</v>
      </c>
      <c r="G39" s="314">
        <v>0</v>
      </c>
      <c r="H39" s="197"/>
      <c r="J39" s="322" t="s">
        <v>2605</v>
      </c>
      <c r="K39" s="66">
        <f>$L$35</f>
        <v>0.08</v>
      </c>
      <c r="L39" s="66">
        <f>$K$39</f>
        <v>0.08</v>
      </c>
      <c r="M39" s="66">
        <f t="shared" ref="M39:O39" si="27">$K$39</f>
        <v>0.08</v>
      </c>
      <c r="N39" s="66">
        <f t="shared" si="27"/>
        <v>0.08</v>
      </c>
      <c r="O39" s="66">
        <f t="shared" si="27"/>
        <v>0.08</v>
      </c>
    </row>
    <row r="40" spans="2:15" x14ac:dyDescent="0.3">
      <c r="H40" s="197"/>
    </row>
    <row r="41" spans="2:15" x14ac:dyDescent="0.3">
      <c r="B41" s="316" t="s">
        <v>2604</v>
      </c>
      <c r="C41" s="316">
        <f>C37+C38-C39</f>
        <v>299</v>
      </c>
      <c r="D41" s="316">
        <f t="shared" ref="D41:G41" si="28">D37+D38-D39</f>
        <v>303</v>
      </c>
      <c r="E41" s="316">
        <f t="shared" si="28"/>
        <v>306</v>
      </c>
      <c r="F41" s="316">
        <f t="shared" si="28"/>
        <v>308</v>
      </c>
      <c r="G41" s="316">
        <f t="shared" si="28"/>
        <v>309</v>
      </c>
      <c r="H41" s="197"/>
      <c r="J41" s="316" t="s">
        <v>2604</v>
      </c>
      <c r="K41" s="316">
        <f>K$37+(K$37*K$39)</f>
        <v>76043.88</v>
      </c>
      <c r="L41" s="316">
        <f t="shared" ref="L41:O41" si="29">L$37+(L$37*L$39)</f>
        <v>82127.390400000004</v>
      </c>
      <c r="M41" s="316">
        <f t="shared" si="29"/>
        <v>88697.581632000001</v>
      </c>
      <c r="N41" s="316">
        <f t="shared" si="29"/>
        <v>95793.388162560004</v>
      </c>
      <c r="O41" s="316">
        <f t="shared" si="29"/>
        <v>103456.85921556481</v>
      </c>
    </row>
    <row r="43" spans="2:15" x14ac:dyDescent="0.3">
      <c r="B43" s="203" t="s">
        <v>2611</v>
      </c>
      <c r="C43" s="327">
        <v>27</v>
      </c>
      <c r="D43" s="308"/>
      <c r="E43" s="203" t="s">
        <v>2615</v>
      </c>
      <c r="F43" s="317">
        <v>0.2026</v>
      </c>
      <c r="G43" s="308"/>
      <c r="H43" s="308"/>
      <c r="I43" s="308"/>
      <c r="J43" s="527" t="s">
        <v>2617</v>
      </c>
      <c r="K43" s="527"/>
      <c r="L43" s="527"/>
      <c r="M43" s="527"/>
      <c r="N43" s="527"/>
      <c r="O43" s="527"/>
    </row>
    <row r="44" spans="2:15" x14ac:dyDescent="0.3">
      <c r="B44" s="203" t="s">
        <v>2612</v>
      </c>
      <c r="C44" s="327">
        <v>30</v>
      </c>
      <c r="D44" s="308"/>
      <c r="E44" s="203" t="s">
        <v>2614</v>
      </c>
      <c r="F44" s="317">
        <v>0.18260000000000001</v>
      </c>
      <c r="G44" s="308"/>
      <c r="H44" s="308"/>
      <c r="I44" s="308"/>
      <c r="J44" s="527" t="s">
        <v>2619</v>
      </c>
      <c r="K44" s="527"/>
      <c r="L44" s="527"/>
      <c r="M44" s="527"/>
      <c r="N44" s="527"/>
      <c r="O44" s="527"/>
    </row>
    <row r="45" spans="2:15" x14ac:dyDescent="0.3">
      <c r="B45" s="203" t="s">
        <v>2613</v>
      </c>
      <c r="C45" s="327">
        <v>33</v>
      </c>
      <c r="D45" s="308"/>
      <c r="E45" s="203" t="s">
        <v>2616</v>
      </c>
      <c r="F45" s="317">
        <v>0.16259999999999999</v>
      </c>
      <c r="G45" s="308"/>
      <c r="H45" s="308"/>
      <c r="I45" s="308"/>
      <c r="J45" s="527" t="s">
        <v>2618</v>
      </c>
      <c r="K45" s="527"/>
      <c r="L45" s="527"/>
      <c r="M45" s="527"/>
      <c r="N45" s="527"/>
      <c r="O45" s="527"/>
    </row>
    <row r="47" spans="2:15" x14ac:dyDescent="0.3">
      <c r="B47" s="189"/>
      <c r="C47" s="189"/>
      <c r="D47" s="189"/>
      <c r="E47" s="189"/>
      <c r="F47" s="189"/>
      <c r="G47" s="189"/>
      <c r="H47" s="189"/>
      <c r="I47" s="189"/>
      <c r="J47" s="189"/>
      <c r="K47" s="189"/>
      <c r="L47" s="189"/>
      <c r="M47" s="189"/>
      <c r="N47" s="189"/>
      <c r="O47" s="189"/>
    </row>
  </sheetData>
  <mergeCells count="3">
    <mergeCell ref="J43:O43"/>
    <mergeCell ref="J44:O44"/>
    <mergeCell ref="J45:O45"/>
  </mergeCells>
  <printOptions horizontalCentered="1" verticalCentered="1"/>
  <pageMargins left="0" right="0" top="0" bottom="0" header="0" footer="0"/>
  <pageSetup paperSize="9" scale="54" orientation="landscape"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F72"/>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190" customWidth="1"/>
    <col min="2" max="2" width="44.77734375" style="190" customWidth="1"/>
    <col min="3" max="7" width="16.77734375" style="190"/>
    <col min="8" max="9" width="2" style="190" customWidth="1"/>
    <col min="10" max="14" width="16.77734375" style="190"/>
    <col min="15" max="16" width="2" style="190" customWidth="1"/>
    <col min="17" max="21" width="16.77734375" style="190"/>
    <col min="22" max="23" width="2" style="190" customWidth="1"/>
    <col min="24" max="16384" width="16.77734375" style="190"/>
  </cols>
  <sheetData>
    <row r="1" spans="2:32" ht="15.6" x14ac:dyDescent="0.4">
      <c r="B1" s="188" t="s">
        <v>342</v>
      </c>
      <c r="C1" s="189"/>
      <c r="D1" s="189"/>
      <c r="E1" s="189"/>
      <c r="F1" s="189"/>
      <c r="G1" s="189"/>
      <c r="H1" s="189"/>
      <c r="I1" s="189"/>
      <c r="J1" s="189"/>
      <c r="K1" s="189"/>
      <c r="L1" s="189"/>
      <c r="M1" s="189"/>
      <c r="N1" s="189"/>
      <c r="O1" s="189"/>
      <c r="P1" s="189"/>
      <c r="Q1" s="189"/>
      <c r="R1" s="189"/>
      <c r="S1" s="189"/>
      <c r="T1" s="189"/>
      <c r="U1" s="189"/>
      <c r="V1" s="189"/>
      <c r="W1" s="189"/>
      <c r="X1" s="189"/>
      <c r="Y1" s="189"/>
      <c r="Z1" s="189"/>
      <c r="AA1" s="189"/>
      <c r="AB1" s="189"/>
    </row>
    <row r="2" spans="2:32" ht="23.4" x14ac:dyDescent="0.45">
      <c r="B2" s="191" t="s">
        <v>341</v>
      </c>
      <c r="C2" s="189"/>
      <c r="D2" s="189"/>
      <c r="E2" s="189"/>
      <c r="F2" s="189"/>
      <c r="G2" s="189"/>
      <c r="H2" s="189"/>
      <c r="I2" s="189"/>
      <c r="J2" s="189"/>
      <c r="K2" s="189"/>
      <c r="L2" s="189"/>
      <c r="M2" s="189"/>
      <c r="N2" s="189"/>
      <c r="O2" s="189"/>
      <c r="P2" s="189"/>
      <c r="Q2" s="189"/>
      <c r="R2" s="189"/>
      <c r="S2" s="189"/>
      <c r="T2" s="189"/>
      <c r="U2" s="189"/>
      <c r="V2" s="189"/>
      <c r="W2" s="189"/>
      <c r="X2" s="189"/>
      <c r="Y2" s="189"/>
      <c r="Z2" s="189"/>
      <c r="AA2" s="189"/>
      <c r="AB2" s="189"/>
    </row>
    <row r="3" spans="2:32" x14ac:dyDescent="0.3">
      <c r="B3" s="189" t="s">
        <v>343</v>
      </c>
      <c r="C3" s="189"/>
      <c r="D3" s="189"/>
      <c r="E3" s="189"/>
      <c r="F3" s="189"/>
      <c r="G3" s="189"/>
      <c r="H3" s="189"/>
      <c r="I3" s="189"/>
      <c r="J3" s="189"/>
      <c r="K3" s="189"/>
      <c r="L3" s="189"/>
      <c r="M3" s="189"/>
      <c r="N3" s="189"/>
      <c r="O3" s="189"/>
      <c r="P3" s="189"/>
      <c r="Q3" s="189"/>
      <c r="R3" s="189"/>
      <c r="S3" s="189"/>
      <c r="T3" s="189"/>
      <c r="U3" s="189"/>
      <c r="V3" s="189"/>
      <c r="W3" s="189"/>
      <c r="X3" s="189"/>
      <c r="Y3" s="189"/>
      <c r="Z3" s="189"/>
      <c r="AA3" s="189"/>
      <c r="AB3" s="189"/>
    </row>
    <row r="5" spans="2:32" x14ac:dyDescent="0.3">
      <c r="B5" s="192" t="s">
        <v>2622</v>
      </c>
      <c r="C5" s="192"/>
      <c r="D5" s="192"/>
      <c r="E5" s="189"/>
      <c r="F5" s="192"/>
      <c r="G5" s="192"/>
      <c r="H5" s="197"/>
      <c r="J5" s="192" t="s">
        <v>459</v>
      </c>
      <c r="K5" s="304" t="s">
        <v>2529</v>
      </c>
      <c r="L5" s="189"/>
      <c r="M5" s="192"/>
      <c r="N5" s="192"/>
      <c r="O5" s="197"/>
      <c r="Q5" s="192" t="s">
        <v>459</v>
      </c>
      <c r="R5" s="304" t="s">
        <v>2530</v>
      </c>
      <c r="S5" s="189"/>
      <c r="T5" s="192"/>
      <c r="U5" s="192"/>
      <c r="V5" s="197"/>
      <c r="X5" s="192" t="s">
        <v>459</v>
      </c>
      <c r="Y5" s="304" t="s">
        <v>2531</v>
      </c>
      <c r="Z5" s="189"/>
      <c r="AA5" s="192"/>
      <c r="AB5" s="192"/>
    </row>
    <row r="6" spans="2:32" x14ac:dyDescent="0.3">
      <c r="H6" s="197"/>
      <c r="O6" s="197"/>
      <c r="V6" s="197"/>
    </row>
    <row r="7" spans="2:32" x14ac:dyDescent="0.3">
      <c r="B7" s="192" t="s">
        <v>1</v>
      </c>
      <c r="C7" s="110">
        <v>44440</v>
      </c>
      <c r="D7" s="110">
        <f>EDATE(C7,12)</f>
        <v>44805</v>
      </c>
      <c r="E7" s="110">
        <f t="shared" ref="E7:G7" si="0">EDATE(D7,12)</f>
        <v>45170</v>
      </c>
      <c r="F7" s="110">
        <f t="shared" si="0"/>
        <v>45536</v>
      </c>
      <c r="G7" s="110">
        <f t="shared" si="0"/>
        <v>45901</v>
      </c>
      <c r="H7" s="197"/>
      <c r="J7" s="279">
        <v>46266</v>
      </c>
      <c r="K7" s="279">
        <f>EDATE(J7,12)</f>
        <v>46631</v>
      </c>
      <c r="L7" s="279">
        <f t="shared" ref="L7:N7" si="1">EDATE(K7,12)</f>
        <v>46997</v>
      </c>
      <c r="M7" s="279">
        <f t="shared" si="1"/>
        <v>47362</v>
      </c>
      <c r="N7" s="279">
        <f t="shared" si="1"/>
        <v>47727</v>
      </c>
      <c r="O7" s="197"/>
      <c r="Q7" s="279">
        <v>46266</v>
      </c>
      <c r="R7" s="279">
        <f>EDATE(Q7,12)</f>
        <v>46631</v>
      </c>
      <c r="S7" s="279">
        <f t="shared" ref="S7:U7" si="2">EDATE(R7,12)</f>
        <v>46997</v>
      </c>
      <c r="T7" s="279">
        <f t="shared" si="2"/>
        <v>47362</v>
      </c>
      <c r="U7" s="279">
        <f t="shared" si="2"/>
        <v>47727</v>
      </c>
      <c r="V7" s="197"/>
      <c r="X7" s="279">
        <v>46266</v>
      </c>
      <c r="Y7" s="279">
        <f>EDATE(X7,12)</f>
        <v>46631</v>
      </c>
      <c r="Z7" s="279">
        <f t="shared" ref="Z7:AB7" si="3">EDATE(Y7,12)</f>
        <v>46997</v>
      </c>
      <c r="AA7" s="279">
        <f t="shared" si="3"/>
        <v>47362</v>
      </c>
      <c r="AB7" s="279">
        <f t="shared" si="3"/>
        <v>47727</v>
      </c>
    </row>
    <row r="8" spans="2:32" ht="7.05" customHeight="1" x14ac:dyDescent="0.3">
      <c r="H8" s="197"/>
      <c r="O8" s="197"/>
      <c r="V8" s="197"/>
    </row>
    <row r="9" spans="2:32" x14ac:dyDescent="0.3">
      <c r="B9" s="199" t="s">
        <v>20</v>
      </c>
      <c r="H9" s="197"/>
      <c r="O9" s="197"/>
      <c r="V9" s="197"/>
    </row>
    <row r="10" spans="2:32" ht="7.05" customHeight="1" x14ac:dyDescent="0.3">
      <c r="H10" s="197"/>
      <c r="O10" s="197"/>
      <c r="V10" s="197"/>
    </row>
    <row r="11" spans="2:32" x14ac:dyDescent="0.3">
      <c r="B11" s="325" t="s">
        <v>21</v>
      </c>
      <c r="C11" s="301" cm="1">
        <f t="array" ref="C11:G11">_xlfn.XLOOKUP($B11,'BALANCE SHEET'!$B$13:$B$20,'BALANCE SHEET'!$C$13:$G$20)</f>
        <v>4017</v>
      </c>
      <c r="D11" s="301">
        <v>5595.58</v>
      </c>
      <c r="E11" s="301">
        <v>6611.83</v>
      </c>
      <c r="F11" s="301">
        <v>8329</v>
      </c>
      <c r="G11" s="301">
        <v>9562</v>
      </c>
      <c r="H11" s="197"/>
      <c r="J11" s="301">
        <f>('COGS SCHEDULE'!J$9/365)*'WORKING CAPITAL SCHEDULE'!$C$58</f>
        <v>8397.1588806049331</v>
      </c>
      <c r="K11" s="301">
        <f>('COGS SCHEDULE'!K$9/365)*'WORKING CAPITAL SCHEDULE'!$C$58</f>
        <v>9309.2529193454466</v>
      </c>
      <c r="L11" s="301">
        <f>('COGS SCHEDULE'!L$9/365)*'WORKING CAPITAL SCHEDULE'!$C$58</f>
        <v>10321.67730234742</v>
      </c>
      <c r="M11" s="301">
        <f>('COGS SCHEDULE'!M$9/365)*'WORKING CAPITAL SCHEDULE'!$C$58</f>
        <v>11445.468367479609</v>
      </c>
      <c r="N11" s="301">
        <f>('COGS SCHEDULE'!N$9/365)*'WORKING CAPITAL SCHEDULE'!$C$58</f>
        <v>12692.87644977634</v>
      </c>
      <c r="O11" s="197"/>
      <c r="Q11" s="301">
        <f>('COGS SCHEDULE'!Q$9/365)*'WORKING CAPITAL SCHEDULE'!$C$59</f>
        <v>8621.4614226410959</v>
      </c>
      <c r="R11" s="301">
        <f>('COGS SCHEDULE'!R$9/365)*'WORKING CAPITAL SCHEDULE'!$C$59</f>
        <v>9306.1244840469044</v>
      </c>
      <c r="S11" s="301">
        <f>('COGS SCHEDULE'!S$9/365)*'WORKING CAPITAL SCHEDULE'!$C$59</f>
        <v>10045.560590365178</v>
      </c>
      <c r="T11" s="301">
        <f>('COGS SCHEDULE'!T$9/365)*'WORKING CAPITAL SCHEDULE'!$C$59</f>
        <v>10844.151585188914</v>
      </c>
      <c r="U11" s="301">
        <f>('COGS SCHEDULE'!U$9/365)*'WORKING CAPITAL SCHEDULE'!$C$59</f>
        <v>11706.629859598544</v>
      </c>
      <c r="V11" s="197"/>
      <c r="X11" s="301">
        <f>('COGS SCHEDULE'!X$9/365)*'WORKING CAPITAL SCHEDULE'!$C$60</f>
        <v>8805.5209398356183</v>
      </c>
      <c r="Y11" s="301">
        <f>('COGS SCHEDULE'!Y$9/365)*'WORKING CAPITAL SCHEDULE'!$C$60</f>
        <v>9244.2843566904121</v>
      </c>
      <c r="Z11" s="301">
        <f>('COGS SCHEDULE'!Z$9/365)*'WORKING CAPITAL SCHEDULE'!$C$60</f>
        <v>9704.9859443879486</v>
      </c>
      <c r="AA11" s="301">
        <f>('COGS SCHEDULE'!AA$9/365)*'WORKING CAPITAL SCHEDULE'!$C$60</f>
        <v>10188.722611470357</v>
      </c>
      <c r="AB11" s="301">
        <f>('COGS SCHEDULE'!AB$9/365)*'WORKING CAPITAL SCHEDULE'!$C$60</f>
        <v>10696.646111906892</v>
      </c>
    </row>
    <row r="12" spans="2:32" x14ac:dyDescent="0.3">
      <c r="B12" s="194"/>
      <c r="H12" s="197"/>
      <c r="O12" s="197"/>
      <c r="V12" s="197"/>
    </row>
    <row r="13" spans="2:32" x14ac:dyDescent="0.3">
      <c r="B13" s="194" t="s">
        <v>2481</v>
      </c>
      <c r="C13" s="190" cm="1">
        <f t="array" ref="C13:G13">_xlfn.XLOOKUP($B13,'BALANCE SHEET'!$B$13:$B$20,'BALANCE SHEET'!$C$13:$G$20)</f>
        <v>10893</v>
      </c>
      <c r="D13" s="190">
        <v>4963.34</v>
      </c>
      <c r="E13" s="190">
        <v>5836.6</v>
      </c>
      <c r="F13" s="190">
        <v>5485</v>
      </c>
      <c r="G13" s="190">
        <v>2859</v>
      </c>
      <c r="H13" s="197"/>
      <c r="J13" s="311">
        <v>5837</v>
      </c>
      <c r="K13" s="190">
        <f>$J$13</f>
        <v>5837</v>
      </c>
      <c r="L13" s="190">
        <f t="shared" ref="L13:N13" si="4">$J$13</f>
        <v>5837</v>
      </c>
      <c r="M13" s="190">
        <f t="shared" si="4"/>
        <v>5837</v>
      </c>
      <c r="N13" s="190">
        <f t="shared" si="4"/>
        <v>5837</v>
      </c>
      <c r="O13" s="197"/>
      <c r="Q13" s="190">
        <f>AVERAGE(D13:G13)</f>
        <v>4785.9850000000006</v>
      </c>
      <c r="R13" s="190">
        <f>$Q$13</f>
        <v>4785.9850000000006</v>
      </c>
      <c r="S13" s="190">
        <f t="shared" ref="S13:U13" si="5">$Q$13</f>
        <v>4785.9850000000006</v>
      </c>
      <c r="T13" s="190">
        <f t="shared" si="5"/>
        <v>4785.9850000000006</v>
      </c>
      <c r="U13" s="190">
        <f t="shared" si="5"/>
        <v>4785.9850000000006</v>
      </c>
      <c r="V13" s="197"/>
      <c r="X13" s="311">
        <v>2859</v>
      </c>
      <c r="Y13" s="190">
        <f>$X$13</f>
        <v>2859</v>
      </c>
      <c r="Z13" s="190">
        <f t="shared" ref="Z13:AB13" si="6">$X$13</f>
        <v>2859</v>
      </c>
      <c r="AA13" s="190">
        <f t="shared" si="6"/>
        <v>2859</v>
      </c>
      <c r="AB13" s="190">
        <f t="shared" si="6"/>
        <v>2859</v>
      </c>
      <c r="AC13" s="49"/>
      <c r="AD13" s="49"/>
      <c r="AE13" s="49"/>
      <c r="AF13" s="49"/>
    </row>
    <row r="14" spans="2:32" x14ac:dyDescent="0.3">
      <c r="B14" s="359" t="s">
        <v>2758</v>
      </c>
      <c r="C14" s="203">
        <v>0</v>
      </c>
      <c r="D14" s="203">
        <f>D13-C13</f>
        <v>-5929.66</v>
      </c>
      <c r="E14" s="203">
        <f t="shared" ref="E14:G14" si="7">E13-D13</f>
        <v>873.26000000000022</v>
      </c>
      <c r="F14" s="203">
        <f t="shared" si="7"/>
        <v>-351.60000000000036</v>
      </c>
      <c r="G14" s="203">
        <f t="shared" si="7"/>
        <v>-2626</v>
      </c>
      <c r="H14" s="307"/>
      <c r="I14" s="308"/>
      <c r="J14" s="203">
        <f>J13-G13</f>
        <v>2978</v>
      </c>
      <c r="K14" s="203">
        <f>K13-J13</f>
        <v>0</v>
      </c>
      <c r="L14" s="203">
        <f t="shared" ref="L14:N14" si="8">L13-K13</f>
        <v>0</v>
      </c>
      <c r="M14" s="203">
        <f t="shared" si="8"/>
        <v>0</v>
      </c>
      <c r="N14" s="203">
        <f t="shared" si="8"/>
        <v>0</v>
      </c>
      <c r="O14" s="307"/>
      <c r="P14" s="308"/>
      <c r="Q14" s="203">
        <f>Q13-G13</f>
        <v>1926.9850000000006</v>
      </c>
      <c r="R14" s="203">
        <f>R13-Q13</f>
        <v>0</v>
      </c>
      <c r="S14" s="203">
        <f t="shared" ref="S14:U14" si="9">S13-R13</f>
        <v>0</v>
      </c>
      <c r="T14" s="203">
        <f t="shared" si="9"/>
        <v>0</v>
      </c>
      <c r="U14" s="203">
        <f t="shared" si="9"/>
        <v>0</v>
      </c>
      <c r="V14" s="307"/>
      <c r="W14" s="308"/>
      <c r="X14" s="203">
        <f>X13-G13</f>
        <v>0</v>
      </c>
      <c r="Y14" s="203">
        <f>Y13-X13</f>
        <v>0</v>
      </c>
      <c r="Z14" s="203">
        <f t="shared" ref="Z14:AB14" si="10">Z13-Y13</f>
        <v>0</v>
      </c>
      <c r="AA14" s="203">
        <f t="shared" si="10"/>
        <v>0</v>
      </c>
      <c r="AB14" s="203">
        <f t="shared" si="10"/>
        <v>0</v>
      </c>
      <c r="AC14" s="49"/>
      <c r="AD14" s="49"/>
      <c r="AE14" s="49"/>
      <c r="AF14" s="49"/>
    </row>
    <row r="15" spans="2:32" x14ac:dyDescent="0.3">
      <c r="B15" s="194"/>
      <c r="D15" s="49"/>
      <c r="E15" s="49"/>
      <c r="F15" s="49"/>
      <c r="G15" s="49"/>
      <c r="H15" s="197"/>
      <c r="O15" s="197"/>
      <c r="V15" s="197"/>
      <c r="AC15" s="49"/>
      <c r="AD15" s="49"/>
      <c r="AE15" s="49"/>
      <c r="AF15" s="49"/>
    </row>
    <row r="16" spans="2:32" x14ac:dyDescent="0.3">
      <c r="B16" s="194" t="s">
        <v>465</v>
      </c>
      <c r="C16" s="190" cm="1">
        <f t="array" ref="C16:G16">_xlfn.XLOOKUP($B16,'BALANCE SHEET'!$B$13:$B$20,'BALANCE SHEET'!$C$13:$G$20)</f>
        <v>1899</v>
      </c>
      <c r="D16" s="190">
        <v>1871.95</v>
      </c>
      <c r="E16" s="190">
        <v>1433.82</v>
      </c>
      <c r="F16" s="190">
        <v>2310</v>
      </c>
      <c r="G16" s="190">
        <v>1298</v>
      </c>
      <c r="H16" s="197"/>
      <c r="J16" s="311">
        <v>1899</v>
      </c>
      <c r="K16" s="190">
        <f>$J$16</f>
        <v>1899</v>
      </c>
      <c r="L16" s="190">
        <f t="shared" ref="L16:N16" si="11">$J$16</f>
        <v>1899</v>
      </c>
      <c r="M16" s="190">
        <f t="shared" si="11"/>
        <v>1899</v>
      </c>
      <c r="N16" s="190">
        <f t="shared" si="11"/>
        <v>1899</v>
      </c>
      <c r="O16" s="197"/>
      <c r="Q16" s="190">
        <f>AVERAGE(_xlfn.ANCHORARRAY(C16))</f>
        <v>1762.5540000000001</v>
      </c>
      <c r="R16" s="190">
        <f>$Q$16</f>
        <v>1762.5540000000001</v>
      </c>
      <c r="S16" s="190">
        <f t="shared" ref="S16:U16" si="12">$Q$16</f>
        <v>1762.5540000000001</v>
      </c>
      <c r="T16" s="190">
        <f t="shared" si="12"/>
        <v>1762.5540000000001</v>
      </c>
      <c r="U16" s="190">
        <f t="shared" si="12"/>
        <v>1762.5540000000001</v>
      </c>
      <c r="V16" s="197"/>
      <c r="X16" s="311">
        <v>1298</v>
      </c>
      <c r="Y16" s="190">
        <f>$X$16</f>
        <v>1298</v>
      </c>
      <c r="Z16" s="190">
        <f t="shared" ref="Z16:AB16" si="13">$X$16</f>
        <v>1298</v>
      </c>
      <c r="AA16" s="190">
        <f t="shared" si="13"/>
        <v>1298</v>
      </c>
      <c r="AB16" s="190">
        <f t="shared" si="13"/>
        <v>1298</v>
      </c>
      <c r="AC16" s="49"/>
      <c r="AD16" s="49"/>
      <c r="AE16" s="49"/>
      <c r="AF16" s="49"/>
    </row>
    <row r="17" spans="2:32" x14ac:dyDescent="0.3">
      <c r="B17" s="359" t="s">
        <v>2758</v>
      </c>
      <c r="C17" s="203">
        <v>0</v>
      </c>
      <c r="D17" s="203">
        <f>D16-C16</f>
        <v>-27.049999999999955</v>
      </c>
      <c r="E17" s="203">
        <f t="shared" ref="E17:G17" si="14">E16-D16</f>
        <v>-438.13000000000011</v>
      </c>
      <c r="F17" s="203">
        <f t="shared" si="14"/>
        <v>876.18000000000006</v>
      </c>
      <c r="G17" s="203">
        <f t="shared" si="14"/>
        <v>-1012</v>
      </c>
      <c r="H17" s="307"/>
      <c r="I17" s="308"/>
      <c r="J17" s="203">
        <f>J16-G16</f>
        <v>601</v>
      </c>
      <c r="K17" s="203">
        <f>K16-J16</f>
        <v>0</v>
      </c>
      <c r="L17" s="203">
        <f t="shared" ref="L17:N17" si="15">L16-K16</f>
        <v>0</v>
      </c>
      <c r="M17" s="203">
        <f t="shared" si="15"/>
        <v>0</v>
      </c>
      <c r="N17" s="203">
        <f t="shared" si="15"/>
        <v>0</v>
      </c>
      <c r="O17" s="307"/>
      <c r="P17" s="308"/>
      <c r="Q17" s="203">
        <f>Q16-G16</f>
        <v>464.55400000000009</v>
      </c>
      <c r="R17" s="203">
        <f>R16-Q16</f>
        <v>0</v>
      </c>
      <c r="S17" s="203">
        <f t="shared" ref="S17:U17" si="16">S16-R16</f>
        <v>0</v>
      </c>
      <c r="T17" s="203">
        <f t="shared" si="16"/>
        <v>0</v>
      </c>
      <c r="U17" s="203">
        <f t="shared" si="16"/>
        <v>0</v>
      </c>
      <c r="V17" s="307"/>
      <c r="W17" s="308"/>
      <c r="X17" s="203">
        <f>X16-G16</f>
        <v>0</v>
      </c>
      <c r="Y17" s="203">
        <f>Y16-X16</f>
        <v>0</v>
      </c>
      <c r="Z17" s="203">
        <f t="shared" ref="Z17:AB17" si="17">Z16-Y16</f>
        <v>0</v>
      </c>
      <c r="AA17" s="203">
        <f t="shared" si="17"/>
        <v>0</v>
      </c>
      <c r="AB17" s="203">
        <f t="shared" si="17"/>
        <v>0</v>
      </c>
      <c r="AC17" s="49"/>
      <c r="AD17" s="49"/>
      <c r="AE17" s="49"/>
      <c r="AF17" s="49"/>
    </row>
    <row r="18" spans="2:32" x14ac:dyDescent="0.3">
      <c r="B18" s="194"/>
      <c r="D18" s="49"/>
      <c r="E18" s="49"/>
      <c r="F18" s="49"/>
      <c r="G18" s="49"/>
      <c r="H18" s="197"/>
      <c r="O18" s="197"/>
      <c r="V18" s="197"/>
      <c r="AC18" s="49"/>
      <c r="AD18" s="49"/>
      <c r="AE18" s="49"/>
      <c r="AF18" s="49"/>
    </row>
    <row r="19" spans="2:32" x14ac:dyDescent="0.3">
      <c r="B19" s="194" t="s">
        <v>22</v>
      </c>
      <c r="C19" s="190" cm="1">
        <f t="array" ref="C19:G19">_xlfn.XLOOKUP($B19,'BALANCE SHEET'!$B$13:$B$20,'BALANCE SHEET'!$C$13:$G$20)</f>
        <v>2571</v>
      </c>
      <c r="D19" s="190">
        <v>3071.61</v>
      </c>
      <c r="E19" s="190">
        <v>3867.02</v>
      </c>
      <c r="F19" s="190">
        <v>4278</v>
      </c>
      <c r="G19" s="190">
        <v>5890</v>
      </c>
      <c r="H19" s="197"/>
      <c r="J19" s="190">
        <f>(('REVENUE SCHEDULE'!J$13+'OTHER INCOME SCHEDULE'!J$11)/365)*'WORKING CAPITAL SCHEDULE'!$C$66</f>
        <v>4196.1111396320948</v>
      </c>
      <c r="K19" s="190">
        <f>(('REVENUE SCHEDULE'!K$13+'OTHER INCOME SCHEDULE'!K$11)/365)*'WORKING CAPITAL SCHEDULE'!$C$66</f>
        <v>4651.8900537587479</v>
      </c>
      <c r="L19" s="190">
        <f>(('REVENUE SCHEDULE'!L$13+'OTHER INCOME SCHEDULE'!L$11)/365)*'WORKING CAPITAL SCHEDULE'!$C$66</f>
        <v>5157.8046484393344</v>
      </c>
      <c r="M19" s="190">
        <f>(('REVENUE SCHEDULE'!M$13+'OTHER INCOME SCHEDULE'!M$11)/365)*'WORKING CAPITAL SCHEDULE'!$C$66</f>
        <v>5719.3698485347841</v>
      </c>
      <c r="N19" s="190">
        <f>(('REVENUE SCHEDULE'!N$13+'OTHER INCOME SCHEDULE'!N$11)/365)*'WORKING CAPITAL SCHEDULE'!$C$66</f>
        <v>6342.7072206407338</v>
      </c>
      <c r="O19" s="197"/>
      <c r="Q19" s="190">
        <f>(('REVENUE SCHEDULE'!Q$13+'OTHER INCOME SCHEDULE'!Q$11)/365)*'WORKING CAPITAL SCHEDULE'!$C$67</f>
        <v>4877.4431539726029</v>
      </c>
      <c r="R19" s="190">
        <f>(('REVENUE SCHEDULE'!R$13+'OTHER INCOME SCHEDULE'!R$11)/365)*'WORKING CAPITAL SCHEDULE'!$C$67</f>
        <v>5264.7794764273976</v>
      </c>
      <c r="S19" s="190">
        <f>(('REVENUE SCHEDULE'!S$13+'OTHER INCOME SCHEDULE'!S$11)/365)*'WORKING CAPITAL SCHEDULE'!$C$67</f>
        <v>5683.1027046785757</v>
      </c>
      <c r="T19" s="190">
        <f>(('REVENUE SCHEDULE'!T$13+'OTHER INCOME SCHEDULE'!T$11)/365)*'WORKING CAPITAL SCHEDULE'!$C$67</f>
        <v>6134.8917911898479</v>
      </c>
      <c r="U19" s="190">
        <f>(('REVENUE SCHEDULE'!U$13+'OTHER INCOME SCHEDULE'!U$11)/365)*'WORKING CAPITAL SCHEDULE'!$C$67</f>
        <v>6622.8240046220217</v>
      </c>
      <c r="V19" s="197"/>
      <c r="X19" s="190">
        <f>(('REVENUE SCHEDULE'!X$13+'OTHER INCOME SCHEDULE'!X$11)/365)*'WORKING CAPITAL SCHEDULE'!$C$68</f>
        <v>5462.4819726027408</v>
      </c>
      <c r="Y19" s="190">
        <f>(('REVENUE SCHEDULE'!Y$13+'OTHER INCOME SCHEDULE'!Y$11)/365)*'WORKING CAPITAL SCHEDULE'!$C$68</f>
        <v>5734.6677150684936</v>
      </c>
      <c r="Z19" s="190">
        <f>(('REVENUE SCHEDULE'!Z$13+'OTHER INCOME SCHEDULE'!Z$11)/365)*'WORKING CAPITAL SCHEDULE'!$C$68</f>
        <v>6020.4627446575359</v>
      </c>
      <c r="AA19" s="190">
        <f>(('REVENUE SCHEDULE'!AA$13+'OTHER INCOME SCHEDULE'!AA$11)/365)*'WORKING CAPITAL SCHEDULE'!$C$68</f>
        <v>6320.5475257260277</v>
      </c>
      <c r="AB19" s="190">
        <f>(('REVENUE SCHEDULE'!AB$13+'OTHER INCOME SCHEDULE'!AB$11)/365)*'WORKING CAPITAL SCHEDULE'!$C$68</f>
        <v>6635.6365458479477</v>
      </c>
      <c r="AC19" s="49"/>
      <c r="AD19" s="49"/>
      <c r="AE19" s="49"/>
      <c r="AF19" s="49"/>
    </row>
    <row r="20" spans="2:32" x14ac:dyDescent="0.3">
      <c r="B20" s="194"/>
      <c r="D20" s="49"/>
      <c r="E20" s="49"/>
      <c r="F20" s="49"/>
      <c r="G20" s="49"/>
      <c r="H20" s="197"/>
      <c r="O20" s="197"/>
      <c r="V20" s="197"/>
      <c r="AC20" s="49"/>
      <c r="AD20" s="49"/>
      <c r="AE20" s="49"/>
      <c r="AF20" s="49"/>
    </row>
    <row r="21" spans="2:32" x14ac:dyDescent="0.3">
      <c r="B21" s="194" t="s">
        <v>324</v>
      </c>
      <c r="C21" s="190" cm="1">
        <f t="array" ref="C21:G21">_xlfn.XLOOKUP($B21,'BALANCE SHEET'!$B$13:$B$20,'BALANCE SHEET'!$C$13:$G$20)</f>
        <v>1830</v>
      </c>
      <c r="D21" s="190">
        <v>238.64</v>
      </c>
      <c r="E21" s="190">
        <v>779.22</v>
      </c>
      <c r="F21" s="190">
        <v>229</v>
      </c>
      <c r="G21" s="190">
        <v>1206</v>
      </c>
      <c r="H21" s="197"/>
      <c r="J21" s="311">
        <v>1830</v>
      </c>
      <c r="K21" s="190">
        <f>$J$21</f>
        <v>1830</v>
      </c>
      <c r="L21" s="190">
        <f t="shared" ref="L21:N21" si="18">$J$21</f>
        <v>1830</v>
      </c>
      <c r="M21" s="190">
        <f t="shared" si="18"/>
        <v>1830</v>
      </c>
      <c r="N21" s="190">
        <f t="shared" si="18"/>
        <v>1830</v>
      </c>
      <c r="O21" s="197"/>
      <c r="Q21" s="190">
        <f>AVERAGE(_xlfn.ANCHORARRAY(C21))</f>
        <v>856.57199999999989</v>
      </c>
      <c r="R21" s="190">
        <f>$Q$21</f>
        <v>856.57199999999989</v>
      </c>
      <c r="S21" s="190">
        <f t="shared" ref="S21:U21" si="19">$Q$21</f>
        <v>856.57199999999989</v>
      </c>
      <c r="T21" s="190">
        <f t="shared" si="19"/>
        <v>856.57199999999989</v>
      </c>
      <c r="U21" s="190">
        <f t="shared" si="19"/>
        <v>856.57199999999989</v>
      </c>
      <c r="V21" s="197"/>
      <c r="X21" s="190">
        <f>$G$21+($G$21*$X$22)</f>
        <v>1435.14</v>
      </c>
      <c r="Y21" s="190">
        <f t="shared" ref="Y21:AB21" si="20">X$21+(X$21*Y$22)</f>
        <v>1707.8166000000001</v>
      </c>
      <c r="Z21" s="190">
        <f t="shared" si="20"/>
        <v>2032.3017540000001</v>
      </c>
      <c r="AA21" s="190">
        <f t="shared" si="20"/>
        <v>2418.4390872600002</v>
      </c>
      <c r="AB21" s="190">
        <f t="shared" si="20"/>
        <v>2877.9425138394004</v>
      </c>
      <c r="AC21" s="49"/>
      <c r="AD21" s="49"/>
      <c r="AE21" s="49"/>
      <c r="AF21" s="49"/>
    </row>
    <row r="22" spans="2:32" x14ac:dyDescent="0.3">
      <c r="B22" s="359" t="s">
        <v>2758</v>
      </c>
      <c r="C22" s="203">
        <v>0</v>
      </c>
      <c r="D22" s="203">
        <f>D21-C212</f>
        <v>238.64</v>
      </c>
      <c r="E22" s="203">
        <f t="shared" ref="E22:G22" si="21">E21-D212</f>
        <v>779.22</v>
      </c>
      <c r="F22" s="203">
        <f t="shared" si="21"/>
        <v>229</v>
      </c>
      <c r="G22" s="203">
        <f t="shared" si="21"/>
        <v>1206</v>
      </c>
      <c r="H22" s="307"/>
      <c r="I22" s="308"/>
      <c r="J22" s="203">
        <f>J21-G21</f>
        <v>624</v>
      </c>
      <c r="K22" s="203">
        <f>K21-J21</f>
        <v>0</v>
      </c>
      <c r="L22" s="203">
        <f t="shared" ref="L22:N22" si="22">L21-K21</f>
        <v>0</v>
      </c>
      <c r="M22" s="203">
        <f t="shared" si="22"/>
        <v>0</v>
      </c>
      <c r="N22" s="203">
        <f t="shared" si="22"/>
        <v>0</v>
      </c>
      <c r="O22" s="307"/>
      <c r="P22" s="308"/>
      <c r="Q22" s="203">
        <f>Q21-G21</f>
        <v>-349.42800000000011</v>
      </c>
      <c r="R22" s="203">
        <f>R21-Q21</f>
        <v>0</v>
      </c>
      <c r="S22" s="203">
        <f t="shared" ref="S22:U22" si="23">S21-R21</f>
        <v>0</v>
      </c>
      <c r="T22" s="203">
        <f t="shared" si="23"/>
        <v>0</v>
      </c>
      <c r="U22" s="203">
        <f t="shared" si="23"/>
        <v>0</v>
      </c>
      <c r="V22" s="307"/>
      <c r="W22" s="308"/>
      <c r="X22" s="317">
        <v>0.19</v>
      </c>
      <c r="Y22" s="349">
        <f>$X$22</f>
        <v>0.19</v>
      </c>
      <c r="Z22" s="349">
        <f t="shared" ref="Z22:AB22" si="24">$X$22</f>
        <v>0.19</v>
      </c>
      <c r="AA22" s="349">
        <f t="shared" si="24"/>
        <v>0.19</v>
      </c>
      <c r="AB22" s="349">
        <f t="shared" si="24"/>
        <v>0.19</v>
      </c>
      <c r="AC22" s="49"/>
      <c r="AD22" s="49"/>
      <c r="AE22" s="49"/>
      <c r="AF22" s="49"/>
    </row>
    <row r="23" spans="2:32" x14ac:dyDescent="0.3">
      <c r="B23" s="194"/>
      <c r="D23" s="49"/>
      <c r="E23" s="49"/>
      <c r="F23" s="49"/>
      <c r="G23" s="49"/>
      <c r="H23" s="197"/>
      <c r="O23" s="197"/>
      <c r="V23" s="197"/>
      <c r="AC23" s="49"/>
      <c r="AD23" s="49"/>
      <c r="AE23" s="49"/>
      <c r="AF23" s="49"/>
    </row>
    <row r="24" spans="2:32" x14ac:dyDescent="0.3">
      <c r="B24" s="194" t="s">
        <v>24</v>
      </c>
      <c r="C24" s="190" cm="1">
        <f t="array" ref="C24:G24">_xlfn.XLOOKUP($B24,'BALANCE SHEET'!$B$13:$B$20,'BALANCE SHEET'!$C$13:$G$20)</f>
        <v>114</v>
      </c>
      <c r="D24" s="190">
        <v>6.86</v>
      </c>
      <c r="E24" s="190">
        <v>67</v>
      </c>
      <c r="F24" s="190">
        <v>9</v>
      </c>
      <c r="G24" s="190">
        <v>10</v>
      </c>
      <c r="H24" s="197"/>
      <c r="J24" s="311">
        <v>114</v>
      </c>
      <c r="K24" s="190">
        <f>$J$24</f>
        <v>114</v>
      </c>
      <c r="L24" s="190">
        <f t="shared" ref="L24:N24" si="25">$J$24</f>
        <v>114</v>
      </c>
      <c r="M24" s="190">
        <f t="shared" si="25"/>
        <v>114</v>
      </c>
      <c r="N24" s="190">
        <f t="shared" si="25"/>
        <v>114</v>
      </c>
      <c r="O24" s="197"/>
      <c r="Q24" s="190">
        <f>AVERAGE(_xlfn.ANCHORARRAY(C24))</f>
        <v>41.372</v>
      </c>
      <c r="R24" s="190">
        <f>$Q$24</f>
        <v>41.372</v>
      </c>
      <c r="S24" s="190">
        <f t="shared" ref="S24:U24" si="26">$Q$24</f>
        <v>41.372</v>
      </c>
      <c r="T24" s="190">
        <f t="shared" si="26"/>
        <v>41.372</v>
      </c>
      <c r="U24" s="190">
        <f t="shared" si="26"/>
        <v>41.372</v>
      </c>
      <c r="V24" s="197"/>
      <c r="X24" s="311">
        <v>7</v>
      </c>
      <c r="Y24" s="190">
        <f>$X$24</f>
        <v>7</v>
      </c>
      <c r="Z24" s="190">
        <f t="shared" ref="Z24:AB24" si="27">$X$24</f>
        <v>7</v>
      </c>
      <c r="AA24" s="190">
        <f t="shared" si="27"/>
        <v>7</v>
      </c>
      <c r="AB24" s="190">
        <f t="shared" si="27"/>
        <v>7</v>
      </c>
      <c r="AC24" s="49"/>
      <c r="AD24" s="49"/>
      <c r="AE24" s="49"/>
      <c r="AF24" s="49"/>
    </row>
    <row r="25" spans="2:32" x14ac:dyDescent="0.3">
      <c r="B25" s="359" t="s">
        <v>2758</v>
      </c>
      <c r="C25" s="203">
        <v>0</v>
      </c>
      <c r="D25" s="203">
        <f>D24-C24</f>
        <v>-107.14</v>
      </c>
      <c r="E25" s="203">
        <f t="shared" ref="E25:G25" si="28">E24-D24</f>
        <v>60.14</v>
      </c>
      <c r="F25" s="203">
        <f t="shared" si="28"/>
        <v>-58</v>
      </c>
      <c r="G25" s="203">
        <f t="shared" si="28"/>
        <v>1</v>
      </c>
      <c r="H25" s="307"/>
      <c r="I25" s="308"/>
      <c r="J25" s="203">
        <f>J24-G24</f>
        <v>104</v>
      </c>
      <c r="K25" s="203">
        <f>K$24-J$24</f>
        <v>0</v>
      </c>
      <c r="L25" s="203">
        <f t="shared" ref="L25:N25" si="29">L$24-K$24</f>
        <v>0</v>
      </c>
      <c r="M25" s="203">
        <f t="shared" si="29"/>
        <v>0</v>
      </c>
      <c r="N25" s="203">
        <f t="shared" si="29"/>
        <v>0</v>
      </c>
      <c r="O25" s="307"/>
      <c r="P25" s="308"/>
      <c r="Q25" s="203">
        <f>Q24-G24</f>
        <v>31.372</v>
      </c>
      <c r="R25" s="203">
        <f>R24-Q24</f>
        <v>0</v>
      </c>
      <c r="S25" s="203">
        <f t="shared" ref="S25:U25" si="30">S24-R24</f>
        <v>0</v>
      </c>
      <c r="T25" s="203">
        <f t="shared" si="30"/>
        <v>0</v>
      </c>
      <c r="U25" s="203">
        <f t="shared" si="30"/>
        <v>0</v>
      </c>
      <c r="V25" s="307"/>
      <c r="W25" s="308"/>
      <c r="X25" s="203">
        <f>X24-G24</f>
        <v>-3</v>
      </c>
      <c r="Y25" s="203">
        <f>Y24-X24</f>
        <v>0</v>
      </c>
      <c r="Z25" s="203">
        <f t="shared" ref="Z25:AB25" si="31">Z24-Y24</f>
        <v>0</v>
      </c>
      <c r="AA25" s="203">
        <f t="shared" si="31"/>
        <v>0</v>
      </c>
      <c r="AB25" s="203">
        <f t="shared" si="31"/>
        <v>0</v>
      </c>
      <c r="AC25" s="49"/>
      <c r="AD25" s="49"/>
      <c r="AE25" s="49"/>
      <c r="AF25" s="49"/>
    </row>
    <row r="26" spans="2:32" x14ac:dyDescent="0.3">
      <c r="B26" s="194"/>
      <c r="D26" s="49"/>
      <c r="E26" s="49"/>
      <c r="F26" s="49"/>
      <c r="G26" s="49"/>
      <c r="H26" s="197"/>
      <c r="O26" s="197"/>
      <c r="V26" s="197"/>
      <c r="AC26" s="49"/>
      <c r="AD26" s="49"/>
      <c r="AE26" s="49"/>
      <c r="AF26" s="49"/>
    </row>
    <row r="27" spans="2:32" x14ac:dyDescent="0.3">
      <c r="B27" s="194" t="s">
        <v>25</v>
      </c>
      <c r="C27" s="190" cm="1">
        <f t="array" ref="C27:G27">_xlfn.XLOOKUP($B27,'BALANCE SHEET'!$B$13:$B$20,'BALANCE SHEET'!$C$13:$G$20)</f>
        <v>1548</v>
      </c>
      <c r="D27" s="190">
        <v>1613.94</v>
      </c>
      <c r="E27" s="190">
        <v>1818.28</v>
      </c>
      <c r="F27" s="190">
        <v>1948</v>
      </c>
      <c r="G27" s="190">
        <v>2247</v>
      </c>
      <c r="H27" s="197"/>
      <c r="J27" s="190">
        <f>$G$27+$J$28</f>
        <v>2447</v>
      </c>
      <c r="K27" s="190">
        <f>J$27+K$28</f>
        <v>2647</v>
      </c>
      <c r="L27" s="190">
        <f t="shared" ref="L27:N27" si="32">K$27+L$28</f>
        <v>2847</v>
      </c>
      <c r="M27" s="190">
        <f t="shared" si="32"/>
        <v>3047</v>
      </c>
      <c r="N27" s="190">
        <f t="shared" si="32"/>
        <v>3247</v>
      </c>
      <c r="O27" s="197"/>
      <c r="Q27" s="190">
        <f>$G$27+$Q$28</f>
        <v>2421.75</v>
      </c>
      <c r="R27" s="190">
        <f t="shared" ref="R27:U27" si="33">Q$27+R$28</f>
        <v>2596.5</v>
      </c>
      <c r="S27" s="190">
        <f t="shared" si="33"/>
        <v>2771.25</v>
      </c>
      <c r="T27" s="190">
        <f t="shared" si="33"/>
        <v>2946</v>
      </c>
      <c r="U27" s="190">
        <f t="shared" si="33"/>
        <v>3120.75</v>
      </c>
      <c r="V27" s="197"/>
      <c r="X27" s="190">
        <f>$G$27+$X$28</f>
        <v>2237</v>
      </c>
      <c r="Y27" s="190">
        <f t="shared" ref="Y27:AB27" si="34">X$27+Y$28</f>
        <v>2227</v>
      </c>
      <c r="Z27" s="190">
        <f t="shared" si="34"/>
        <v>2217</v>
      </c>
      <c r="AA27" s="190">
        <f t="shared" si="34"/>
        <v>2207</v>
      </c>
      <c r="AB27" s="190">
        <f t="shared" si="34"/>
        <v>2197</v>
      </c>
      <c r="AC27" s="49"/>
      <c r="AD27" s="49"/>
      <c r="AE27" s="49"/>
      <c r="AF27" s="49"/>
    </row>
    <row r="28" spans="2:32" x14ac:dyDescent="0.3">
      <c r="B28" s="350" t="s">
        <v>2758</v>
      </c>
      <c r="C28" s="243">
        <v>0</v>
      </c>
      <c r="D28" s="243">
        <f>D27-C27</f>
        <v>65.940000000000055</v>
      </c>
      <c r="E28" s="243">
        <f t="shared" ref="E28:G28" si="35">E27-D27</f>
        <v>204.33999999999992</v>
      </c>
      <c r="F28" s="243">
        <f t="shared" si="35"/>
        <v>129.72000000000003</v>
      </c>
      <c r="G28" s="243">
        <f t="shared" si="35"/>
        <v>299</v>
      </c>
      <c r="H28" s="307"/>
      <c r="I28" s="308"/>
      <c r="J28" s="440">
        <v>200</v>
      </c>
      <c r="K28" s="243">
        <f>$J$28</f>
        <v>200</v>
      </c>
      <c r="L28" s="243">
        <f t="shared" ref="L28:N28" si="36">$J$28</f>
        <v>200</v>
      </c>
      <c r="M28" s="243">
        <f t="shared" si="36"/>
        <v>200</v>
      </c>
      <c r="N28" s="243">
        <f t="shared" si="36"/>
        <v>200</v>
      </c>
      <c r="O28" s="307"/>
      <c r="P28" s="308"/>
      <c r="Q28" s="243">
        <f>AVERAGE(D28:G28)</f>
        <v>174.75</v>
      </c>
      <c r="R28" s="243">
        <f>$Q$28</f>
        <v>174.75</v>
      </c>
      <c r="S28" s="243">
        <f t="shared" ref="S28:U28" si="37">$Q$28</f>
        <v>174.75</v>
      </c>
      <c r="T28" s="243">
        <f t="shared" si="37"/>
        <v>174.75</v>
      </c>
      <c r="U28" s="243">
        <f t="shared" si="37"/>
        <v>174.75</v>
      </c>
      <c r="V28" s="307"/>
      <c r="W28" s="308"/>
      <c r="X28" s="440">
        <v>-10</v>
      </c>
      <c r="Y28" s="243">
        <f>$X$28</f>
        <v>-10</v>
      </c>
      <c r="Z28" s="243">
        <f t="shared" ref="Z28:AB28" si="38">$X$28</f>
        <v>-10</v>
      </c>
      <c r="AA28" s="243">
        <f t="shared" si="38"/>
        <v>-10</v>
      </c>
      <c r="AB28" s="243">
        <f t="shared" si="38"/>
        <v>-10</v>
      </c>
      <c r="AC28" s="49"/>
      <c r="AD28" s="49"/>
      <c r="AE28" s="49"/>
      <c r="AF28" s="49"/>
    </row>
    <row r="29" spans="2:32" x14ac:dyDescent="0.3">
      <c r="H29" s="197"/>
      <c r="O29" s="197"/>
      <c r="V29" s="197"/>
    </row>
    <row r="30" spans="2:32" x14ac:dyDescent="0.3">
      <c r="B30" s="316" t="s">
        <v>26</v>
      </c>
      <c r="C30" s="316">
        <f>SUM(C11:C27)</f>
        <v>22872</v>
      </c>
      <c r="D30" s="316">
        <f>SUM(D11:D27)</f>
        <v>11536.710000000001</v>
      </c>
      <c r="E30" s="316">
        <f>SUM(E11:E27)</f>
        <v>21688.260000000002</v>
      </c>
      <c r="F30" s="316">
        <f>SUM(F11:F27)</f>
        <v>23283.579999999998</v>
      </c>
      <c r="G30" s="316">
        <f>SUM(G11:G27)</f>
        <v>20641</v>
      </c>
      <c r="H30" s="197"/>
      <c r="J30" s="316">
        <f>SUM(J11:J27)</f>
        <v>29027.270020237029</v>
      </c>
      <c r="K30" s="316">
        <f>SUM(K11:K27)</f>
        <v>26288.142973104194</v>
      </c>
      <c r="L30" s="316">
        <f>SUM(L11:L27)</f>
        <v>28006.481950786754</v>
      </c>
      <c r="M30" s="316">
        <f>SUM(M11:M27)</f>
        <v>29891.838216014396</v>
      </c>
      <c r="N30" s="316">
        <f>SUM(N11:N27)</f>
        <v>31962.583670417072</v>
      </c>
      <c r="O30" s="197"/>
      <c r="Q30" s="316">
        <f>SUM(Q11:Q27)</f>
        <v>25440.620576613699</v>
      </c>
      <c r="R30" s="316">
        <f>SUM(R11:R27)</f>
        <v>24613.886960474301</v>
      </c>
      <c r="S30" s="316">
        <f>SUM(S11:S27)</f>
        <v>25946.396295043753</v>
      </c>
      <c r="T30" s="316">
        <f>SUM(T11:T27)</f>
        <v>27371.526376378763</v>
      </c>
      <c r="U30" s="316">
        <f>SUM(U11:U27)</f>
        <v>28896.686864220563</v>
      </c>
      <c r="V30" s="197"/>
      <c r="X30" s="316">
        <f>SUM(X11:X27)</f>
        <v>22101.332912438356</v>
      </c>
      <c r="Y30" s="316">
        <f>SUM(Y11:Y27)</f>
        <v>23077.958671758901</v>
      </c>
      <c r="Z30" s="316">
        <f>SUM(Z11:Z27)</f>
        <v>24138.940443045485</v>
      </c>
      <c r="AA30" s="316">
        <f>SUM(AA11:AA27)</f>
        <v>25298.899224456385</v>
      </c>
      <c r="AB30" s="316">
        <f>SUM(AB11:AB27)</f>
        <v>26571.415171594239</v>
      </c>
    </row>
    <row r="31" spans="2:32" ht="7.05" customHeight="1" x14ac:dyDescent="0.3">
      <c r="H31" s="197"/>
      <c r="O31" s="197"/>
      <c r="V31" s="197"/>
    </row>
    <row r="32" spans="2:32" x14ac:dyDescent="0.3">
      <c r="B32" s="199" t="s">
        <v>33</v>
      </c>
      <c r="H32" s="197"/>
      <c r="O32" s="197"/>
      <c r="V32" s="197"/>
    </row>
    <row r="33" spans="2:28" ht="7.05" customHeight="1" x14ac:dyDescent="0.3">
      <c r="H33" s="197"/>
      <c r="O33" s="197"/>
      <c r="V33" s="197"/>
    </row>
    <row r="34" spans="2:28" x14ac:dyDescent="0.3">
      <c r="B34" s="325" t="s">
        <v>34</v>
      </c>
      <c r="C34" s="301" cm="1">
        <f t="array" ref="C34:G34">_xlfn.XLOOKUP($B34,'BALANCE SHEET'!$B$44:$B$50,'BALANCE SHEET'!$C$44:$G$50)</f>
        <v>4629</v>
      </c>
      <c r="D34" s="301">
        <v>5862</v>
      </c>
      <c r="E34" s="301">
        <v>7208</v>
      </c>
      <c r="F34" s="301">
        <v>8478</v>
      </c>
      <c r="G34" s="301">
        <v>9326</v>
      </c>
      <c r="H34" s="197"/>
      <c r="J34" s="301">
        <f>('COGS SCHEDULE'!J$9/365)*'WORKING CAPITAL SCHEDULE'!$C$62</f>
        <v>10107.691245172604</v>
      </c>
      <c r="K34" s="301">
        <f>('COGS SCHEDULE'!K$9/365)*'WORKING CAPITAL SCHEDULE'!$C$62</f>
        <v>11205.582217730631</v>
      </c>
      <c r="L34" s="301">
        <f>('COGS SCHEDULE'!L$9/365)*'WORKING CAPITAL SCHEDULE'!$C$62</f>
        <v>12424.241197270041</v>
      </c>
      <c r="M34" s="301">
        <f>('COGS SCHEDULE'!M$9/365)*'WORKING CAPITAL SCHEDULE'!$C$62</f>
        <v>13776.952664558788</v>
      </c>
      <c r="N34" s="301">
        <f>('COGS SCHEDULE'!N$9/365)*'WORKING CAPITAL SCHEDULE'!$C$62</f>
        <v>15278.4623932493</v>
      </c>
      <c r="O34" s="197"/>
      <c r="Q34" s="301">
        <f>('COGS SCHEDULE'!Q$9/365)*'WORKING CAPITAL SCHEDULE'!$C$63</f>
        <v>9067.3990824328757</v>
      </c>
      <c r="R34" s="301">
        <f>('COGS SCHEDULE'!R$9/365)*'WORKING CAPITAL SCHEDULE'!$C$63</f>
        <v>9787.4757504631234</v>
      </c>
      <c r="S34" s="301">
        <f>('COGS SCHEDULE'!S$9/365)*'WORKING CAPITAL SCHEDULE'!$C$63</f>
        <v>10565.15855193579</v>
      </c>
      <c r="T34" s="301">
        <f>('COGS SCHEDULE'!T$9/365)*'WORKING CAPITAL SCHEDULE'!$C$63</f>
        <v>11405.055977526272</v>
      </c>
      <c r="U34" s="301">
        <f>('COGS SCHEDULE'!U$9/365)*'WORKING CAPITAL SCHEDULE'!$C$63</f>
        <v>12312.145197163985</v>
      </c>
      <c r="V34" s="197"/>
      <c r="X34" s="301">
        <f>('COGS SCHEDULE'!X$9/365)*'WORKING CAPITAL SCHEDULE'!$C$64</f>
        <v>8095.3982833972623</v>
      </c>
      <c r="Y34" s="301">
        <f>('COGS SCHEDULE'!Y$9/365)*'WORKING CAPITAL SCHEDULE'!$C$64</f>
        <v>8498.7775537315083</v>
      </c>
      <c r="Z34" s="301">
        <f>('COGS SCHEDULE'!Z$9/365)*'WORKING CAPITAL SCHEDULE'!$C$64</f>
        <v>8922.3257875824675</v>
      </c>
      <c r="AA34" s="301">
        <f>('COGS SCHEDULE'!AA$9/365)*'WORKING CAPITAL SCHEDULE'!$C$64</f>
        <v>9367.0514331259728</v>
      </c>
      <c r="AB34" s="301">
        <f>('COGS SCHEDULE'!AB$9/365)*'WORKING CAPITAL SCHEDULE'!$C$64</f>
        <v>9834.0133609466593</v>
      </c>
    </row>
    <row r="35" spans="2:28" x14ac:dyDescent="0.3">
      <c r="B35" s="194"/>
      <c r="H35" s="197"/>
      <c r="O35" s="197"/>
      <c r="V35" s="197"/>
    </row>
    <row r="36" spans="2:28" x14ac:dyDescent="0.3">
      <c r="B36" s="194" t="s">
        <v>336</v>
      </c>
      <c r="C36" s="190" cm="1">
        <f t="array" ref="C36:G36">_xlfn.XLOOKUP($B36,'BALANCE SHEET'!$B$44:$B$50,'BALANCE SHEET'!$C$44:$G$50)</f>
        <v>5578</v>
      </c>
      <c r="D36" s="190">
        <v>3608.55</v>
      </c>
      <c r="E36" s="190">
        <v>4783.5600000000004</v>
      </c>
      <c r="F36" s="190">
        <v>5326</v>
      </c>
      <c r="G36" s="190">
        <v>6552</v>
      </c>
      <c r="H36" s="197"/>
      <c r="J36" s="190">
        <f>$G$36+$J$37</f>
        <v>6696</v>
      </c>
      <c r="K36" s="190">
        <f>J$36+K$37</f>
        <v>6840</v>
      </c>
      <c r="L36" s="190">
        <f t="shared" ref="L36:N36" si="39">K$36+L$37</f>
        <v>6984</v>
      </c>
      <c r="M36" s="190">
        <f t="shared" si="39"/>
        <v>7128</v>
      </c>
      <c r="N36" s="190">
        <f t="shared" si="39"/>
        <v>7272</v>
      </c>
      <c r="O36" s="197"/>
      <c r="Q36" s="190">
        <f>$G$36+$Q$37</f>
        <v>6795.5</v>
      </c>
      <c r="R36" s="190">
        <f t="shared" ref="R36:U36" si="40">Q$36+R$37</f>
        <v>7039</v>
      </c>
      <c r="S36" s="190">
        <f t="shared" si="40"/>
        <v>7282.5</v>
      </c>
      <c r="T36" s="190">
        <f t="shared" si="40"/>
        <v>7526</v>
      </c>
      <c r="U36" s="190">
        <f t="shared" si="40"/>
        <v>7769.5</v>
      </c>
      <c r="V36" s="197"/>
      <c r="X36" s="190">
        <f>$G$36+$X$37</f>
        <v>6896</v>
      </c>
      <c r="Y36" s="190">
        <f t="shared" ref="Y36:AB36" si="41">X$36+Y$37</f>
        <v>7240</v>
      </c>
      <c r="Z36" s="190">
        <f t="shared" si="41"/>
        <v>7584</v>
      </c>
      <c r="AA36" s="190">
        <f t="shared" si="41"/>
        <v>7928</v>
      </c>
      <c r="AB36" s="190">
        <f t="shared" si="41"/>
        <v>8272</v>
      </c>
    </row>
    <row r="37" spans="2:28" x14ac:dyDescent="0.3">
      <c r="B37" s="359" t="s">
        <v>2758</v>
      </c>
      <c r="C37" s="203">
        <v>0</v>
      </c>
      <c r="D37" s="203">
        <f>D36-C36</f>
        <v>-1969.4499999999998</v>
      </c>
      <c r="E37" s="203">
        <f t="shared" ref="E37:G37" si="42">E36-D36</f>
        <v>1175.0100000000002</v>
      </c>
      <c r="F37" s="203">
        <f t="shared" si="42"/>
        <v>542.4399999999996</v>
      </c>
      <c r="G37" s="203">
        <f t="shared" si="42"/>
        <v>1226</v>
      </c>
      <c r="H37" s="307"/>
      <c r="I37" s="308"/>
      <c r="J37" s="327">
        <v>144</v>
      </c>
      <c r="K37" s="203">
        <f>$J$37</f>
        <v>144</v>
      </c>
      <c r="L37" s="203">
        <f t="shared" ref="L37:N37" si="43">$J$37</f>
        <v>144</v>
      </c>
      <c r="M37" s="203">
        <f t="shared" si="43"/>
        <v>144</v>
      </c>
      <c r="N37" s="203">
        <f t="shared" si="43"/>
        <v>144</v>
      </c>
      <c r="O37" s="307"/>
      <c r="P37" s="308"/>
      <c r="Q37" s="203">
        <f>AVERAGE(D37:G37)</f>
        <v>243.5</v>
      </c>
      <c r="R37" s="203">
        <f>$Q$37</f>
        <v>243.5</v>
      </c>
      <c r="S37" s="203">
        <f t="shared" ref="S37:U37" si="44">$Q$37</f>
        <v>243.5</v>
      </c>
      <c r="T37" s="203">
        <f t="shared" si="44"/>
        <v>243.5</v>
      </c>
      <c r="U37" s="203">
        <f t="shared" si="44"/>
        <v>243.5</v>
      </c>
      <c r="V37" s="307"/>
      <c r="W37" s="308"/>
      <c r="X37" s="327">
        <v>344</v>
      </c>
      <c r="Y37" s="203">
        <f>$X$37</f>
        <v>344</v>
      </c>
      <c r="Z37" s="203">
        <f t="shared" ref="Z37:AB37" si="45">$X$37</f>
        <v>344</v>
      </c>
      <c r="AA37" s="203">
        <f t="shared" si="45"/>
        <v>344</v>
      </c>
      <c r="AB37" s="203">
        <f t="shared" si="45"/>
        <v>344</v>
      </c>
    </row>
    <row r="38" spans="2:28" x14ac:dyDescent="0.3">
      <c r="B38" s="194"/>
      <c r="H38" s="197"/>
      <c r="O38" s="197"/>
      <c r="V38" s="197"/>
    </row>
    <row r="39" spans="2:28" x14ac:dyDescent="0.3">
      <c r="B39" s="194" t="s">
        <v>332</v>
      </c>
      <c r="C39" s="190" cm="1">
        <f t="array" ref="C39:G39">_xlfn.XLOOKUP($B39,'BALANCE SHEET'!$B$44:$B$50,'BALANCE SHEET'!$C$44:$G$50)</f>
        <v>521</v>
      </c>
      <c r="D39" s="190">
        <v>247.98</v>
      </c>
      <c r="E39" s="190">
        <v>204.43</v>
      </c>
      <c r="F39" s="190">
        <v>257</v>
      </c>
      <c r="G39" s="190">
        <v>350</v>
      </c>
      <c r="H39" s="197"/>
      <c r="J39" s="190">
        <f>$G$39+($G$39*$J$40)</f>
        <v>332.5</v>
      </c>
      <c r="K39" s="190">
        <f>J$39+(J$39*K$40)</f>
        <v>315.875</v>
      </c>
      <c r="L39" s="190">
        <f t="shared" ref="L39:N39" si="46">K$39+(K$39*L$40)</f>
        <v>300.08125000000001</v>
      </c>
      <c r="M39" s="190">
        <f t="shared" si="46"/>
        <v>285.07718750000004</v>
      </c>
      <c r="N39" s="190">
        <f t="shared" si="46"/>
        <v>270.82332812500005</v>
      </c>
      <c r="O39" s="197"/>
      <c r="Q39" s="190">
        <f>$G$39+($G$39*$Q$40)</f>
        <v>342.94505268030576</v>
      </c>
      <c r="R39" s="190">
        <f t="shared" ref="R39:U39" si="47">Q$39+(Q$39*R$40)</f>
        <v>336.03231187970772</v>
      </c>
      <c r="S39" s="190">
        <f t="shared" si="47"/>
        <v>329.25891114248941</v>
      </c>
      <c r="T39" s="190">
        <f t="shared" si="47"/>
        <v>322.62204179206043</v>
      </c>
      <c r="U39" s="190">
        <f t="shared" si="47"/>
        <v>316.11895176630276</v>
      </c>
      <c r="V39" s="197"/>
      <c r="X39" s="190">
        <f>$G$39+($G$39*$X$40)</f>
        <v>367.5</v>
      </c>
      <c r="Y39" s="190">
        <f t="shared" ref="Y39:AB39" si="48">X$39+(X$39*Y$40)</f>
        <v>385.875</v>
      </c>
      <c r="Z39" s="190">
        <f t="shared" si="48"/>
        <v>405.16874999999999</v>
      </c>
      <c r="AA39" s="190">
        <f t="shared" si="48"/>
        <v>425.4271875</v>
      </c>
      <c r="AB39" s="190">
        <f t="shared" si="48"/>
        <v>446.69854687500003</v>
      </c>
    </row>
    <row r="40" spans="2:28" x14ac:dyDescent="0.3">
      <c r="B40" s="359" t="s">
        <v>2757</v>
      </c>
      <c r="C40" s="203">
        <v>0</v>
      </c>
      <c r="D40" s="349">
        <f>D39/C39-1</f>
        <v>-0.52403071017274472</v>
      </c>
      <c r="E40" s="349">
        <f t="shared" ref="E40:G40" si="49">E39/D39-1</f>
        <v>-0.17561900153238164</v>
      </c>
      <c r="F40" s="349">
        <f t="shared" si="49"/>
        <v>0.25715403805703652</v>
      </c>
      <c r="G40" s="349">
        <f t="shared" si="49"/>
        <v>0.36186770428015569</v>
      </c>
      <c r="H40" s="307"/>
      <c r="I40" s="308"/>
      <c r="J40" s="317">
        <v>-0.05</v>
      </c>
      <c r="K40" s="349">
        <f>$J$40</f>
        <v>-0.05</v>
      </c>
      <c r="L40" s="349">
        <f t="shared" ref="L40:N40" si="50">$J$40</f>
        <v>-0.05</v>
      </c>
      <c r="M40" s="349">
        <f t="shared" si="50"/>
        <v>-0.05</v>
      </c>
      <c r="N40" s="349">
        <f t="shared" si="50"/>
        <v>-0.05</v>
      </c>
      <c r="O40" s="441"/>
      <c r="P40" s="354"/>
      <c r="Q40" s="349">
        <f>AVERAGE(D40:G40)</f>
        <v>-2.0156992341983537E-2</v>
      </c>
      <c r="R40" s="349">
        <f>$Q$40</f>
        <v>-2.0156992341983537E-2</v>
      </c>
      <c r="S40" s="349">
        <f t="shared" ref="S40:U40" si="51">$Q$40</f>
        <v>-2.0156992341983537E-2</v>
      </c>
      <c r="T40" s="349">
        <f t="shared" si="51"/>
        <v>-2.0156992341983537E-2</v>
      </c>
      <c r="U40" s="349">
        <f t="shared" si="51"/>
        <v>-2.0156992341983537E-2</v>
      </c>
      <c r="V40" s="441"/>
      <c r="W40" s="354"/>
      <c r="X40" s="317">
        <v>0.05</v>
      </c>
      <c r="Y40" s="349">
        <f>$X$40</f>
        <v>0.05</v>
      </c>
      <c r="Z40" s="349">
        <f t="shared" ref="Z40:AB40" si="52">$X$40</f>
        <v>0.05</v>
      </c>
      <c r="AA40" s="349">
        <f t="shared" si="52"/>
        <v>0.05</v>
      </c>
      <c r="AB40" s="349">
        <f t="shared" si="52"/>
        <v>0.05</v>
      </c>
    </row>
    <row r="41" spans="2:28" x14ac:dyDescent="0.3">
      <c r="B41" s="194"/>
      <c r="H41" s="197"/>
      <c r="O41" s="197"/>
      <c r="V41" s="197"/>
    </row>
    <row r="42" spans="2:28" x14ac:dyDescent="0.3">
      <c r="B42" s="194" t="s">
        <v>39</v>
      </c>
      <c r="C42" s="190" cm="1">
        <f t="array" ref="C42:G42">_xlfn.XLOOKUP($B42,'BALANCE SHEET'!$B$44:$B$50,'BALANCE SHEET'!$C$44:$G$50)</f>
        <v>4235</v>
      </c>
      <c r="D42" s="190">
        <v>4899.84</v>
      </c>
      <c r="E42" s="190">
        <v>4544.37</v>
      </c>
      <c r="F42" s="190">
        <v>4990</v>
      </c>
      <c r="G42" s="190">
        <v>7250</v>
      </c>
      <c r="H42" s="197"/>
      <c r="J42" s="190">
        <f>'FINANCE COST SCHEDULE'!J$15</f>
        <v>4050</v>
      </c>
      <c r="K42" s="190">
        <f>'FINANCE COST SCHEDULE'!K$15</f>
        <v>5650</v>
      </c>
      <c r="L42" s="190">
        <f>'FINANCE COST SCHEDULE'!L$15</f>
        <v>7550</v>
      </c>
      <c r="M42" s="190">
        <f>'FINANCE COST SCHEDULE'!M$15</f>
        <v>9550</v>
      </c>
      <c r="N42" s="190">
        <f>'FINANCE COST SCHEDULE'!N$15</f>
        <v>7050</v>
      </c>
      <c r="O42" s="197"/>
      <c r="Q42" s="190">
        <f>'FINANCE COST SCHEDULE'!Q$15</f>
        <v>2250</v>
      </c>
      <c r="R42" s="190">
        <f>'FINANCE COST SCHEDULE'!R$15</f>
        <v>3850</v>
      </c>
      <c r="S42" s="190">
        <f>'FINANCE COST SCHEDULE'!S$15</f>
        <v>7250</v>
      </c>
      <c r="T42" s="190">
        <f>'FINANCE COST SCHEDULE'!T$15</f>
        <v>10950</v>
      </c>
      <c r="U42" s="190">
        <f>'FINANCE COST SCHEDULE'!U$15</f>
        <v>8950</v>
      </c>
      <c r="V42" s="197"/>
      <c r="X42" s="190">
        <f>'FINANCE COST SCHEDULE'!X$15</f>
        <v>3250</v>
      </c>
      <c r="Y42" s="190">
        <f>'FINANCE COST SCHEDULE'!Y$15</f>
        <v>3450</v>
      </c>
      <c r="Z42" s="190">
        <f>'FINANCE COST SCHEDULE'!Z$15</f>
        <v>5450</v>
      </c>
      <c r="AA42" s="190">
        <f>'FINANCE COST SCHEDULE'!AA$15</f>
        <v>8450</v>
      </c>
      <c r="AB42" s="190">
        <f>'FINANCE COST SCHEDULE'!AB$15</f>
        <v>9450</v>
      </c>
    </row>
    <row r="43" spans="2:28" x14ac:dyDescent="0.3">
      <c r="B43" s="194"/>
      <c r="H43" s="197"/>
      <c r="O43" s="197"/>
      <c r="V43" s="197"/>
    </row>
    <row r="44" spans="2:28" x14ac:dyDescent="0.3">
      <c r="B44" s="194" t="s">
        <v>348</v>
      </c>
      <c r="C44" s="190" cm="1">
        <f t="array" ref="C44:G44">_xlfn.XLOOKUP($B44,'BALANCE SHEET'!$B$44:$B$50,'BALANCE SHEET'!$C$44:$G$50)</f>
        <v>0</v>
      </c>
      <c r="D44" s="190">
        <v>117.76</v>
      </c>
      <c r="E44" s="190">
        <v>146.31</v>
      </c>
      <c r="F44" s="190">
        <v>162</v>
      </c>
      <c r="G44" s="190">
        <v>202</v>
      </c>
      <c r="H44" s="197"/>
      <c r="J44" s="190">
        <f>$G$44+$J$45</f>
        <v>227</v>
      </c>
      <c r="K44" s="190">
        <f>J$44+K$45</f>
        <v>252</v>
      </c>
      <c r="L44" s="190">
        <f t="shared" ref="L44:N44" si="53">K$44+L$45</f>
        <v>277</v>
      </c>
      <c r="M44" s="190">
        <f t="shared" si="53"/>
        <v>302</v>
      </c>
      <c r="N44" s="190">
        <f t="shared" si="53"/>
        <v>327</v>
      </c>
      <c r="O44" s="197"/>
      <c r="Q44" s="190">
        <f>$G$44+$Q$45</f>
        <v>252.5</v>
      </c>
      <c r="R44" s="190">
        <f t="shared" ref="R44:U44" si="54">Q$44+R$45</f>
        <v>303</v>
      </c>
      <c r="S44" s="190">
        <f t="shared" si="54"/>
        <v>353.5</v>
      </c>
      <c r="T44" s="190">
        <f t="shared" si="54"/>
        <v>404</v>
      </c>
      <c r="U44" s="190">
        <f t="shared" si="54"/>
        <v>454.5</v>
      </c>
      <c r="V44" s="197"/>
      <c r="X44" s="190">
        <f>$G$44+$X$45</f>
        <v>277</v>
      </c>
      <c r="Y44" s="190">
        <f t="shared" ref="Y44:AB44" si="55">X$44+Y$45</f>
        <v>352</v>
      </c>
      <c r="Z44" s="190">
        <f t="shared" si="55"/>
        <v>427</v>
      </c>
      <c r="AA44" s="190">
        <f t="shared" si="55"/>
        <v>502</v>
      </c>
      <c r="AB44" s="190">
        <f t="shared" si="55"/>
        <v>577</v>
      </c>
    </row>
    <row r="45" spans="2:28" x14ac:dyDescent="0.3">
      <c r="B45" s="359" t="s">
        <v>2758</v>
      </c>
      <c r="C45" s="203">
        <v>0</v>
      </c>
      <c r="D45" s="203">
        <f>D44-C44</f>
        <v>117.76</v>
      </c>
      <c r="E45" s="203">
        <f t="shared" ref="E45:G45" si="56">E44-D44</f>
        <v>28.549999999999997</v>
      </c>
      <c r="F45" s="203">
        <f t="shared" si="56"/>
        <v>15.689999999999998</v>
      </c>
      <c r="G45" s="203">
        <f t="shared" si="56"/>
        <v>40</v>
      </c>
      <c r="H45" s="307"/>
      <c r="I45" s="308"/>
      <c r="J45" s="327">
        <v>25</v>
      </c>
      <c r="K45" s="203">
        <f>$J$45</f>
        <v>25</v>
      </c>
      <c r="L45" s="203">
        <f t="shared" ref="L45:N45" si="57">$J$45</f>
        <v>25</v>
      </c>
      <c r="M45" s="203">
        <f t="shared" si="57"/>
        <v>25</v>
      </c>
      <c r="N45" s="203">
        <f t="shared" si="57"/>
        <v>25</v>
      </c>
      <c r="O45" s="307"/>
      <c r="P45" s="308"/>
      <c r="Q45" s="203">
        <f>AVERAGE(D45:G45)</f>
        <v>50.5</v>
      </c>
      <c r="R45" s="203">
        <f>$Q$45</f>
        <v>50.5</v>
      </c>
      <c r="S45" s="203">
        <f t="shared" ref="S45:U45" si="58">$Q$45</f>
        <v>50.5</v>
      </c>
      <c r="T45" s="203">
        <f t="shared" si="58"/>
        <v>50.5</v>
      </c>
      <c r="U45" s="203">
        <f t="shared" si="58"/>
        <v>50.5</v>
      </c>
      <c r="V45" s="307"/>
      <c r="W45" s="308"/>
      <c r="X45" s="327">
        <v>75</v>
      </c>
      <c r="Y45" s="203">
        <f>$X$45</f>
        <v>75</v>
      </c>
      <c r="Z45" s="203">
        <f t="shared" ref="Z45:AB45" si="59">$X$45</f>
        <v>75</v>
      </c>
      <c r="AA45" s="203">
        <f t="shared" si="59"/>
        <v>75</v>
      </c>
      <c r="AB45" s="203">
        <f t="shared" si="59"/>
        <v>75</v>
      </c>
    </row>
    <row r="46" spans="2:28" x14ac:dyDescent="0.3">
      <c r="B46" s="194"/>
      <c r="H46" s="197"/>
      <c r="O46" s="197"/>
      <c r="V46" s="197"/>
    </row>
    <row r="47" spans="2:28" x14ac:dyDescent="0.3">
      <c r="B47" s="56" t="s">
        <v>337</v>
      </c>
      <c r="C47" s="190" cm="1">
        <f t="array" ref="C47:G47">_xlfn.XLOOKUP($B47,'BALANCE SHEET'!$B$44:$B$50,'BALANCE SHEET'!$C$44:$G$50)</f>
        <v>711</v>
      </c>
      <c r="D47" s="190">
        <v>527.29</v>
      </c>
      <c r="E47" s="190">
        <v>1366.42</v>
      </c>
      <c r="F47" s="190">
        <v>1983</v>
      </c>
      <c r="G47" s="190">
        <v>1989</v>
      </c>
      <c r="H47" s="197"/>
      <c r="J47" s="190">
        <f>'TAX SCHEDULE'!J$29</f>
        <v>2209</v>
      </c>
      <c r="K47" s="190">
        <f>'TAX SCHEDULE'!K$29</f>
        <v>2429</v>
      </c>
      <c r="L47" s="190">
        <f>'TAX SCHEDULE'!L$29</f>
        <v>2649</v>
      </c>
      <c r="M47" s="190">
        <f>'TAX SCHEDULE'!M$29</f>
        <v>2869</v>
      </c>
      <c r="N47" s="190">
        <f>'TAX SCHEDULE'!N$29</f>
        <v>3089</v>
      </c>
      <c r="O47" s="197"/>
      <c r="Q47" s="190">
        <f>'TAX SCHEDULE'!Q$29</f>
        <v>2308.5</v>
      </c>
      <c r="R47" s="190">
        <f>'TAX SCHEDULE'!R$29</f>
        <v>2628</v>
      </c>
      <c r="S47" s="190">
        <f>'TAX SCHEDULE'!S$29</f>
        <v>2947.5</v>
      </c>
      <c r="T47" s="190">
        <f>'TAX SCHEDULE'!T$29</f>
        <v>3267</v>
      </c>
      <c r="U47" s="190">
        <f>'TAX SCHEDULE'!U$29</f>
        <v>3586.5</v>
      </c>
      <c r="V47" s="197"/>
      <c r="X47" s="190">
        <f>'TAX SCHEDULE'!X$29</f>
        <v>2409</v>
      </c>
      <c r="Y47" s="190">
        <f>'TAX SCHEDULE'!Y$29</f>
        <v>2829</v>
      </c>
      <c r="Z47" s="190">
        <f>'TAX SCHEDULE'!Z$29</f>
        <v>3249</v>
      </c>
      <c r="AA47" s="190">
        <f>'TAX SCHEDULE'!AA$29</f>
        <v>3669</v>
      </c>
      <c r="AB47" s="190">
        <f>'TAX SCHEDULE'!AB$29</f>
        <v>4089</v>
      </c>
    </row>
    <row r="48" spans="2:28" x14ac:dyDescent="0.3">
      <c r="B48" s="56"/>
      <c r="H48" s="197"/>
      <c r="O48" s="197"/>
      <c r="V48" s="197"/>
    </row>
    <row r="49" spans="2:28" x14ac:dyDescent="0.3">
      <c r="B49" s="194" t="s">
        <v>338</v>
      </c>
      <c r="C49" s="190" cm="1">
        <f t="array" ref="C49:G49">_xlfn.XLOOKUP($B49,'BALANCE SHEET'!$B$44:$B$50,'BALANCE SHEET'!$C$44:$G$50)</f>
        <v>4600</v>
      </c>
      <c r="D49" s="190">
        <v>4890.9399999999996</v>
      </c>
      <c r="E49" s="190">
        <v>5177.3999999999996</v>
      </c>
      <c r="F49" s="190">
        <v>5706</v>
      </c>
      <c r="G49" s="190">
        <v>6692</v>
      </c>
      <c r="H49" s="197"/>
      <c r="J49" s="190">
        <f>$G$49+$J$50</f>
        <v>7015</v>
      </c>
      <c r="K49" s="190">
        <f>J$49+K$50</f>
        <v>7338</v>
      </c>
      <c r="L49" s="190">
        <f t="shared" ref="L49:N49" si="60">K$49+L$50</f>
        <v>7661</v>
      </c>
      <c r="M49" s="190">
        <f t="shared" si="60"/>
        <v>7984</v>
      </c>
      <c r="N49" s="190">
        <f t="shared" si="60"/>
        <v>8307</v>
      </c>
      <c r="O49" s="197"/>
      <c r="Q49" s="190">
        <f>$G$49+$Q$50</f>
        <v>7215</v>
      </c>
      <c r="R49" s="190">
        <f t="shared" ref="R49:U49" si="61">Q$49+R$50</f>
        <v>7738</v>
      </c>
      <c r="S49" s="190">
        <f t="shared" si="61"/>
        <v>8261</v>
      </c>
      <c r="T49" s="190">
        <f t="shared" si="61"/>
        <v>8784</v>
      </c>
      <c r="U49" s="190">
        <f t="shared" si="61"/>
        <v>9307</v>
      </c>
      <c r="V49" s="197"/>
      <c r="X49" s="190">
        <f>$G$49+$X$50</f>
        <v>7415</v>
      </c>
      <c r="Y49" s="190">
        <f t="shared" ref="Y49:AB49" si="62">X$49+Y$50</f>
        <v>8138</v>
      </c>
      <c r="Z49" s="190">
        <f t="shared" si="62"/>
        <v>8861</v>
      </c>
      <c r="AA49" s="190">
        <f t="shared" si="62"/>
        <v>9584</v>
      </c>
      <c r="AB49" s="190">
        <f t="shared" si="62"/>
        <v>10307</v>
      </c>
    </row>
    <row r="50" spans="2:28" x14ac:dyDescent="0.3">
      <c r="B50" s="350" t="s">
        <v>2758</v>
      </c>
      <c r="C50" s="243">
        <v>0</v>
      </c>
      <c r="D50" s="243">
        <f>D49-C49</f>
        <v>290.9399999999996</v>
      </c>
      <c r="E50" s="243">
        <f t="shared" ref="E50:G50" si="63">E49-D49</f>
        <v>286.46000000000004</v>
      </c>
      <c r="F50" s="243">
        <f t="shared" si="63"/>
        <v>528.60000000000036</v>
      </c>
      <c r="G50" s="243">
        <f t="shared" si="63"/>
        <v>986</v>
      </c>
      <c r="H50" s="307"/>
      <c r="I50" s="308"/>
      <c r="J50" s="440">
        <v>323</v>
      </c>
      <c r="K50" s="243">
        <f>$J$50</f>
        <v>323</v>
      </c>
      <c r="L50" s="243">
        <f t="shared" ref="L50:N50" si="64">$J$50</f>
        <v>323</v>
      </c>
      <c r="M50" s="243">
        <f t="shared" si="64"/>
        <v>323</v>
      </c>
      <c r="N50" s="243">
        <f t="shared" si="64"/>
        <v>323</v>
      </c>
      <c r="O50" s="307"/>
      <c r="P50" s="308"/>
      <c r="Q50" s="243">
        <f>AVERAGE(D50:G50)</f>
        <v>523</v>
      </c>
      <c r="R50" s="243">
        <f>$Q$50</f>
        <v>523</v>
      </c>
      <c r="S50" s="243">
        <f t="shared" ref="S50:U50" si="65">$Q$50</f>
        <v>523</v>
      </c>
      <c r="T50" s="243">
        <f t="shared" si="65"/>
        <v>523</v>
      </c>
      <c r="U50" s="243">
        <f t="shared" si="65"/>
        <v>523</v>
      </c>
      <c r="V50" s="307"/>
      <c r="W50" s="308"/>
      <c r="X50" s="440">
        <v>723</v>
      </c>
      <c r="Y50" s="243">
        <f>$X$50</f>
        <v>723</v>
      </c>
      <c r="Z50" s="243">
        <f t="shared" ref="Z50:AB50" si="66">$X$50</f>
        <v>723</v>
      </c>
      <c r="AA50" s="243">
        <f t="shared" si="66"/>
        <v>723</v>
      </c>
      <c r="AB50" s="243">
        <f t="shared" si="66"/>
        <v>723</v>
      </c>
    </row>
    <row r="51" spans="2:28" x14ac:dyDescent="0.3">
      <c r="H51" s="197"/>
      <c r="O51" s="197"/>
      <c r="V51" s="197"/>
    </row>
    <row r="52" spans="2:28" x14ac:dyDescent="0.3">
      <c r="B52" s="316" t="s">
        <v>35</v>
      </c>
      <c r="C52" s="316">
        <f>SUM(C34:C49)</f>
        <v>20274</v>
      </c>
      <c r="D52" s="316">
        <f t="shared" ref="D52:G52" si="67">SUM(D34:D49)</f>
        <v>18302.145969289824</v>
      </c>
      <c r="E52" s="316">
        <f t="shared" si="67"/>
        <v>24633.874380998473</v>
      </c>
      <c r="F52" s="316">
        <f t="shared" si="67"/>
        <v>27460.387154038053</v>
      </c>
      <c r="G52" s="316">
        <f t="shared" si="67"/>
        <v>33627.361867704283</v>
      </c>
      <c r="H52" s="197"/>
      <c r="J52" s="316">
        <f t="shared" ref="J52:N52" si="68">SUM(J34:J49)</f>
        <v>30806.141245172603</v>
      </c>
      <c r="K52" s="316">
        <f t="shared" si="68"/>
        <v>34199.407217730637</v>
      </c>
      <c r="L52" s="316">
        <f t="shared" si="68"/>
        <v>38014.272447270043</v>
      </c>
      <c r="M52" s="316">
        <f t="shared" si="68"/>
        <v>42063.979852058794</v>
      </c>
      <c r="N52" s="316">
        <f t="shared" si="68"/>
        <v>41763.235721374294</v>
      </c>
      <c r="O52" s="197"/>
      <c r="Q52" s="316">
        <f t="shared" ref="Q52:U52" si="69">SUM(Q34:Q49)</f>
        <v>28525.823978120839</v>
      </c>
      <c r="R52" s="316">
        <f t="shared" si="69"/>
        <v>31975.487905350488</v>
      </c>
      <c r="S52" s="316">
        <f t="shared" si="69"/>
        <v>37282.897306085943</v>
      </c>
      <c r="T52" s="316">
        <f t="shared" si="69"/>
        <v>42952.657862325992</v>
      </c>
      <c r="U52" s="316">
        <f t="shared" si="69"/>
        <v>42989.743991937947</v>
      </c>
      <c r="V52" s="197"/>
      <c r="X52" s="316">
        <f t="shared" ref="X52:AB52" si="70">SUM(X34:X49)</f>
        <v>29128.948283397262</v>
      </c>
      <c r="Y52" s="316">
        <f t="shared" si="70"/>
        <v>31312.702553731509</v>
      </c>
      <c r="Z52" s="316">
        <f t="shared" si="70"/>
        <v>35317.544537582464</v>
      </c>
      <c r="AA52" s="316">
        <f t="shared" si="70"/>
        <v>40344.528620625977</v>
      </c>
      <c r="AB52" s="316">
        <f t="shared" si="70"/>
        <v>43394.761907821652</v>
      </c>
    </row>
    <row r="53" spans="2:28" x14ac:dyDescent="0.3">
      <c r="H53" s="197"/>
      <c r="O53" s="197"/>
      <c r="V53" s="197"/>
    </row>
    <row r="54" spans="2:28" x14ac:dyDescent="0.3">
      <c r="B54" s="200" t="s">
        <v>2623</v>
      </c>
      <c r="C54" s="200">
        <f>C30-C52</f>
        <v>2598</v>
      </c>
      <c r="D54" s="200">
        <f t="shared" ref="D54:G54" si="71">D30-D52</f>
        <v>-6765.4359692898233</v>
      </c>
      <c r="E54" s="200">
        <f t="shared" si="71"/>
        <v>-2945.6143809984715</v>
      </c>
      <c r="F54" s="200">
        <f t="shared" si="71"/>
        <v>-4176.8071540380552</v>
      </c>
      <c r="G54" s="200">
        <f t="shared" si="71"/>
        <v>-12986.361867704283</v>
      </c>
      <c r="H54" s="197"/>
      <c r="J54" s="200">
        <f>J30-J52</f>
        <v>-1778.871224935574</v>
      </c>
      <c r="K54" s="200">
        <f t="shared" ref="K54:N54" si="72">K30-K52</f>
        <v>-7911.2642446264435</v>
      </c>
      <c r="L54" s="200">
        <f t="shared" si="72"/>
        <v>-10007.790496483289</v>
      </c>
      <c r="M54" s="200">
        <f t="shared" si="72"/>
        <v>-12172.141636044398</v>
      </c>
      <c r="N54" s="200">
        <f t="shared" si="72"/>
        <v>-9800.6520509572219</v>
      </c>
      <c r="O54" s="197"/>
      <c r="Q54" s="200">
        <f>Q30-Q52</f>
        <v>-3085.2034015071404</v>
      </c>
      <c r="R54" s="200">
        <f t="shared" ref="R54:U54" si="73">R30-R52</f>
        <v>-7361.600944876187</v>
      </c>
      <c r="S54" s="200">
        <f t="shared" si="73"/>
        <v>-11336.50101104219</v>
      </c>
      <c r="T54" s="200">
        <f t="shared" si="73"/>
        <v>-15581.13148594723</v>
      </c>
      <c r="U54" s="200">
        <f t="shared" si="73"/>
        <v>-14093.057127717384</v>
      </c>
      <c r="V54" s="197"/>
      <c r="X54" s="200">
        <f>X30-X52</f>
        <v>-7027.6153709589053</v>
      </c>
      <c r="Y54" s="200">
        <f t="shared" ref="Y54:AB54" si="74">Y30-Y52</f>
        <v>-8234.7438819726085</v>
      </c>
      <c r="Z54" s="200">
        <f t="shared" si="74"/>
        <v>-11178.604094536979</v>
      </c>
      <c r="AA54" s="200">
        <f t="shared" si="74"/>
        <v>-15045.629396169592</v>
      </c>
      <c r="AB54" s="200">
        <f t="shared" si="74"/>
        <v>-16823.346736227413</v>
      </c>
    </row>
    <row r="55" spans="2:28" x14ac:dyDescent="0.3">
      <c r="H55" s="197"/>
      <c r="O55" s="197"/>
      <c r="V55" s="197"/>
    </row>
    <row r="56" spans="2:28" x14ac:dyDescent="0.3">
      <c r="B56" s="330" t="s">
        <v>2621</v>
      </c>
      <c r="C56" s="330">
        <v>0</v>
      </c>
      <c r="D56" s="330">
        <f>D$54-C$54</f>
        <v>-9363.4359692898233</v>
      </c>
      <c r="E56" s="330">
        <f t="shared" ref="E56" si="75">E$54-D$54</f>
        <v>3819.8215882913519</v>
      </c>
      <c r="F56" s="330">
        <f>F$54+E$54</f>
        <v>-7122.4215350365266</v>
      </c>
      <c r="G56" s="330">
        <f>G54-F54</f>
        <v>-8809.5547136662281</v>
      </c>
      <c r="H56" s="307"/>
      <c r="I56" s="308"/>
      <c r="J56" s="330">
        <f>$J$54-$G$54</f>
        <v>11207.490642768709</v>
      </c>
      <c r="K56" s="330">
        <f>K$54-J$54</f>
        <v>-6132.3930196908696</v>
      </c>
      <c r="L56" s="330">
        <f t="shared" ref="L56:N56" si="76">L$54-K$54</f>
        <v>-2096.5262518568452</v>
      </c>
      <c r="M56" s="330">
        <f t="shared" si="76"/>
        <v>-2164.3511395611094</v>
      </c>
      <c r="N56" s="330">
        <f t="shared" si="76"/>
        <v>2371.4895850871762</v>
      </c>
      <c r="O56" s="307"/>
      <c r="P56" s="308"/>
      <c r="Q56" s="330">
        <f>$Q$54-$G$54</f>
        <v>9901.1584661971428</v>
      </c>
      <c r="R56" s="330">
        <f>R$54-Q$54</f>
        <v>-4276.3975433690466</v>
      </c>
      <c r="S56" s="330">
        <f t="shared" ref="S56:U56" si="77">S$54-R$54</f>
        <v>-3974.9000661660029</v>
      </c>
      <c r="T56" s="330">
        <f t="shared" si="77"/>
        <v>-4244.6304749050396</v>
      </c>
      <c r="U56" s="330">
        <f t="shared" si="77"/>
        <v>1488.0743582298455</v>
      </c>
      <c r="V56" s="307"/>
      <c r="W56" s="308"/>
      <c r="X56" s="330">
        <f>$X$54-$G$54</f>
        <v>5958.746496745378</v>
      </c>
      <c r="Y56" s="330">
        <f>Y$54-X$54</f>
        <v>-1207.1285110137032</v>
      </c>
      <c r="Z56" s="330">
        <f t="shared" ref="Z56:AB56" si="78">Z$54-Y$54</f>
        <v>-2943.8602125643702</v>
      </c>
      <c r="AA56" s="330">
        <f t="shared" si="78"/>
        <v>-3867.0253016326133</v>
      </c>
      <c r="AB56" s="330">
        <f t="shared" si="78"/>
        <v>-1777.7173400578213</v>
      </c>
    </row>
    <row r="58" spans="2:28" x14ac:dyDescent="0.3">
      <c r="B58" s="203" t="s">
        <v>2624</v>
      </c>
      <c r="C58" s="327">
        <v>54</v>
      </c>
      <c r="D58" s="308"/>
      <c r="E58" s="308"/>
      <c r="F58" s="288"/>
      <c r="G58" s="308"/>
      <c r="H58" s="308"/>
      <c r="I58" s="308"/>
      <c r="J58" s="308"/>
      <c r="K58" s="288"/>
      <c r="L58" s="308"/>
      <c r="M58" s="308"/>
      <c r="N58" s="288"/>
      <c r="O58" s="308"/>
      <c r="P58" s="308"/>
      <c r="Q58" s="308"/>
      <c r="R58" s="288"/>
      <c r="S58" s="308"/>
      <c r="T58" s="308"/>
      <c r="U58" s="288"/>
      <c r="V58" s="308"/>
      <c r="W58" s="308"/>
      <c r="X58" s="308"/>
      <c r="Y58" s="288"/>
      <c r="Z58" s="308"/>
      <c r="AA58" s="308"/>
      <c r="AB58" s="288"/>
    </row>
    <row r="59" spans="2:28" x14ac:dyDescent="0.3">
      <c r="B59" s="203" t="s">
        <v>2625</v>
      </c>
      <c r="C59" s="327">
        <v>58</v>
      </c>
      <c r="D59" s="308"/>
      <c r="E59" s="308"/>
      <c r="F59" s="288"/>
      <c r="G59" s="308"/>
      <c r="H59" s="308"/>
      <c r="I59" s="308"/>
      <c r="J59" s="308"/>
      <c r="K59" s="288"/>
      <c r="L59" s="308"/>
      <c r="M59" s="308"/>
      <c r="N59" s="288"/>
      <c r="O59" s="308"/>
      <c r="P59" s="308"/>
      <c r="Q59" s="308"/>
      <c r="R59" s="288"/>
      <c r="S59" s="308"/>
      <c r="T59" s="308"/>
      <c r="U59" s="288"/>
      <c r="V59" s="308"/>
      <c r="W59" s="308"/>
      <c r="X59" s="308"/>
      <c r="Y59" s="288"/>
      <c r="Z59" s="308"/>
      <c r="AA59" s="308"/>
      <c r="AB59" s="288"/>
    </row>
    <row r="60" spans="2:28" x14ac:dyDescent="0.3">
      <c r="B60" s="203" t="s">
        <v>2626</v>
      </c>
      <c r="C60" s="327">
        <v>62</v>
      </c>
      <c r="D60" s="308"/>
      <c r="E60" s="308"/>
      <c r="F60" s="288"/>
      <c r="G60" s="308"/>
      <c r="H60" s="308"/>
      <c r="I60" s="308"/>
      <c r="J60" s="308"/>
      <c r="K60" s="288"/>
      <c r="L60" s="308"/>
      <c r="M60" s="308"/>
      <c r="N60" s="288"/>
      <c r="O60" s="308"/>
      <c r="P60" s="308"/>
      <c r="Q60" s="308"/>
      <c r="R60" s="288"/>
      <c r="S60" s="308"/>
      <c r="T60" s="308"/>
      <c r="U60" s="288"/>
      <c r="V60" s="308"/>
      <c r="W60" s="308"/>
      <c r="X60" s="308"/>
      <c r="Y60" s="288"/>
      <c r="Z60" s="308"/>
      <c r="AA60" s="308"/>
      <c r="AB60" s="288"/>
    </row>
    <row r="61" spans="2:28" x14ac:dyDescent="0.3">
      <c r="B61" s="308"/>
      <c r="C61" s="288"/>
      <c r="D61" s="308"/>
      <c r="E61" s="308"/>
      <c r="F61" s="318"/>
      <c r="G61" s="308"/>
      <c r="H61" s="308"/>
      <c r="I61" s="308"/>
      <c r="J61" s="308"/>
      <c r="K61" s="318"/>
      <c r="L61" s="308"/>
      <c r="M61" s="308"/>
      <c r="N61" s="318"/>
      <c r="O61" s="308"/>
      <c r="P61" s="308"/>
      <c r="Q61" s="308"/>
      <c r="R61" s="308"/>
      <c r="S61" s="308"/>
      <c r="T61" s="308"/>
      <c r="U61" s="308"/>
      <c r="V61" s="308"/>
      <c r="W61" s="308"/>
      <c r="X61" s="308"/>
      <c r="Y61" s="308"/>
      <c r="Z61" s="308"/>
      <c r="AA61" s="308"/>
      <c r="AB61" s="308"/>
    </row>
    <row r="62" spans="2:28" x14ac:dyDescent="0.3">
      <c r="B62" s="203" t="s">
        <v>2627</v>
      </c>
      <c r="C62" s="327">
        <v>65</v>
      </c>
      <c r="D62" s="308"/>
      <c r="E62" s="308"/>
      <c r="F62" s="288"/>
      <c r="G62" s="308"/>
      <c r="H62" s="308"/>
      <c r="I62" s="308"/>
      <c r="J62" s="308"/>
      <c r="K62" s="288"/>
      <c r="L62" s="308"/>
      <c r="M62" s="308"/>
      <c r="N62" s="288"/>
      <c r="O62" s="308"/>
      <c r="P62" s="308"/>
      <c r="Q62" s="308"/>
      <c r="R62" s="288"/>
      <c r="S62" s="308"/>
      <c r="T62" s="308"/>
      <c r="U62" s="308"/>
      <c r="V62" s="308"/>
      <c r="W62" s="308"/>
      <c r="X62" s="308"/>
      <c r="Y62" s="308"/>
      <c r="Z62" s="308"/>
      <c r="AA62" s="308"/>
      <c r="AB62" s="308"/>
    </row>
    <row r="63" spans="2:28" x14ac:dyDescent="0.3">
      <c r="B63" s="203" t="s">
        <v>2628</v>
      </c>
      <c r="C63" s="327">
        <v>61</v>
      </c>
      <c r="D63" s="308"/>
      <c r="E63" s="308"/>
      <c r="F63" s="288"/>
      <c r="G63" s="308"/>
      <c r="H63" s="308"/>
      <c r="I63" s="308"/>
      <c r="J63" s="308"/>
      <c r="K63" s="288"/>
      <c r="L63" s="308"/>
      <c r="M63" s="308"/>
      <c r="N63" s="288"/>
      <c r="O63" s="308"/>
      <c r="P63" s="308"/>
      <c r="Q63" s="308"/>
      <c r="R63" s="288"/>
      <c r="S63" s="308"/>
      <c r="T63" s="308"/>
      <c r="U63" s="308"/>
      <c r="V63" s="308"/>
      <c r="W63" s="308"/>
      <c r="X63" s="308"/>
      <c r="Y63" s="308"/>
      <c r="Z63" s="308"/>
      <c r="AA63" s="308"/>
      <c r="AB63" s="308"/>
    </row>
    <row r="64" spans="2:28" x14ac:dyDescent="0.3">
      <c r="B64" s="203" t="s">
        <v>2629</v>
      </c>
      <c r="C64" s="327">
        <v>57</v>
      </c>
      <c r="D64" s="308"/>
      <c r="E64" s="308"/>
      <c r="F64" s="288"/>
      <c r="G64" s="308"/>
      <c r="H64" s="308"/>
      <c r="I64" s="308"/>
      <c r="J64" s="308"/>
      <c r="K64" s="288"/>
      <c r="L64" s="308"/>
      <c r="M64" s="308"/>
      <c r="N64" s="288"/>
      <c r="O64" s="308"/>
      <c r="P64" s="308"/>
      <c r="Q64" s="308"/>
      <c r="R64" s="288"/>
      <c r="S64" s="308"/>
      <c r="T64" s="308"/>
      <c r="U64" s="308"/>
      <c r="V64" s="308"/>
      <c r="W64" s="308"/>
      <c r="X64" s="308"/>
      <c r="Y64" s="308"/>
      <c r="Z64" s="308"/>
      <c r="AA64" s="308"/>
      <c r="AB64" s="308"/>
    </row>
    <row r="65" spans="2:28" x14ac:dyDescent="0.3">
      <c r="B65" s="308"/>
      <c r="C65" s="288"/>
      <c r="D65" s="308"/>
      <c r="E65" s="308"/>
      <c r="F65" s="288"/>
      <c r="G65" s="308"/>
      <c r="H65" s="308"/>
      <c r="I65" s="308"/>
      <c r="J65" s="308"/>
      <c r="K65" s="288"/>
      <c r="L65" s="308"/>
      <c r="M65" s="308"/>
      <c r="N65" s="288"/>
      <c r="O65" s="308"/>
      <c r="P65" s="308"/>
      <c r="Q65" s="308"/>
      <c r="R65" s="288"/>
      <c r="S65" s="308"/>
      <c r="T65" s="308"/>
      <c r="U65" s="308"/>
      <c r="V65" s="308"/>
      <c r="W65" s="308"/>
      <c r="X65" s="308"/>
      <c r="Y65" s="308"/>
      <c r="Z65" s="308"/>
      <c r="AA65" s="308"/>
      <c r="AB65" s="308"/>
    </row>
    <row r="66" spans="2:28" x14ac:dyDescent="0.3">
      <c r="B66" s="203" t="s">
        <v>2630</v>
      </c>
      <c r="C66" s="327">
        <v>17</v>
      </c>
      <c r="D66" s="308"/>
      <c r="E66" s="308"/>
      <c r="F66" s="288"/>
      <c r="G66" s="308"/>
      <c r="H66" s="308"/>
      <c r="I66" s="308"/>
      <c r="J66" s="308"/>
      <c r="K66" s="288"/>
      <c r="L66" s="308"/>
      <c r="M66" s="308"/>
      <c r="N66" s="288"/>
      <c r="O66" s="308"/>
      <c r="P66" s="308"/>
      <c r="Q66" s="308"/>
      <c r="R66" s="288"/>
      <c r="S66" s="308"/>
      <c r="T66" s="308"/>
      <c r="U66" s="308"/>
      <c r="V66" s="308"/>
      <c r="W66" s="308"/>
      <c r="X66" s="308"/>
      <c r="Y66" s="308"/>
      <c r="Z66" s="308"/>
      <c r="AA66" s="308"/>
      <c r="AB66" s="308"/>
    </row>
    <row r="67" spans="2:28" x14ac:dyDescent="0.3">
      <c r="B67" s="203" t="s">
        <v>2631</v>
      </c>
      <c r="C67" s="327">
        <v>21</v>
      </c>
      <c r="D67" s="308"/>
      <c r="E67" s="308"/>
      <c r="F67" s="288"/>
      <c r="G67" s="308"/>
      <c r="H67" s="308"/>
      <c r="I67" s="308"/>
      <c r="J67" s="308"/>
      <c r="K67" s="288"/>
      <c r="L67" s="308"/>
      <c r="M67" s="308"/>
      <c r="N67" s="288"/>
      <c r="O67" s="308"/>
      <c r="P67" s="308"/>
      <c r="Q67" s="308"/>
      <c r="R67" s="288"/>
      <c r="S67" s="308"/>
      <c r="T67" s="308"/>
      <c r="U67" s="308"/>
      <c r="V67" s="308"/>
      <c r="W67" s="308"/>
      <c r="X67" s="308"/>
      <c r="Y67" s="308"/>
      <c r="Z67" s="308"/>
      <c r="AA67" s="308"/>
      <c r="AB67" s="308"/>
    </row>
    <row r="68" spans="2:28" x14ac:dyDescent="0.3">
      <c r="B68" s="203" t="s">
        <v>2632</v>
      </c>
      <c r="C68" s="327">
        <v>25</v>
      </c>
      <c r="D68" s="308"/>
      <c r="E68" s="308"/>
      <c r="F68" s="288"/>
      <c r="G68" s="308"/>
      <c r="H68" s="308"/>
      <c r="I68" s="308"/>
      <c r="J68" s="308"/>
      <c r="K68" s="288"/>
      <c r="L68" s="308"/>
      <c r="M68" s="308"/>
      <c r="N68" s="288"/>
      <c r="O68" s="308"/>
      <c r="P68" s="308"/>
      <c r="Q68" s="308"/>
      <c r="R68" s="288"/>
      <c r="S68" s="308"/>
      <c r="T68" s="308"/>
      <c r="U68" s="308"/>
      <c r="V68" s="308"/>
      <c r="W68" s="308"/>
      <c r="X68" s="308"/>
      <c r="Y68" s="308"/>
      <c r="Z68" s="308"/>
      <c r="AA68" s="308"/>
      <c r="AB68" s="308"/>
    </row>
    <row r="70" spans="2:28" x14ac:dyDescent="0.3">
      <c r="B70" s="189"/>
      <c r="C70" s="189"/>
      <c r="D70" s="189"/>
      <c r="E70" s="189"/>
      <c r="F70" s="189"/>
      <c r="G70" s="189"/>
      <c r="H70" s="189"/>
      <c r="I70" s="189"/>
      <c r="J70" s="189"/>
      <c r="K70" s="189"/>
      <c r="L70" s="189"/>
      <c r="M70" s="189"/>
      <c r="N70" s="189"/>
      <c r="O70" s="189"/>
      <c r="P70" s="189"/>
      <c r="Q70" s="189"/>
      <c r="R70" s="189"/>
      <c r="S70" s="189"/>
      <c r="T70" s="189"/>
      <c r="U70" s="189"/>
      <c r="V70" s="189"/>
      <c r="W70" s="189"/>
      <c r="X70" s="189"/>
      <c r="Y70" s="189"/>
      <c r="Z70" s="189"/>
      <c r="AA70" s="189"/>
      <c r="AB70" s="189"/>
    </row>
    <row r="72" spans="2:28" x14ac:dyDescent="0.3">
      <c r="B72" s="522" t="s">
        <v>2763</v>
      </c>
      <c r="C72" s="522"/>
      <c r="D72" s="522"/>
      <c r="E72" s="522"/>
      <c r="F72" s="522"/>
      <c r="G72" s="522"/>
      <c r="H72" s="522"/>
      <c r="I72" s="522"/>
      <c r="J72" s="522"/>
      <c r="K72" s="522"/>
      <c r="L72" s="522"/>
      <c r="M72" s="522"/>
      <c r="N72" s="522"/>
      <c r="O72" s="522"/>
      <c r="P72" s="522"/>
      <c r="Q72" s="522"/>
      <c r="R72" s="522"/>
      <c r="S72" s="522"/>
      <c r="T72" s="522"/>
      <c r="U72" s="522"/>
      <c r="V72" s="522"/>
      <c r="W72" s="522"/>
      <c r="X72" s="522"/>
      <c r="Y72" s="522"/>
      <c r="Z72" s="522"/>
      <c r="AA72" s="522"/>
      <c r="AB72" s="522"/>
    </row>
  </sheetData>
  <mergeCells count="1">
    <mergeCell ref="B72:AB72"/>
  </mergeCells>
  <printOptions horizontalCentered="1" verticalCentered="1"/>
  <pageMargins left="0" right="0" top="0" bottom="0" header="0" footer="0"/>
  <pageSetup paperSize="9" scale="36" orientation="landscape" horizontalDpi="1200" verticalDpi="1200" r:id="rId1"/>
  <colBreaks count="1" manualBreakCount="1">
    <brk id="28"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8"/>
  <sheetViews>
    <sheetView zoomScale="70" zoomScaleNormal="70" workbookViewId="0">
      <pane xSplit="2" ySplit="7" topLeftCell="C8" activePane="bottomRight" state="frozen"/>
      <selection activeCell="D55" sqref="D55"/>
      <selection pane="topRight" activeCell="D55" sqref="D55"/>
      <selection pane="bottomLeft" activeCell="D55" sqref="D55"/>
      <selection pane="bottomRight"/>
    </sheetView>
  </sheetViews>
  <sheetFormatPr defaultColWidth="16.77734375" defaultRowHeight="14.4" x14ac:dyDescent="0.3"/>
  <cols>
    <col min="1" max="1" width="2" style="190" customWidth="1"/>
    <col min="2" max="2" width="44.77734375" style="190" customWidth="1"/>
    <col min="3" max="7" width="16.77734375" style="190"/>
    <col min="8" max="9" width="2" style="190" customWidth="1"/>
    <col min="10" max="14" width="16.77734375" style="190"/>
    <col min="15" max="16" width="2" style="190" customWidth="1"/>
    <col min="17" max="21" width="16.77734375" style="190"/>
    <col min="22" max="23" width="2" style="190" customWidth="1"/>
    <col min="24" max="16384" width="16.77734375" style="190"/>
  </cols>
  <sheetData>
    <row r="1" spans="2:28" ht="15.6" x14ac:dyDescent="0.4">
      <c r="B1" s="188" t="s">
        <v>342</v>
      </c>
      <c r="C1" s="189"/>
      <c r="D1" s="189"/>
      <c r="E1" s="189"/>
      <c r="F1" s="189"/>
      <c r="G1" s="189"/>
      <c r="H1" s="189"/>
      <c r="I1" s="189"/>
      <c r="J1" s="189"/>
      <c r="K1" s="189"/>
      <c r="L1" s="189"/>
      <c r="M1" s="189"/>
      <c r="N1" s="189"/>
      <c r="O1" s="189"/>
      <c r="P1" s="189"/>
      <c r="Q1" s="189"/>
      <c r="R1" s="189"/>
      <c r="S1" s="189"/>
      <c r="T1" s="189"/>
      <c r="U1" s="189"/>
      <c r="V1" s="189"/>
      <c r="W1" s="189"/>
      <c r="X1" s="189"/>
      <c r="Y1" s="189"/>
      <c r="Z1" s="189"/>
      <c r="AA1" s="189"/>
      <c r="AB1" s="189"/>
    </row>
    <row r="2" spans="2:28" ht="23.4" x14ac:dyDescent="0.45">
      <c r="B2" s="191" t="s">
        <v>341</v>
      </c>
      <c r="C2" s="189"/>
      <c r="D2" s="189"/>
      <c r="E2" s="189"/>
      <c r="F2" s="189"/>
      <c r="G2" s="189"/>
      <c r="H2" s="189"/>
      <c r="I2" s="189"/>
      <c r="J2" s="189"/>
      <c r="K2" s="189"/>
      <c r="L2" s="189"/>
      <c r="M2" s="189"/>
      <c r="N2" s="189"/>
      <c r="O2" s="189"/>
      <c r="P2" s="189"/>
      <c r="Q2" s="189"/>
      <c r="R2" s="189"/>
      <c r="S2" s="189"/>
      <c r="T2" s="189"/>
      <c r="U2" s="189"/>
      <c r="V2" s="189"/>
      <c r="W2" s="189"/>
      <c r="X2" s="189"/>
      <c r="Y2" s="189"/>
      <c r="Z2" s="189"/>
      <c r="AA2" s="189"/>
      <c r="AB2" s="189"/>
    </row>
    <row r="3" spans="2:28" x14ac:dyDescent="0.3">
      <c r="B3" s="189" t="s">
        <v>343</v>
      </c>
      <c r="C3" s="189"/>
      <c r="D3" s="189"/>
      <c r="E3" s="189"/>
      <c r="F3" s="189"/>
      <c r="G3" s="189"/>
      <c r="H3" s="189"/>
      <c r="I3" s="189"/>
      <c r="J3" s="189"/>
      <c r="K3" s="189"/>
      <c r="L3" s="189"/>
      <c r="M3" s="189"/>
      <c r="N3" s="189"/>
      <c r="O3" s="189"/>
      <c r="P3" s="189"/>
      <c r="Q3" s="189"/>
      <c r="R3" s="189"/>
      <c r="S3" s="189"/>
      <c r="T3" s="189"/>
      <c r="U3" s="189"/>
      <c r="V3" s="189"/>
      <c r="W3" s="189"/>
      <c r="X3" s="189"/>
      <c r="Y3" s="189"/>
      <c r="Z3" s="189"/>
      <c r="AA3" s="189"/>
      <c r="AB3" s="189"/>
    </row>
    <row r="5" spans="2:28" x14ac:dyDescent="0.3">
      <c r="B5" s="192" t="s">
        <v>2635</v>
      </c>
      <c r="C5" s="192"/>
      <c r="D5" s="192"/>
      <c r="E5" s="189"/>
      <c r="F5" s="192"/>
      <c r="G5" s="192"/>
      <c r="H5" s="197"/>
      <c r="J5" s="192" t="s">
        <v>459</v>
      </c>
      <c r="K5" s="304" t="s">
        <v>2529</v>
      </c>
      <c r="L5" s="189"/>
      <c r="M5" s="192"/>
      <c r="N5" s="192"/>
      <c r="O5" s="197"/>
      <c r="Q5" s="192" t="s">
        <v>459</v>
      </c>
      <c r="R5" s="304" t="s">
        <v>2530</v>
      </c>
      <c r="S5" s="189"/>
      <c r="T5" s="192"/>
      <c r="U5" s="192"/>
      <c r="V5" s="197"/>
      <c r="X5" s="192" t="s">
        <v>459</v>
      </c>
      <c r="Y5" s="304" t="s">
        <v>2531</v>
      </c>
      <c r="Z5" s="189"/>
      <c r="AA5" s="192"/>
      <c r="AB5" s="192"/>
    </row>
    <row r="6" spans="2:28" x14ac:dyDescent="0.3">
      <c r="H6" s="197"/>
      <c r="O6" s="197"/>
      <c r="V6" s="197"/>
    </row>
    <row r="7" spans="2:28" x14ac:dyDescent="0.3">
      <c r="B7" s="192" t="s">
        <v>1</v>
      </c>
      <c r="C7" s="110">
        <v>44440</v>
      </c>
      <c r="D7" s="110">
        <f>EDATE(C7,12)</f>
        <v>44805</v>
      </c>
      <c r="E7" s="110">
        <f t="shared" ref="E7:G7" si="0">EDATE(D7,12)</f>
        <v>45170</v>
      </c>
      <c r="F7" s="110">
        <f t="shared" si="0"/>
        <v>45536</v>
      </c>
      <c r="G7" s="110">
        <f t="shared" si="0"/>
        <v>45901</v>
      </c>
      <c r="H7" s="197"/>
      <c r="J7" s="279">
        <v>46266</v>
      </c>
      <c r="K7" s="279">
        <f>EDATE(J7,12)</f>
        <v>46631</v>
      </c>
      <c r="L7" s="279">
        <f t="shared" ref="L7:N7" si="1">EDATE(K7,12)</f>
        <v>46997</v>
      </c>
      <c r="M7" s="279">
        <f t="shared" si="1"/>
        <v>47362</v>
      </c>
      <c r="N7" s="279">
        <f t="shared" si="1"/>
        <v>47727</v>
      </c>
      <c r="O7" s="197"/>
      <c r="Q7" s="279">
        <v>46266</v>
      </c>
      <c r="R7" s="279">
        <f>EDATE(Q7,12)</f>
        <v>46631</v>
      </c>
      <c r="S7" s="279">
        <f t="shared" ref="S7:U7" si="2">EDATE(R7,12)</f>
        <v>46997</v>
      </c>
      <c r="T7" s="279">
        <f t="shared" si="2"/>
        <v>47362</v>
      </c>
      <c r="U7" s="279">
        <f t="shared" si="2"/>
        <v>47727</v>
      </c>
      <c r="V7" s="197"/>
      <c r="X7" s="279">
        <v>46266</v>
      </c>
      <c r="Y7" s="279">
        <f>EDATE(X7,12)</f>
        <v>46631</v>
      </c>
      <c r="Z7" s="279">
        <f t="shared" ref="Z7:AB7" si="3">EDATE(Y7,12)</f>
        <v>46997</v>
      </c>
      <c r="AA7" s="279">
        <f t="shared" si="3"/>
        <v>47362</v>
      </c>
      <c r="AB7" s="279">
        <f t="shared" si="3"/>
        <v>47727</v>
      </c>
    </row>
    <row r="8" spans="2:28" ht="7.05" customHeight="1" x14ac:dyDescent="0.3">
      <c r="H8" s="197"/>
      <c r="O8" s="197"/>
      <c r="V8" s="197"/>
    </row>
    <row r="9" spans="2:28" x14ac:dyDescent="0.3">
      <c r="B9" s="199" t="s">
        <v>27</v>
      </c>
      <c r="H9" s="197"/>
      <c r="O9" s="197"/>
      <c r="V9" s="197"/>
    </row>
    <row r="10" spans="2:28" ht="7.05" customHeight="1" x14ac:dyDescent="0.3">
      <c r="H10" s="197"/>
      <c r="O10" s="197"/>
      <c r="V10" s="197"/>
    </row>
    <row r="11" spans="2:28" x14ac:dyDescent="0.3">
      <c r="B11" s="325" t="s">
        <v>345</v>
      </c>
      <c r="C11" s="301" cm="1">
        <f t="array" ref="C11:G11">_xlfn.XLOOKUP($B11,'BALANCE SHEET'!$B$26:$B$34,'BALANCE SHEET'!$C$26:$G$34)</f>
        <v>42291</v>
      </c>
      <c r="D11" s="301">
        <v>42592.19</v>
      </c>
      <c r="E11" s="301">
        <v>46480.28</v>
      </c>
      <c r="F11" s="301">
        <v>50126</v>
      </c>
      <c r="G11" s="301">
        <v>76015</v>
      </c>
      <c r="H11" s="197"/>
      <c r="J11" s="301">
        <f>'DEPRECIATION SCHEDULE'!C$27</f>
        <v>71605.270451851989</v>
      </c>
      <c r="K11" s="301">
        <f>'DEPRECIATION SCHEDULE'!D$27</f>
        <v>85096.025521701216</v>
      </c>
      <c r="L11" s="301">
        <f>'DEPRECIATION SCHEDULE'!E$27</f>
        <v>100189.05244097613</v>
      </c>
      <c r="M11" s="301">
        <f>'DEPRECIATION SCHEDULE'!F$27</f>
        <v>117074.41923689388</v>
      </c>
      <c r="N11" s="301">
        <f>'DEPRECIATION SCHEDULE'!G$27</f>
        <v>132497.99704706515</v>
      </c>
      <c r="O11" s="197"/>
      <c r="Q11" s="301">
        <f>'DEPRECIATION SCHEDULE'!C$37</f>
        <v>70733.662168591996</v>
      </c>
      <c r="R11" s="301">
        <f>'DEPRECIATION SCHEDULE'!D$37</f>
        <v>82822.188625566792</v>
      </c>
      <c r="S11" s="301">
        <f>'DEPRECIATION SCHEDULE'!E$37</f>
        <v>99419.958265065798</v>
      </c>
      <c r="T11" s="301">
        <f>'DEPRECIATION SCHEDULE'!F$37</f>
        <v>117478.09735882282</v>
      </c>
      <c r="U11" s="301">
        <f>'DEPRECIATION SCHEDULE'!G$37</f>
        <v>131897.08192894506</v>
      </c>
      <c r="V11" s="197"/>
      <c r="X11" s="301">
        <f>'DEPRECIATION SCHEDULE'!C$47</f>
        <v>69847.281464345593</v>
      </c>
      <c r="Y11" s="301">
        <f>'DEPRECIATION SCHEDULE'!D$47</f>
        <v>80575.34363903584</v>
      </c>
      <c r="Z11" s="301">
        <f>'DEPRECIATION SCHEDULE'!E$47</f>
        <v>96622.034450822364</v>
      </c>
      <c r="AA11" s="301">
        <f>'DEPRECIATION SCHEDULE'!F$47</f>
        <v>111938.81638632048</v>
      </c>
      <c r="AB11" s="301">
        <f>'DEPRECIATION SCHEDULE'!G$47</f>
        <v>122905.79718240033</v>
      </c>
    </row>
    <row r="12" spans="2:28" x14ac:dyDescent="0.3">
      <c r="B12" s="194"/>
      <c r="H12" s="197"/>
      <c r="O12" s="197"/>
      <c r="V12" s="197"/>
    </row>
    <row r="13" spans="2:28" x14ac:dyDescent="0.3">
      <c r="B13" s="194" t="s">
        <v>318</v>
      </c>
      <c r="C13" s="190" cm="1">
        <f t="array" ref="C13:G13">_xlfn.XLOOKUP($B13,'BALANCE SHEET'!$B$26:$B$34,'BALANCE SHEET'!$C$26:$G$34)</f>
        <v>1334</v>
      </c>
      <c r="D13" s="190">
        <v>1178.5999999999999</v>
      </c>
      <c r="E13" s="190">
        <v>1190.3599999999999</v>
      </c>
      <c r="F13" s="190">
        <v>916</v>
      </c>
      <c r="G13" s="190">
        <v>835</v>
      </c>
      <c r="H13" s="197"/>
      <c r="J13" s="190">
        <f>$G$13+$J$14</f>
        <v>785</v>
      </c>
      <c r="K13" s="190">
        <f>J$13+K$14</f>
        <v>735</v>
      </c>
      <c r="L13" s="190">
        <f t="shared" ref="L13:N13" si="4">K$13+L$14</f>
        <v>685</v>
      </c>
      <c r="M13" s="190">
        <f t="shared" si="4"/>
        <v>635</v>
      </c>
      <c r="N13" s="190">
        <f t="shared" si="4"/>
        <v>585</v>
      </c>
      <c r="O13" s="197"/>
      <c r="Q13" s="190">
        <f>$G$13+$Q$14</f>
        <v>710.25</v>
      </c>
      <c r="R13" s="190">
        <f t="shared" ref="R13:U13" si="5">Q$13+R$14</f>
        <v>585.5</v>
      </c>
      <c r="S13" s="190">
        <f t="shared" si="5"/>
        <v>460.75</v>
      </c>
      <c r="T13" s="190">
        <f t="shared" si="5"/>
        <v>336</v>
      </c>
      <c r="U13" s="190">
        <f t="shared" si="5"/>
        <v>211.25</v>
      </c>
      <c r="V13" s="197"/>
      <c r="X13" s="190">
        <f>$G$13+$X$14</f>
        <v>685</v>
      </c>
      <c r="Y13" s="190">
        <f t="shared" ref="Y13:AB13" si="6">X$13+Y$14</f>
        <v>535</v>
      </c>
      <c r="Z13" s="190">
        <f t="shared" si="6"/>
        <v>385</v>
      </c>
      <c r="AA13" s="190">
        <f t="shared" si="6"/>
        <v>235</v>
      </c>
      <c r="AB13" s="190">
        <f t="shared" si="6"/>
        <v>85</v>
      </c>
    </row>
    <row r="14" spans="2:28" x14ac:dyDescent="0.3">
      <c r="B14" s="359" t="s">
        <v>2758</v>
      </c>
      <c r="C14" s="203">
        <v>0</v>
      </c>
      <c r="D14" s="203">
        <f>D13-C13</f>
        <v>-155.40000000000009</v>
      </c>
      <c r="E14" s="203">
        <f t="shared" ref="E14:G14" si="7">E13-D13</f>
        <v>11.759999999999991</v>
      </c>
      <c r="F14" s="203">
        <f t="shared" si="7"/>
        <v>-274.3599999999999</v>
      </c>
      <c r="G14" s="203">
        <f t="shared" si="7"/>
        <v>-81</v>
      </c>
      <c r="H14" s="307"/>
      <c r="I14" s="308"/>
      <c r="J14" s="327">
        <v>-50</v>
      </c>
      <c r="K14" s="203">
        <f>$J$14</f>
        <v>-50</v>
      </c>
      <c r="L14" s="203">
        <f t="shared" ref="L14:N14" si="8">$J$14</f>
        <v>-50</v>
      </c>
      <c r="M14" s="203">
        <f t="shared" si="8"/>
        <v>-50</v>
      </c>
      <c r="N14" s="203">
        <f t="shared" si="8"/>
        <v>-50</v>
      </c>
      <c r="O14" s="307"/>
      <c r="P14" s="308"/>
      <c r="Q14" s="203">
        <f>AVERAGE(D14:G14)</f>
        <v>-124.75</v>
      </c>
      <c r="R14" s="203">
        <f>$Q$14</f>
        <v>-124.75</v>
      </c>
      <c r="S14" s="203">
        <f t="shared" ref="S14:U14" si="9">$Q$14</f>
        <v>-124.75</v>
      </c>
      <c r="T14" s="203">
        <f t="shared" si="9"/>
        <v>-124.75</v>
      </c>
      <c r="U14" s="203">
        <f t="shared" si="9"/>
        <v>-124.75</v>
      </c>
      <c r="V14" s="307"/>
      <c r="W14" s="308"/>
      <c r="X14" s="327">
        <v>-150</v>
      </c>
      <c r="Y14" s="203">
        <f>$X$14</f>
        <v>-150</v>
      </c>
      <c r="Z14" s="203">
        <f t="shared" ref="Z14:AB14" si="10">$X$14</f>
        <v>-150</v>
      </c>
      <c r="AA14" s="203">
        <f t="shared" si="10"/>
        <v>-150</v>
      </c>
      <c r="AB14" s="203">
        <f t="shared" si="10"/>
        <v>-150</v>
      </c>
    </row>
    <row r="15" spans="2:28" x14ac:dyDescent="0.3">
      <c r="B15" s="194"/>
      <c r="H15" s="197"/>
      <c r="O15" s="197"/>
      <c r="V15" s="197"/>
    </row>
    <row r="16" spans="2:28" x14ac:dyDescent="0.3">
      <c r="B16" s="56" t="s">
        <v>2480</v>
      </c>
      <c r="C16" s="190" cm="1">
        <f t="array" ref="C16:G16">_xlfn.XLOOKUP($B16,'BALANCE SHEET'!$B$26:$B$34,'BALANCE SHEET'!$C$26:$G$34)</f>
        <v>6219</v>
      </c>
      <c r="D16" s="190">
        <v>6250.21</v>
      </c>
      <c r="E16" s="190">
        <v>6329.26</v>
      </c>
      <c r="F16" s="190">
        <v>6345</v>
      </c>
      <c r="G16" s="190">
        <v>7681</v>
      </c>
      <c r="H16" s="197"/>
      <c r="J16" s="190">
        <f>$G$16+$J$17</f>
        <v>8147</v>
      </c>
      <c r="K16" s="190">
        <f>J$16+K$17</f>
        <v>8613</v>
      </c>
      <c r="L16" s="190">
        <f t="shared" ref="L16:N16" si="11">K$16+L$17</f>
        <v>9079</v>
      </c>
      <c r="M16" s="190">
        <f t="shared" si="11"/>
        <v>9545</v>
      </c>
      <c r="N16" s="190">
        <f t="shared" si="11"/>
        <v>10011</v>
      </c>
      <c r="O16" s="197"/>
      <c r="Q16" s="190">
        <f>$G$16+$Q$17</f>
        <v>8046.5</v>
      </c>
      <c r="R16" s="190">
        <f t="shared" ref="R16:U16" si="12">Q$16+R$17</f>
        <v>8412</v>
      </c>
      <c r="S16" s="190">
        <f t="shared" si="12"/>
        <v>8777.5</v>
      </c>
      <c r="T16" s="190">
        <f t="shared" si="12"/>
        <v>9143</v>
      </c>
      <c r="U16" s="190">
        <f t="shared" si="12"/>
        <v>9508.5</v>
      </c>
      <c r="V16" s="197"/>
      <c r="X16" s="190">
        <f>$G$16+$X$17</f>
        <v>7947</v>
      </c>
      <c r="Y16" s="190">
        <f t="shared" ref="Y16:AB16" si="13">X$16+Y$17</f>
        <v>8213</v>
      </c>
      <c r="Z16" s="190">
        <f t="shared" si="13"/>
        <v>8479</v>
      </c>
      <c r="AA16" s="190">
        <f t="shared" si="13"/>
        <v>8745</v>
      </c>
      <c r="AB16" s="190">
        <f t="shared" si="13"/>
        <v>9011</v>
      </c>
    </row>
    <row r="17" spans="2:28" x14ac:dyDescent="0.3">
      <c r="B17" s="359" t="s">
        <v>2758</v>
      </c>
      <c r="C17" s="203">
        <v>0</v>
      </c>
      <c r="D17" s="203">
        <f>D16-C16</f>
        <v>31.210000000000036</v>
      </c>
      <c r="E17" s="203">
        <f t="shared" ref="E17:G17" si="14">E16-D16</f>
        <v>79.050000000000182</v>
      </c>
      <c r="F17" s="203">
        <f t="shared" si="14"/>
        <v>15.739999999999782</v>
      </c>
      <c r="G17" s="203">
        <f t="shared" si="14"/>
        <v>1336</v>
      </c>
      <c r="H17" s="307"/>
      <c r="I17" s="308"/>
      <c r="J17" s="327">
        <v>466</v>
      </c>
      <c r="K17" s="203">
        <f>$J$17</f>
        <v>466</v>
      </c>
      <c r="L17" s="203">
        <f t="shared" ref="L17:N17" si="15">$J$17</f>
        <v>466</v>
      </c>
      <c r="M17" s="203">
        <f t="shared" si="15"/>
        <v>466</v>
      </c>
      <c r="N17" s="203">
        <f t="shared" si="15"/>
        <v>466</v>
      </c>
      <c r="O17" s="307"/>
      <c r="P17" s="308"/>
      <c r="Q17" s="203">
        <f>AVERAGE(D17:G17)</f>
        <v>365.5</v>
      </c>
      <c r="R17" s="203">
        <f>$Q$17</f>
        <v>365.5</v>
      </c>
      <c r="S17" s="203">
        <f t="shared" ref="S17:U17" si="16">$Q$17</f>
        <v>365.5</v>
      </c>
      <c r="T17" s="203">
        <f t="shared" si="16"/>
        <v>365.5</v>
      </c>
      <c r="U17" s="203">
        <f t="shared" si="16"/>
        <v>365.5</v>
      </c>
      <c r="V17" s="307"/>
      <c r="W17" s="308"/>
      <c r="X17" s="327">
        <v>266</v>
      </c>
      <c r="Y17" s="203">
        <f>$X$17</f>
        <v>266</v>
      </c>
      <c r="Z17" s="203">
        <f t="shared" ref="Z17:AB17" si="17">$X$17</f>
        <v>266</v>
      </c>
      <c r="AA17" s="203">
        <f t="shared" si="17"/>
        <v>266</v>
      </c>
      <c r="AB17" s="203">
        <f t="shared" si="17"/>
        <v>266</v>
      </c>
    </row>
    <row r="18" spans="2:28" x14ac:dyDescent="0.3">
      <c r="B18" s="56"/>
      <c r="H18" s="197"/>
      <c r="O18" s="197"/>
      <c r="V18" s="197"/>
    </row>
    <row r="19" spans="2:28" x14ac:dyDescent="0.3">
      <c r="B19" s="194" t="s">
        <v>28</v>
      </c>
      <c r="C19" s="190" cm="1">
        <f t="array" ref="C19:G19">_xlfn.XLOOKUP($B19,'BALANCE SHEET'!$B$26:$B$34,'BALANCE SHEET'!$C$26:$G$34)</f>
        <v>5571</v>
      </c>
      <c r="D19" s="190">
        <v>6208</v>
      </c>
      <c r="E19" s="190">
        <v>6037</v>
      </c>
      <c r="F19" s="190">
        <v>5517</v>
      </c>
      <c r="G19" s="190">
        <v>10076</v>
      </c>
      <c r="H19" s="197"/>
      <c r="J19" s="311">
        <v>7682</v>
      </c>
      <c r="K19" s="190">
        <f>$J$19</f>
        <v>7682</v>
      </c>
      <c r="L19" s="190">
        <f t="shared" ref="L19:N19" si="18">$J$19</f>
        <v>7682</v>
      </c>
      <c r="M19" s="190">
        <f t="shared" si="18"/>
        <v>7682</v>
      </c>
      <c r="N19" s="190">
        <f t="shared" si="18"/>
        <v>7682</v>
      </c>
      <c r="O19" s="197"/>
      <c r="Q19" s="190">
        <f>AVERAGE(_xlfn.ANCHORARRAY(C19))</f>
        <v>6681.8</v>
      </c>
      <c r="R19" s="190">
        <f>$Q$19</f>
        <v>6681.8</v>
      </c>
      <c r="S19" s="190">
        <f t="shared" ref="S19:U19" si="19">$Q$19</f>
        <v>6681.8</v>
      </c>
      <c r="T19" s="190">
        <f t="shared" si="19"/>
        <v>6681.8</v>
      </c>
      <c r="U19" s="190">
        <f t="shared" si="19"/>
        <v>6681.8</v>
      </c>
      <c r="V19" s="197"/>
      <c r="X19" s="311">
        <v>5682</v>
      </c>
      <c r="Y19" s="190">
        <f>$X$19</f>
        <v>5682</v>
      </c>
      <c r="Z19" s="190">
        <f t="shared" ref="Z19:AB19" si="20">$X$19</f>
        <v>5682</v>
      </c>
      <c r="AA19" s="190">
        <f t="shared" si="20"/>
        <v>5682</v>
      </c>
      <c r="AB19" s="190">
        <f t="shared" si="20"/>
        <v>5682</v>
      </c>
    </row>
    <row r="20" spans="2:28" x14ac:dyDescent="0.3">
      <c r="B20" s="359" t="s">
        <v>2758</v>
      </c>
      <c r="C20" s="203">
        <v>0</v>
      </c>
      <c r="D20" s="203">
        <f>D19-C19</f>
        <v>637</v>
      </c>
      <c r="E20" s="203">
        <f t="shared" ref="E20:G20" si="21">E19-D19</f>
        <v>-171</v>
      </c>
      <c r="F20" s="203">
        <f t="shared" si="21"/>
        <v>-520</v>
      </c>
      <c r="G20" s="203">
        <f t="shared" si="21"/>
        <v>4559</v>
      </c>
      <c r="H20" s="307"/>
      <c r="I20" s="308"/>
      <c r="J20" s="203">
        <f>J19-G19</f>
        <v>-2394</v>
      </c>
      <c r="K20" s="203">
        <f>K19-J19</f>
        <v>0</v>
      </c>
      <c r="L20" s="203">
        <f t="shared" ref="L20:N20" si="22">L19-K19</f>
        <v>0</v>
      </c>
      <c r="M20" s="203">
        <f t="shared" si="22"/>
        <v>0</v>
      </c>
      <c r="N20" s="203">
        <f t="shared" si="22"/>
        <v>0</v>
      </c>
      <c r="O20" s="307"/>
      <c r="P20" s="308"/>
      <c r="Q20" s="203">
        <f>Q19-G19</f>
        <v>-3394.2</v>
      </c>
      <c r="R20" s="203">
        <f>R19-Q19</f>
        <v>0</v>
      </c>
      <c r="S20" s="203">
        <f t="shared" ref="S20:U20" si="23">S19-R19</f>
        <v>0</v>
      </c>
      <c r="T20" s="203">
        <f t="shared" si="23"/>
        <v>0</v>
      </c>
      <c r="U20" s="203">
        <f t="shared" si="23"/>
        <v>0</v>
      </c>
      <c r="V20" s="307"/>
      <c r="W20" s="308"/>
      <c r="X20" s="203">
        <f>X19-G19</f>
        <v>-4394</v>
      </c>
      <c r="Y20" s="203">
        <f>Y19-X19</f>
        <v>0</v>
      </c>
      <c r="Z20" s="203">
        <f t="shared" ref="Z20:AB20" si="24">Z19-Y19</f>
        <v>0</v>
      </c>
      <c r="AA20" s="203">
        <f t="shared" si="24"/>
        <v>0</v>
      </c>
      <c r="AB20" s="203">
        <f t="shared" si="24"/>
        <v>0</v>
      </c>
    </row>
    <row r="21" spans="2:28" x14ac:dyDescent="0.3">
      <c r="B21" s="194"/>
      <c r="H21" s="197"/>
      <c r="O21" s="197"/>
      <c r="V21" s="197"/>
    </row>
    <row r="22" spans="2:28" x14ac:dyDescent="0.3">
      <c r="B22" s="194" t="s">
        <v>2481</v>
      </c>
      <c r="C22" s="190" cm="1">
        <f t="array" ref="C22:G22">_xlfn.XLOOKUP($B22,'BALANCE SHEET'!$B$26:$B$34,'BALANCE SHEET'!$C$26:$G$34)</f>
        <v>1255</v>
      </c>
      <c r="D22" s="190">
        <v>1342.26</v>
      </c>
      <c r="E22" s="190">
        <v>584.34</v>
      </c>
      <c r="F22" s="190">
        <v>1795</v>
      </c>
      <c r="G22" s="190">
        <v>1997</v>
      </c>
      <c r="H22" s="197"/>
      <c r="J22" s="190">
        <f>$G$22+$J$23</f>
        <v>2283</v>
      </c>
      <c r="K22" s="190">
        <f>J$22+K$23</f>
        <v>2569</v>
      </c>
      <c r="L22" s="190">
        <f t="shared" ref="L22:N22" si="25">K$22+L$23</f>
        <v>2855</v>
      </c>
      <c r="M22" s="190">
        <f t="shared" si="25"/>
        <v>3141</v>
      </c>
      <c r="N22" s="190">
        <f t="shared" si="25"/>
        <v>3427</v>
      </c>
      <c r="O22" s="197"/>
      <c r="Q22" s="190">
        <f>$G$22+$Q$23</f>
        <v>2182.5</v>
      </c>
      <c r="R22" s="190">
        <f t="shared" ref="R22:U22" si="26">Q$22+R$23</f>
        <v>2368</v>
      </c>
      <c r="S22" s="190">
        <f t="shared" si="26"/>
        <v>2553.5</v>
      </c>
      <c r="T22" s="190">
        <f t="shared" si="26"/>
        <v>2739</v>
      </c>
      <c r="U22" s="190">
        <f t="shared" si="26"/>
        <v>2924.5</v>
      </c>
      <c r="V22" s="197"/>
      <c r="X22" s="190">
        <f>$G$22+$X$23</f>
        <v>2083</v>
      </c>
      <c r="Y22" s="190">
        <f t="shared" ref="Y22:AB22" si="27">X$22+Y$23</f>
        <v>2169</v>
      </c>
      <c r="Z22" s="190">
        <f t="shared" si="27"/>
        <v>2255</v>
      </c>
      <c r="AA22" s="190">
        <f t="shared" si="27"/>
        <v>2341</v>
      </c>
      <c r="AB22" s="190">
        <f t="shared" si="27"/>
        <v>2427</v>
      </c>
    </row>
    <row r="23" spans="2:28" x14ac:dyDescent="0.3">
      <c r="B23" s="359" t="s">
        <v>2758</v>
      </c>
      <c r="C23" s="203">
        <v>0</v>
      </c>
      <c r="D23" s="203">
        <f>D22-C22</f>
        <v>87.259999999999991</v>
      </c>
      <c r="E23" s="203">
        <f t="shared" ref="E23:G23" si="28">E22-D22</f>
        <v>-757.92</v>
      </c>
      <c r="F23" s="203">
        <f t="shared" si="28"/>
        <v>1210.6599999999999</v>
      </c>
      <c r="G23" s="203">
        <f t="shared" si="28"/>
        <v>202</v>
      </c>
      <c r="H23" s="307"/>
      <c r="I23" s="308"/>
      <c r="J23" s="327">
        <v>286</v>
      </c>
      <c r="K23" s="203">
        <f>$J$23</f>
        <v>286</v>
      </c>
      <c r="L23" s="203">
        <f t="shared" ref="L23:N23" si="29">$J$23</f>
        <v>286</v>
      </c>
      <c r="M23" s="203">
        <f t="shared" si="29"/>
        <v>286</v>
      </c>
      <c r="N23" s="203">
        <f t="shared" si="29"/>
        <v>286</v>
      </c>
      <c r="O23" s="307"/>
      <c r="P23" s="308"/>
      <c r="Q23" s="203">
        <f>AVERAGE(D23:G23)</f>
        <v>185.49999999999997</v>
      </c>
      <c r="R23" s="203">
        <f>$Q$23</f>
        <v>185.49999999999997</v>
      </c>
      <c r="S23" s="203">
        <f t="shared" ref="S23:U23" si="30">$Q$23</f>
        <v>185.49999999999997</v>
      </c>
      <c r="T23" s="203">
        <f t="shared" si="30"/>
        <v>185.49999999999997</v>
      </c>
      <c r="U23" s="203">
        <f t="shared" si="30"/>
        <v>185.49999999999997</v>
      </c>
      <c r="V23" s="307"/>
      <c r="W23" s="308"/>
      <c r="X23" s="327">
        <v>86</v>
      </c>
      <c r="Y23" s="203">
        <f>$X$23</f>
        <v>86</v>
      </c>
      <c r="Z23" s="203">
        <f t="shared" ref="Z23:AB23" si="31">$X$23</f>
        <v>86</v>
      </c>
      <c r="AA23" s="203">
        <f t="shared" si="31"/>
        <v>86</v>
      </c>
      <c r="AB23" s="203">
        <f t="shared" si="31"/>
        <v>86</v>
      </c>
    </row>
    <row r="24" spans="2:28" x14ac:dyDescent="0.3">
      <c r="B24" s="194"/>
      <c r="H24" s="197"/>
      <c r="O24" s="197"/>
      <c r="V24" s="197"/>
    </row>
    <row r="25" spans="2:28" x14ac:dyDescent="0.3">
      <c r="B25" s="194" t="s">
        <v>2482</v>
      </c>
      <c r="C25" s="190" cm="1">
        <f t="array" ref="C25:G25">_xlfn.XLOOKUP($B25,'BALANCE SHEET'!$B$26:$B$34,'BALANCE SHEET'!$C$26:$G$34)</f>
        <v>167</v>
      </c>
      <c r="D25" s="190">
        <v>9.59</v>
      </c>
      <c r="E25" s="190">
        <v>9.2200000000000006</v>
      </c>
      <c r="F25" s="190">
        <v>8</v>
      </c>
      <c r="G25" s="190">
        <v>16</v>
      </c>
      <c r="H25" s="197"/>
      <c r="J25" s="311">
        <v>50</v>
      </c>
      <c r="K25" s="190">
        <f>$J$25</f>
        <v>50</v>
      </c>
      <c r="L25" s="190">
        <f t="shared" ref="L25:N25" si="32">$J$25</f>
        <v>50</v>
      </c>
      <c r="M25" s="190">
        <f t="shared" si="32"/>
        <v>50</v>
      </c>
      <c r="N25" s="190">
        <f t="shared" si="32"/>
        <v>50</v>
      </c>
      <c r="O25" s="197"/>
      <c r="Q25" s="190">
        <f>AVERAGE(_xlfn.ANCHORARRAY(C25))</f>
        <v>41.962000000000003</v>
      </c>
      <c r="R25" s="190">
        <f>$Q$25</f>
        <v>41.962000000000003</v>
      </c>
      <c r="S25" s="190">
        <f t="shared" ref="S25:U25" si="33">$Q$25</f>
        <v>41.962000000000003</v>
      </c>
      <c r="T25" s="190">
        <f t="shared" si="33"/>
        <v>41.962000000000003</v>
      </c>
      <c r="U25" s="190">
        <f t="shared" si="33"/>
        <v>41.962000000000003</v>
      </c>
      <c r="V25" s="197"/>
      <c r="X25" s="311">
        <v>2</v>
      </c>
      <c r="Y25" s="190">
        <f>$X$25</f>
        <v>2</v>
      </c>
      <c r="Z25" s="190">
        <f t="shared" ref="Z25:AB25" si="34">$X$25</f>
        <v>2</v>
      </c>
      <c r="AA25" s="190">
        <f t="shared" si="34"/>
        <v>2</v>
      </c>
      <c r="AB25" s="190">
        <f t="shared" si="34"/>
        <v>2</v>
      </c>
    </row>
    <row r="26" spans="2:28" x14ac:dyDescent="0.3">
      <c r="B26" s="194"/>
      <c r="H26" s="197"/>
      <c r="O26" s="197"/>
      <c r="V26" s="197"/>
    </row>
    <row r="27" spans="2:28" x14ac:dyDescent="0.3">
      <c r="B27" s="194" t="s">
        <v>346</v>
      </c>
      <c r="C27" s="190" cm="1">
        <f t="array" ref="C27:G27">_xlfn.XLOOKUP($B27,'BALANCE SHEET'!$B$26:$B$34,'BALANCE SHEET'!$C$26:$G$34)</f>
        <v>1997</v>
      </c>
      <c r="D27" s="190">
        <v>1109.98</v>
      </c>
      <c r="E27" s="190">
        <v>1881.11</v>
      </c>
      <c r="F27" s="190">
        <v>1457</v>
      </c>
      <c r="G27" s="190">
        <v>2933</v>
      </c>
      <c r="H27" s="197"/>
      <c r="J27" s="190">
        <f>$G$27+$J$28</f>
        <v>3267</v>
      </c>
      <c r="K27" s="190">
        <f>J$27+K$28</f>
        <v>3601</v>
      </c>
      <c r="L27" s="190">
        <f t="shared" ref="L27:N27" si="35">K$27+L$28</f>
        <v>3935</v>
      </c>
      <c r="M27" s="190">
        <f t="shared" si="35"/>
        <v>4269</v>
      </c>
      <c r="N27" s="190">
        <f t="shared" si="35"/>
        <v>4603</v>
      </c>
      <c r="O27" s="197"/>
      <c r="Q27" s="190">
        <f>$G$27+$Q$28</f>
        <v>3167</v>
      </c>
      <c r="R27" s="190">
        <f t="shared" ref="R27:U27" si="36">Q$27+R$28</f>
        <v>3401</v>
      </c>
      <c r="S27" s="190">
        <f t="shared" si="36"/>
        <v>3635</v>
      </c>
      <c r="T27" s="190">
        <f t="shared" si="36"/>
        <v>3869</v>
      </c>
      <c r="U27" s="190">
        <f t="shared" si="36"/>
        <v>4103</v>
      </c>
      <c r="V27" s="197"/>
      <c r="X27" s="190">
        <f>$G$27+$X$28</f>
        <v>3067</v>
      </c>
      <c r="Y27" s="190">
        <f t="shared" ref="Y27:AB27" si="37">X$27+Y$28</f>
        <v>3201</v>
      </c>
      <c r="Z27" s="190">
        <f t="shared" si="37"/>
        <v>3335</v>
      </c>
      <c r="AA27" s="190">
        <f t="shared" si="37"/>
        <v>3469</v>
      </c>
      <c r="AB27" s="190">
        <f t="shared" si="37"/>
        <v>3603</v>
      </c>
    </row>
    <row r="28" spans="2:28" x14ac:dyDescent="0.3">
      <c r="B28" s="359" t="s">
        <v>2758</v>
      </c>
      <c r="C28" s="203">
        <v>0</v>
      </c>
      <c r="D28" s="203">
        <f>D27-C27</f>
        <v>-887.02</v>
      </c>
      <c r="E28" s="203">
        <f t="shared" ref="E28:G28" si="38">E27-D27</f>
        <v>771.12999999999988</v>
      </c>
      <c r="F28" s="203">
        <f t="shared" si="38"/>
        <v>-424.1099999999999</v>
      </c>
      <c r="G28" s="203">
        <f t="shared" si="38"/>
        <v>1476</v>
      </c>
      <c r="H28" s="307"/>
      <c r="I28" s="308"/>
      <c r="J28" s="327">
        <v>334</v>
      </c>
      <c r="K28" s="203">
        <f>$J$28</f>
        <v>334</v>
      </c>
      <c r="L28" s="203">
        <f t="shared" ref="L28:N28" si="39">$J$28</f>
        <v>334</v>
      </c>
      <c r="M28" s="203">
        <f t="shared" si="39"/>
        <v>334</v>
      </c>
      <c r="N28" s="203">
        <f t="shared" si="39"/>
        <v>334</v>
      </c>
      <c r="O28" s="307"/>
      <c r="P28" s="308"/>
      <c r="Q28" s="203">
        <f>AVERAGE(D28:G28)</f>
        <v>234</v>
      </c>
      <c r="R28" s="203">
        <f>$Q$28</f>
        <v>234</v>
      </c>
      <c r="S28" s="203">
        <f t="shared" ref="S28:U28" si="40">$Q$28</f>
        <v>234</v>
      </c>
      <c r="T28" s="203">
        <f t="shared" si="40"/>
        <v>234</v>
      </c>
      <c r="U28" s="203">
        <f t="shared" si="40"/>
        <v>234</v>
      </c>
      <c r="V28" s="307"/>
      <c r="W28" s="308"/>
      <c r="X28" s="327">
        <v>134</v>
      </c>
      <c r="Y28" s="203">
        <f>$X$28</f>
        <v>134</v>
      </c>
      <c r="Z28" s="203">
        <f t="shared" ref="Z28:AB28" si="41">$X$28</f>
        <v>134</v>
      </c>
      <c r="AA28" s="203">
        <f t="shared" si="41"/>
        <v>134</v>
      </c>
      <c r="AB28" s="203">
        <f t="shared" si="41"/>
        <v>134</v>
      </c>
    </row>
    <row r="29" spans="2:28" x14ac:dyDescent="0.3">
      <c r="B29" s="194"/>
      <c r="H29" s="197"/>
      <c r="O29" s="197"/>
      <c r="V29" s="197"/>
    </row>
    <row r="30" spans="2:28" x14ac:dyDescent="0.3">
      <c r="B30" s="194" t="s">
        <v>29</v>
      </c>
      <c r="C30" s="190" cm="1">
        <f t="array" ref="C30:G30">_xlfn.XLOOKUP($B30,'BALANCE SHEET'!$B$26:$B$34,'BALANCE SHEET'!$C$26:$G$34)</f>
        <v>2707</v>
      </c>
      <c r="D30" s="190">
        <v>3078.27</v>
      </c>
      <c r="E30" s="190">
        <v>3265.49</v>
      </c>
      <c r="F30" s="190">
        <v>3264</v>
      </c>
      <c r="G30" s="190">
        <v>2991</v>
      </c>
      <c r="H30" s="197"/>
      <c r="J30" s="190">
        <f>$G$30+($G$30*$J$31)</f>
        <v>3140.55</v>
      </c>
      <c r="K30" s="190">
        <f>J$30+(J$30*K$31)</f>
        <v>3297.5775000000003</v>
      </c>
      <c r="L30" s="190">
        <f t="shared" ref="L30:N30" si="42">K$30+(K$30*L$31)</f>
        <v>3462.4563750000002</v>
      </c>
      <c r="M30" s="190">
        <f t="shared" si="42"/>
        <v>3635.5791937500003</v>
      </c>
      <c r="N30" s="190">
        <f t="shared" si="42"/>
        <v>3817.3581534375003</v>
      </c>
      <c r="O30" s="197"/>
      <c r="Q30" s="190">
        <f>$G$30+($G$30*$Q$31)</f>
        <v>3076.150563651046</v>
      </c>
      <c r="R30" s="190">
        <f t="shared" ref="R30:U30" si="43">Q$30+(Q$30*R$31)</f>
        <v>3163.7252725679195</v>
      </c>
      <c r="S30" s="190">
        <f t="shared" si="43"/>
        <v>3253.7931395676578</v>
      </c>
      <c r="T30" s="190">
        <f t="shared" si="43"/>
        <v>3346.4251421882168</v>
      </c>
      <c r="U30" s="190">
        <f t="shared" si="43"/>
        <v>3441.6942786219706</v>
      </c>
      <c r="V30" s="197"/>
      <c r="X30" s="190">
        <f>$G$30+($G$30*$X$31)</f>
        <v>3020.91</v>
      </c>
      <c r="Y30" s="190">
        <f t="shared" ref="Y30:AB30" si="44">X$30+(X$30*Y$31)</f>
        <v>3051.1190999999999</v>
      </c>
      <c r="Z30" s="190">
        <f t="shared" si="44"/>
        <v>3081.6302909999999</v>
      </c>
      <c r="AA30" s="190">
        <f t="shared" si="44"/>
        <v>3112.44659391</v>
      </c>
      <c r="AB30" s="190">
        <f t="shared" si="44"/>
        <v>3143.5710598491</v>
      </c>
    </row>
    <row r="31" spans="2:28" x14ac:dyDescent="0.3">
      <c r="B31" s="350" t="s">
        <v>2757</v>
      </c>
      <c r="C31" s="243">
        <v>0</v>
      </c>
      <c r="D31" s="296">
        <f>D30/C30-1</f>
        <v>0.13715182859253794</v>
      </c>
      <c r="E31" s="296">
        <f t="shared" ref="E31:G31" si="45">E30/D30-1</f>
        <v>6.0819876099237558E-2</v>
      </c>
      <c r="F31" s="296">
        <f t="shared" si="45"/>
        <v>-4.5628680534925969E-4</v>
      </c>
      <c r="G31" s="296">
        <f t="shared" si="45"/>
        <v>-8.3639705882352922E-2</v>
      </c>
      <c r="H31" s="307"/>
      <c r="I31" s="308"/>
      <c r="J31" s="299">
        <v>0.05</v>
      </c>
      <c r="K31" s="296">
        <f>$J$31</f>
        <v>0.05</v>
      </c>
      <c r="L31" s="296">
        <f t="shared" ref="L31:N31" si="46">$J$31</f>
        <v>0.05</v>
      </c>
      <c r="M31" s="296">
        <f t="shared" si="46"/>
        <v>0.05</v>
      </c>
      <c r="N31" s="296">
        <f t="shared" si="46"/>
        <v>0.05</v>
      </c>
      <c r="O31" s="307"/>
      <c r="P31" s="308"/>
      <c r="Q31" s="296">
        <f>AVERAGE(D31:G31)</f>
        <v>2.8468928001018329E-2</v>
      </c>
      <c r="R31" s="296">
        <f>$Q$31</f>
        <v>2.8468928001018329E-2</v>
      </c>
      <c r="S31" s="296">
        <f t="shared" ref="S31:U31" si="47">$Q$31</f>
        <v>2.8468928001018329E-2</v>
      </c>
      <c r="T31" s="296">
        <f t="shared" si="47"/>
        <v>2.8468928001018329E-2</v>
      </c>
      <c r="U31" s="296">
        <f t="shared" si="47"/>
        <v>2.8468928001018329E-2</v>
      </c>
      <c r="V31" s="307"/>
      <c r="W31" s="308"/>
      <c r="X31" s="299">
        <v>0.01</v>
      </c>
      <c r="Y31" s="296">
        <f>$X$31</f>
        <v>0.01</v>
      </c>
      <c r="Z31" s="296">
        <f t="shared" ref="Z31:AB31" si="48">$X$31</f>
        <v>0.01</v>
      </c>
      <c r="AA31" s="296">
        <f t="shared" si="48"/>
        <v>0.01</v>
      </c>
      <c r="AB31" s="296">
        <f t="shared" si="48"/>
        <v>0.01</v>
      </c>
    </row>
    <row r="32" spans="2:28" x14ac:dyDescent="0.3">
      <c r="H32" s="197"/>
      <c r="O32" s="197"/>
      <c r="V32" s="197"/>
    </row>
    <row r="33" spans="2:28" x14ac:dyDescent="0.3">
      <c r="B33" s="316" t="s">
        <v>30</v>
      </c>
      <c r="C33" s="316">
        <f>SUM(C11,C13,C16,C19,C22,C25,C27,C30)</f>
        <v>61541</v>
      </c>
      <c r="D33" s="316">
        <f t="shared" ref="D33:G33" si="49">SUM(D11,D13,D16,D19,D22,D25,D27,D30)</f>
        <v>61769.1</v>
      </c>
      <c r="E33" s="316">
        <f t="shared" si="49"/>
        <v>65777.06</v>
      </c>
      <c r="F33" s="316">
        <f t="shared" si="49"/>
        <v>69428</v>
      </c>
      <c r="G33" s="316">
        <f t="shared" si="49"/>
        <v>102544</v>
      </c>
      <c r="H33" s="197"/>
      <c r="J33" s="316">
        <f t="shared" ref="J33:N33" si="50">SUM(J11,J13,J16,J19,J22,J25,J27,J30)</f>
        <v>96959.820451851992</v>
      </c>
      <c r="K33" s="316">
        <f t="shared" si="50"/>
        <v>111643.60302170122</v>
      </c>
      <c r="L33" s="316">
        <f t="shared" si="50"/>
        <v>127937.50881597612</v>
      </c>
      <c r="M33" s="316">
        <f t="shared" si="50"/>
        <v>146031.99843064387</v>
      </c>
      <c r="N33" s="316">
        <f t="shared" si="50"/>
        <v>162673.35520050264</v>
      </c>
      <c r="O33" s="197"/>
      <c r="Q33" s="316">
        <f t="shared" ref="Q33:U33" si="51">SUM(Q11,Q13,Q16,Q19,Q22,Q25,Q27,Q30)</f>
        <v>94639.82473224304</v>
      </c>
      <c r="R33" s="316">
        <f t="shared" si="51"/>
        <v>107476.17589813471</v>
      </c>
      <c r="S33" s="316">
        <f t="shared" si="51"/>
        <v>124824.26340463346</v>
      </c>
      <c r="T33" s="316">
        <f t="shared" si="51"/>
        <v>143635.28450101102</v>
      </c>
      <c r="U33" s="316">
        <f t="shared" si="51"/>
        <v>158809.78820756701</v>
      </c>
      <c r="V33" s="197"/>
      <c r="X33" s="316">
        <f t="shared" ref="X33:AB33" si="52">SUM(X11,X13,X16,X19,X22,X25,X27,X30)</f>
        <v>92334.191464345597</v>
      </c>
      <c r="Y33" s="316">
        <f t="shared" si="52"/>
        <v>103428.46273903584</v>
      </c>
      <c r="Z33" s="316">
        <f t="shared" si="52"/>
        <v>119841.66474182236</v>
      </c>
      <c r="AA33" s="316">
        <f t="shared" si="52"/>
        <v>135525.26298023047</v>
      </c>
      <c r="AB33" s="316">
        <f t="shared" si="52"/>
        <v>146859.36824224945</v>
      </c>
    </row>
    <row r="34" spans="2:28" ht="7.05" customHeight="1" x14ac:dyDescent="0.3">
      <c r="H34" s="197"/>
      <c r="O34" s="197"/>
      <c r="V34" s="197"/>
    </row>
    <row r="35" spans="2:28" x14ac:dyDescent="0.3">
      <c r="B35" s="199" t="s">
        <v>36</v>
      </c>
      <c r="H35" s="197"/>
      <c r="O35" s="197"/>
      <c r="V35" s="197"/>
    </row>
    <row r="36" spans="2:28" ht="7.05" customHeight="1" x14ac:dyDescent="0.3">
      <c r="H36" s="197"/>
      <c r="O36" s="197"/>
      <c r="V36" s="197"/>
    </row>
    <row r="37" spans="2:28" x14ac:dyDescent="0.3">
      <c r="B37" s="325" t="s">
        <v>37</v>
      </c>
      <c r="C37" s="301" cm="1">
        <f t="array" ref="C37:G37">_xlfn.XLOOKUP($B37,'BALANCE SHEET'!$B$56:$B$61,'BALANCE SHEET'!$C$56:$G$61)</f>
        <v>13548</v>
      </c>
      <c r="D37" s="301">
        <v>5303</v>
      </c>
      <c r="E37" s="301">
        <v>5356.41</v>
      </c>
      <c r="F37" s="301">
        <v>5307</v>
      </c>
      <c r="G37" s="301">
        <v>15780</v>
      </c>
      <c r="H37" s="197"/>
      <c r="J37" s="301">
        <f>'FINANCE COST SCHEDULE'!J$29</f>
        <v>9080</v>
      </c>
      <c r="K37" s="301">
        <f>'FINANCE COST SCHEDULE'!K$29</f>
        <v>11580</v>
      </c>
      <c r="L37" s="301">
        <f>'FINANCE COST SCHEDULE'!L$29</f>
        <v>12930</v>
      </c>
      <c r="M37" s="301">
        <f>'FINANCE COST SCHEDULE'!M$29</f>
        <v>14430</v>
      </c>
      <c r="N37" s="301">
        <f>'FINANCE COST SCHEDULE'!N$29</f>
        <v>15430</v>
      </c>
      <c r="O37" s="197"/>
      <c r="Q37" s="301">
        <f>'FINANCE COST SCHEDULE'!Q$29</f>
        <v>7780</v>
      </c>
      <c r="R37" s="301">
        <f>'FINANCE COST SCHEDULE'!R$29</f>
        <v>9280</v>
      </c>
      <c r="S37" s="301">
        <f>'FINANCE COST SCHEDULE'!S$29</f>
        <v>12780</v>
      </c>
      <c r="T37" s="301">
        <f>'FINANCE COST SCHEDULE'!T$29</f>
        <v>15280</v>
      </c>
      <c r="U37" s="301">
        <f>'FINANCE COST SCHEDULE'!U$29</f>
        <v>16380</v>
      </c>
      <c r="V37" s="197"/>
      <c r="X37" s="301">
        <f>'FINANCE COST SCHEDULE'!X$29</f>
        <v>4780</v>
      </c>
      <c r="Y37" s="301">
        <f>'FINANCE COST SCHEDULE'!Y$29</f>
        <v>8780</v>
      </c>
      <c r="Z37" s="301">
        <f>'FINANCE COST SCHEDULE'!Z$29</f>
        <v>16780</v>
      </c>
      <c r="AA37" s="301">
        <f>'FINANCE COST SCHEDULE'!AA$29</f>
        <v>20780</v>
      </c>
      <c r="AB37" s="301">
        <f>'FINANCE COST SCHEDULE'!AB$29</f>
        <v>19780</v>
      </c>
    </row>
    <row r="38" spans="2:28" x14ac:dyDescent="0.3">
      <c r="B38" s="194"/>
      <c r="H38" s="197"/>
      <c r="O38" s="197"/>
      <c r="V38" s="197"/>
    </row>
    <row r="39" spans="2:28" x14ac:dyDescent="0.3">
      <c r="B39" s="194" t="s">
        <v>2483</v>
      </c>
      <c r="C39" s="190" cm="1">
        <f t="array" ref="C39:G39">_xlfn.XLOOKUP($B39,'BALANCE SHEET'!$B$56:$B$61,'BALANCE SHEET'!$C$56:$G$61)</f>
        <v>0</v>
      </c>
      <c r="D39" s="190">
        <v>978.2</v>
      </c>
      <c r="E39" s="190">
        <v>1010.65</v>
      </c>
      <c r="F39" s="190">
        <v>942</v>
      </c>
      <c r="G39" s="190">
        <v>868</v>
      </c>
      <c r="H39" s="197"/>
      <c r="J39" s="190">
        <f>$G$39+$J$40</f>
        <v>985</v>
      </c>
      <c r="K39" s="190">
        <f>J$39+K$40</f>
        <v>1102</v>
      </c>
      <c r="L39" s="190">
        <f t="shared" ref="L39:N39" si="53">K$39+L$40</f>
        <v>1219</v>
      </c>
      <c r="M39" s="190">
        <f t="shared" si="53"/>
        <v>1336</v>
      </c>
      <c r="N39" s="190">
        <f t="shared" si="53"/>
        <v>1453</v>
      </c>
      <c r="O39" s="197"/>
      <c r="Q39" s="190">
        <f>$G$39+$Q$40</f>
        <v>1085</v>
      </c>
      <c r="R39" s="190">
        <f t="shared" ref="R39:U39" si="54">Q$39+R$40</f>
        <v>1302</v>
      </c>
      <c r="S39" s="190">
        <f t="shared" si="54"/>
        <v>1519</v>
      </c>
      <c r="T39" s="190">
        <f t="shared" si="54"/>
        <v>1736</v>
      </c>
      <c r="U39" s="190">
        <f t="shared" si="54"/>
        <v>1953</v>
      </c>
      <c r="V39" s="197"/>
      <c r="X39" s="190">
        <f>$G$39+$X$40</f>
        <v>1185</v>
      </c>
      <c r="Y39" s="190">
        <f t="shared" ref="Y39:AB39" si="55">X$39+Y$40</f>
        <v>1502</v>
      </c>
      <c r="Z39" s="190">
        <f t="shared" si="55"/>
        <v>1819</v>
      </c>
      <c r="AA39" s="190">
        <f t="shared" si="55"/>
        <v>2136</v>
      </c>
      <c r="AB39" s="190">
        <f t="shared" si="55"/>
        <v>2453</v>
      </c>
    </row>
    <row r="40" spans="2:28" x14ac:dyDescent="0.3">
      <c r="B40" s="359" t="s">
        <v>2758</v>
      </c>
      <c r="C40" s="203">
        <v>0</v>
      </c>
      <c r="D40" s="203">
        <f>D39-C39</f>
        <v>978.2</v>
      </c>
      <c r="E40" s="203">
        <f t="shared" ref="E40:G40" si="56">E39-D39</f>
        <v>32.449999999999932</v>
      </c>
      <c r="F40" s="203">
        <f t="shared" si="56"/>
        <v>-68.649999999999977</v>
      </c>
      <c r="G40" s="203">
        <f t="shared" si="56"/>
        <v>-74</v>
      </c>
      <c r="H40" s="307"/>
      <c r="I40" s="308"/>
      <c r="J40" s="327">
        <v>117</v>
      </c>
      <c r="K40" s="203">
        <f>$J$40</f>
        <v>117</v>
      </c>
      <c r="L40" s="203">
        <f t="shared" ref="L40:N40" si="57">$J$40</f>
        <v>117</v>
      </c>
      <c r="M40" s="203">
        <f t="shared" si="57"/>
        <v>117</v>
      </c>
      <c r="N40" s="203">
        <f t="shared" si="57"/>
        <v>117</v>
      </c>
      <c r="O40" s="307"/>
      <c r="P40" s="308"/>
      <c r="Q40" s="203">
        <f>AVERAGE(D40:G40)</f>
        <v>217</v>
      </c>
      <c r="R40" s="203">
        <f>$Q$40</f>
        <v>217</v>
      </c>
      <c r="S40" s="203">
        <f t="shared" ref="S40:U40" si="58">$Q$40</f>
        <v>217</v>
      </c>
      <c r="T40" s="203">
        <f t="shared" si="58"/>
        <v>217</v>
      </c>
      <c r="U40" s="203">
        <f t="shared" si="58"/>
        <v>217</v>
      </c>
      <c r="V40" s="307"/>
      <c r="W40" s="308"/>
      <c r="X40" s="327">
        <v>317</v>
      </c>
      <c r="Y40" s="203">
        <f>$X$40</f>
        <v>317</v>
      </c>
      <c r="Z40" s="203">
        <f t="shared" ref="Z40:AB40" si="59">$X$40</f>
        <v>317</v>
      </c>
      <c r="AA40" s="203">
        <f t="shared" si="59"/>
        <v>317</v>
      </c>
      <c r="AB40" s="203">
        <f t="shared" si="59"/>
        <v>317</v>
      </c>
    </row>
    <row r="41" spans="2:28" x14ac:dyDescent="0.3">
      <c r="B41" s="194"/>
      <c r="H41" s="197"/>
      <c r="O41" s="197"/>
      <c r="V41" s="197"/>
    </row>
    <row r="42" spans="2:28" x14ac:dyDescent="0.3">
      <c r="B42" s="194" t="s">
        <v>336</v>
      </c>
      <c r="C42" s="190" cm="1">
        <f t="array" ref="C42:G42">_xlfn.XLOOKUP($B42,'BALANCE SHEET'!$B$56:$B$61,'BALANCE SHEET'!$C$56:$G$61)</f>
        <v>1451</v>
      </c>
      <c r="D42" s="190">
        <v>303.48</v>
      </c>
      <c r="E42" s="190">
        <v>319.83999999999997</v>
      </c>
      <c r="F42" s="190">
        <v>240</v>
      </c>
      <c r="G42" s="190">
        <v>287</v>
      </c>
      <c r="H42" s="197"/>
      <c r="J42" s="190">
        <f>$G$42+$J$43</f>
        <v>420</v>
      </c>
      <c r="K42" s="190">
        <f>J$42+K$43</f>
        <v>553</v>
      </c>
      <c r="L42" s="190">
        <f t="shared" ref="L42:N42" si="60">K$42+L$43</f>
        <v>686</v>
      </c>
      <c r="M42" s="190">
        <f t="shared" si="60"/>
        <v>819</v>
      </c>
      <c r="N42" s="190">
        <f t="shared" si="60"/>
        <v>952</v>
      </c>
      <c r="O42" s="197"/>
      <c r="Q42" s="190">
        <f>AVERAGE(_xlfn.ANCHORARRAY(C42))</f>
        <v>520.26400000000001</v>
      </c>
      <c r="R42" s="190">
        <f>$Q$42</f>
        <v>520.26400000000001</v>
      </c>
      <c r="S42" s="190">
        <f t="shared" ref="S42:U42" si="61">$Q$42</f>
        <v>520.26400000000001</v>
      </c>
      <c r="T42" s="190">
        <f t="shared" si="61"/>
        <v>520.26400000000001</v>
      </c>
      <c r="U42" s="190">
        <f t="shared" si="61"/>
        <v>520.26400000000001</v>
      </c>
      <c r="V42" s="197"/>
      <c r="X42" s="190">
        <f>$G$42+$X$43</f>
        <v>620</v>
      </c>
      <c r="Y42" s="190">
        <f t="shared" ref="Y42:AB42" si="62">X$42+Y$43</f>
        <v>953</v>
      </c>
      <c r="Z42" s="190">
        <f t="shared" si="62"/>
        <v>1286</v>
      </c>
      <c r="AA42" s="190">
        <f t="shared" si="62"/>
        <v>1619</v>
      </c>
      <c r="AB42" s="190">
        <f t="shared" si="62"/>
        <v>1952</v>
      </c>
    </row>
    <row r="43" spans="2:28" x14ac:dyDescent="0.3">
      <c r="B43" s="359" t="s">
        <v>2758</v>
      </c>
      <c r="C43" s="203">
        <v>0</v>
      </c>
      <c r="D43" s="203">
        <f>D42-C42</f>
        <v>-1147.52</v>
      </c>
      <c r="E43" s="203">
        <f t="shared" ref="E43:G43" si="63">E42-D42</f>
        <v>16.359999999999957</v>
      </c>
      <c r="F43" s="203">
        <f t="shared" si="63"/>
        <v>-79.839999999999975</v>
      </c>
      <c r="G43" s="203">
        <f t="shared" si="63"/>
        <v>47</v>
      </c>
      <c r="H43" s="307"/>
      <c r="I43" s="308"/>
      <c r="J43" s="327">
        <v>133</v>
      </c>
      <c r="K43" s="203">
        <f>$J$43</f>
        <v>133</v>
      </c>
      <c r="L43" s="203">
        <f t="shared" ref="L43:N43" si="64">$J$43</f>
        <v>133</v>
      </c>
      <c r="M43" s="203">
        <f t="shared" si="64"/>
        <v>133</v>
      </c>
      <c r="N43" s="203">
        <f t="shared" si="64"/>
        <v>133</v>
      </c>
      <c r="O43" s="307"/>
      <c r="P43" s="308"/>
      <c r="Q43" s="203">
        <f>Q42-G42</f>
        <v>233.26400000000001</v>
      </c>
      <c r="R43" s="203">
        <f>R42-Q42</f>
        <v>0</v>
      </c>
      <c r="S43" s="203">
        <f t="shared" ref="S43:U43" si="65">S42-R42</f>
        <v>0</v>
      </c>
      <c r="T43" s="203">
        <f t="shared" si="65"/>
        <v>0</v>
      </c>
      <c r="U43" s="203">
        <f t="shared" si="65"/>
        <v>0</v>
      </c>
      <c r="V43" s="307"/>
      <c r="W43" s="308"/>
      <c r="X43" s="327">
        <v>333</v>
      </c>
      <c r="Y43" s="203">
        <f>$X$43</f>
        <v>333</v>
      </c>
      <c r="Z43" s="203">
        <f t="shared" ref="Z43:AB43" si="66">$X$43</f>
        <v>333</v>
      </c>
      <c r="AA43" s="203">
        <f t="shared" si="66"/>
        <v>333</v>
      </c>
      <c r="AB43" s="203">
        <f t="shared" si="66"/>
        <v>333</v>
      </c>
    </row>
    <row r="44" spans="2:28" x14ac:dyDescent="0.3">
      <c r="B44" s="194"/>
      <c r="H44" s="197"/>
      <c r="O44" s="197"/>
      <c r="V44" s="197"/>
    </row>
    <row r="45" spans="2:28" x14ac:dyDescent="0.3">
      <c r="B45" s="194" t="s">
        <v>347</v>
      </c>
      <c r="C45" s="190" cm="1">
        <f t="array" ref="C45:G45">_xlfn.XLOOKUP($B45,'BALANCE SHEET'!$B$56:$B$61,'BALANCE SHEET'!$C$56:$G$61)</f>
        <v>365</v>
      </c>
      <c r="D45" s="190">
        <v>617.84</v>
      </c>
      <c r="E45" s="190">
        <v>624.21</v>
      </c>
      <c r="F45" s="190">
        <v>670</v>
      </c>
      <c r="G45" s="190">
        <v>892</v>
      </c>
      <c r="H45" s="197"/>
      <c r="J45" s="190">
        <f>$G$45+$J$46</f>
        <v>924</v>
      </c>
      <c r="K45" s="190">
        <f>J$45+K$46</f>
        <v>956</v>
      </c>
      <c r="L45" s="190">
        <f t="shared" ref="L45:N45" si="67">K$45+L$46</f>
        <v>988</v>
      </c>
      <c r="M45" s="190">
        <f t="shared" si="67"/>
        <v>1020</v>
      </c>
      <c r="N45" s="190">
        <f t="shared" si="67"/>
        <v>1052</v>
      </c>
      <c r="O45" s="197"/>
      <c r="Q45" s="190">
        <f>$G$45+$Q$46</f>
        <v>1023.75</v>
      </c>
      <c r="R45" s="190">
        <f t="shared" ref="R45:U45" si="68">Q$45+R$46</f>
        <v>1155.5</v>
      </c>
      <c r="S45" s="190">
        <f t="shared" si="68"/>
        <v>1287.25</v>
      </c>
      <c r="T45" s="190">
        <f t="shared" si="68"/>
        <v>1419</v>
      </c>
      <c r="U45" s="190">
        <f t="shared" si="68"/>
        <v>1550.75</v>
      </c>
      <c r="V45" s="197"/>
      <c r="X45" s="190">
        <f>$G$45+$X$46</f>
        <v>1124</v>
      </c>
      <c r="Y45" s="190">
        <f t="shared" ref="Y45:AB45" si="69">X$45+Y$46</f>
        <v>1356</v>
      </c>
      <c r="Z45" s="190">
        <f t="shared" si="69"/>
        <v>1588</v>
      </c>
      <c r="AA45" s="190">
        <f t="shared" si="69"/>
        <v>1820</v>
      </c>
      <c r="AB45" s="190">
        <f t="shared" si="69"/>
        <v>2052</v>
      </c>
    </row>
    <row r="46" spans="2:28" x14ac:dyDescent="0.3">
      <c r="B46" s="359" t="s">
        <v>2758</v>
      </c>
      <c r="C46" s="203">
        <v>0</v>
      </c>
      <c r="D46" s="203">
        <f>D45-C45</f>
        <v>252.84000000000003</v>
      </c>
      <c r="E46" s="203">
        <f t="shared" ref="E46:G46" si="70">E45-D45</f>
        <v>6.3700000000000045</v>
      </c>
      <c r="F46" s="203">
        <f t="shared" si="70"/>
        <v>45.789999999999964</v>
      </c>
      <c r="G46" s="203">
        <f t="shared" si="70"/>
        <v>222</v>
      </c>
      <c r="H46" s="307"/>
      <c r="I46" s="308"/>
      <c r="J46" s="327">
        <v>32</v>
      </c>
      <c r="K46" s="203">
        <f>$J$46</f>
        <v>32</v>
      </c>
      <c r="L46" s="203">
        <f t="shared" ref="L46:N46" si="71">$J$46</f>
        <v>32</v>
      </c>
      <c r="M46" s="203">
        <f t="shared" si="71"/>
        <v>32</v>
      </c>
      <c r="N46" s="203">
        <f t="shared" si="71"/>
        <v>32</v>
      </c>
      <c r="O46" s="307"/>
      <c r="P46" s="308"/>
      <c r="Q46" s="203">
        <f>AVERAGE(D46:G46)</f>
        <v>131.75</v>
      </c>
      <c r="R46" s="203">
        <f>$Q$46</f>
        <v>131.75</v>
      </c>
      <c r="S46" s="203">
        <f t="shared" ref="S46:U46" si="72">$Q$46</f>
        <v>131.75</v>
      </c>
      <c r="T46" s="203">
        <f t="shared" si="72"/>
        <v>131.75</v>
      </c>
      <c r="U46" s="203">
        <f t="shared" si="72"/>
        <v>131.75</v>
      </c>
      <c r="V46" s="307"/>
      <c r="W46" s="308"/>
      <c r="X46" s="327">
        <v>232</v>
      </c>
      <c r="Y46" s="203">
        <f>$X$46</f>
        <v>232</v>
      </c>
      <c r="Z46" s="203">
        <f t="shared" ref="Z46:AB46" si="73">$X$46</f>
        <v>232</v>
      </c>
      <c r="AA46" s="203">
        <f t="shared" si="73"/>
        <v>232</v>
      </c>
      <c r="AB46" s="203">
        <f t="shared" si="73"/>
        <v>232</v>
      </c>
    </row>
    <row r="47" spans="2:28" x14ac:dyDescent="0.3">
      <c r="B47" s="194"/>
      <c r="H47" s="197"/>
      <c r="O47" s="197"/>
      <c r="V47" s="197"/>
    </row>
    <row r="48" spans="2:28" x14ac:dyDescent="0.3">
      <c r="B48" s="56" t="s">
        <v>333</v>
      </c>
      <c r="C48" s="190" cm="1">
        <f t="array" ref="C48:G48">_xlfn.XLOOKUP($B48,'BALANCE SHEET'!$B$56:$B$61,'BALANCE SHEET'!$C$56:$G$61)</f>
        <v>6040</v>
      </c>
      <c r="D48" s="190">
        <v>6584.68</v>
      </c>
      <c r="E48" s="190">
        <v>6684.9</v>
      </c>
      <c r="F48" s="190">
        <v>6447</v>
      </c>
      <c r="G48" s="190">
        <v>9579</v>
      </c>
      <c r="H48" s="197"/>
      <c r="J48" s="190">
        <f>'TAX SCHEDULE'!J$25</f>
        <v>5215.2</v>
      </c>
      <c r="K48" s="190">
        <f>'TAX SCHEDULE'!K$25</f>
        <v>5165.2</v>
      </c>
      <c r="L48" s="190">
        <f>'TAX SCHEDULE'!L$25</f>
        <v>5115.2</v>
      </c>
      <c r="M48" s="190">
        <f>'TAX SCHEDULE'!M$25</f>
        <v>5065.2</v>
      </c>
      <c r="N48" s="190">
        <f>'TAX SCHEDULE'!N$25</f>
        <v>5015.2</v>
      </c>
      <c r="O48" s="197"/>
      <c r="Q48" s="190">
        <f>'TAX SCHEDULE'!Q$25</f>
        <v>6290.2</v>
      </c>
      <c r="R48" s="190">
        <f>'TAX SCHEDULE'!R$25</f>
        <v>6265.2</v>
      </c>
      <c r="S48" s="190">
        <f>'TAX SCHEDULE'!S$25</f>
        <v>6240.2</v>
      </c>
      <c r="T48" s="190">
        <f>'TAX SCHEDULE'!T$25</f>
        <v>6215.2</v>
      </c>
      <c r="U48" s="190">
        <f>'TAX SCHEDULE'!U$25</f>
        <v>6190.2</v>
      </c>
      <c r="V48" s="197"/>
      <c r="X48" s="190">
        <f>'TAX SCHEDULE'!X$25</f>
        <v>7412.2</v>
      </c>
      <c r="Y48" s="190">
        <f>'TAX SCHEDULE'!Y$25</f>
        <v>7452.2</v>
      </c>
      <c r="Z48" s="190">
        <f>'TAX SCHEDULE'!Z$25</f>
        <v>7492.2</v>
      </c>
      <c r="AA48" s="190">
        <f>'TAX SCHEDULE'!AA$25</f>
        <v>7532.2</v>
      </c>
      <c r="AB48" s="190">
        <f>'TAX SCHEDULE'!AB$25</f>
        <v>7572.2</v>
      </c>
    </row>
    <row r="49" spans="2:28" x14ac:dyDescent="0.3">
      <c r="B49" s="56"/>
      <c r="H49" s="197"/>
      <c r="O49" s="197"/>
      <c r="V49" s="197"/>
    </row>
    <row r="50" spans="2:28" x14ac:dyDescent="0.3">
      <c r="B50" s="333" t="s">
        <v>2484</v>
      </c>
      <c r="C50" s="314" cm="1">
        <f t="array" ref="C50:G50">_xlfn.XLOOKUP($B50,'BALANCE SHEET'!$B$56:$B$61,'BALANCE SHEET'!$C$56:$G$61)</f>
        <v>5</v>
      </c>
      <c r="D50" s="314">
        <v>6.03</v>
      </c>
      <c r="E50" s="314">
        <v>3.78</v>
      </c>
      <c r="F50" s="314">
        <v>3</v>
      </c>
      <c r="G50" s="314">
        <v>30</v>
      </c>
      <c r="H50" s="197"/>
      <c r="J50" s="328">
        <v>3</v>
      </c>
      <c r="K50" s="314">
        <f>$J$50</f>
        <v>3</v>
      </c>
      <c r="L50" s="314">
        <f t="shared" ref="L50:N50" si="74">$J$50</f>
        <v>3</v>
      </c>
      <c r="M50" s="314">
        <f t="shared" si="74"/>
        <v>3</v>
      </c>
      <c r="N50" s="314">
        <f t="shared" si="74"/>
        <v>3</v>
      </c>
      <c r="O50" s="197"/>
      <c r="Q50" s="314">
        <f>AVERAGE(_xlfn.ANCHORARRAY(C50))</f>
        <v>9.5620000000000012</v>
      </c>
      <c r="R50" s="314">
        <f>$Q$50</f>
        <v>9.5620000000000012</v>
      </c>
      <c r="S50" s="314">
        <f t="shared" ref="S50:U50" si="75">$Q$50</f>
        <v>9.5620000000000012</v>
      </c>
      <c r="T50" s="314">
        <f t="shared" si="75"/>
        <v>9.5620000000000012</v>
      </c>
      <c r="U50" s="314">
        <f t="shared" si="75"/>
        <v>9.5620000000000012</v>
      </c>
      <c r="V50" s="197"/>
      <c r="X50" s="328">
        <v>30</v>
      </c>
      <c r="Y50" s="314">
        <f>$X$50</f>
        <v>30</v>
      </c>
      <c r="Z50" s="314">
        <f t="shared" ref="Z50:AB50" si="76">$X$50</f>
        <v>30</v>
      </c>
      <c r="AA50" s="314">
        <f t="shared" si="76"/>
        <v>30</v>
      </c>
      <c r="AB50" s="314">
        <f t="shared" si="76"/>
        <v>30</v>
      </c>
    </row>
    <row r="51" spans="2:28" x14ac:dyDescent="0.3">
      <c r="H51" s="197"/>
      <c r="O51" s="197"/>
      <c r="V51" s="197"/>
    </row>
    <row r="52" spans="2:28" x14ac:dyDescent="0.3">
      <c r="B52" s="316" t="s">
        <v>40</v>
      </c>
      <c r="C52" s="316">
        <f>SUM(C37,C39,C42,C45,C48,C50)</f>
        <v>21409</v>
      </c>
      <c r="D52" s="316">
        <f t="shared" ref="D52:G52" si="77">SUM(D37,D39,D42,D45,D48,D50)</f>
        <v>13793.230000000001</v>
      </c>
      <c r="E52" s="316">
        <f t="shared" si="77"/>
        <v>13999.789999999999</v>
      </c>
      <c r="F52" s="316">
        <f t="shared" si="77"/>
        <v>13609</v>
      </c>
      <c r="G52" s="316">
        <f t="shared" si="77"/>
        <v>27436</v>
      </c>
      <c r="H52" s="197"/>
      <c r="J52" s="316">
        <f t="shared" ref="J52:N52" si="78">SUM(J37,J39,J42,J45,J48,J50)</f>
        <v>16627.2</v>
      </c>
      <c r="K52" s="316">
        <f t="shared" si="78"/>
        <v>19359.2</v>
      </c>
      <c r="L52" s="316">
        <f t="shared" si="78"/>
        <v>20941.2</v>
      </c>
      <c r="M52" s="316">
        <f t="shared" si="78"/>
        <v>22673.200000000001</v>
      </c>
      <c r="N52" s="316">
        <f t="shared" si="78"/>
        <v>23905.200000000001</v>
      </c>
      <c r="O52" s="197"/>
      <c r="Q52" s="316">
        <f t="shared" ref="Q52:U52" si="79">SUM(Q37,Q39,Q42,Q45,Q48,Q50)</f>
        <v>16708.776000000002</v>
      </c>
      <c r="R52" s="316">
        <f t="shared" si="79"/>
        <v>18532.526000000002</v>
      </c>
      <c r="S52" s="316">
        <f t="shared" si="79"/>
        <v>22356.276000000002</v>
      </c>
      <c r="T52" s="316">
        <f t="shared" si="79"/>
        <v>25180.026000000002</v>
      </c>
      <c r="U52" s="316">
        <f t="shared" si="79"/>
        <v>26603.776000000002</v>
      </c>
      <c r="V52" s="197"/>
      <c r="X52" s="316">
        <f t="shared" ref="X52:AB52" si="80">SUM(X37,X39,X42,X45,X48,X50)</f>
        <v>15151.2</v>
      </c>
      <c r="Y52" s="316">
        <f t="shared" si="80"/>
        <v>20073.2</v>
      </c>
      <c r="Z52" s="316">
        <f t="shared" si="80"/>
        <v>28995.200000000001</v>
      </c>
      <c r="AA52" s="316">
        <f t="shared" si="80"/>
        <v>33917.199999999997</v>
      </c>
      <c r="AB52" s="316">
        <f t="shared" si="80"/>
        <v>33839.199999999997</v>
      </c>
    </row>
    <row r="53" spans="2:28" x14ac:dyDescent="0.3">
      <c r="H53" s="197"/>
      <c r="O53" s="197"/>
      <c r="V53" s="197"/>
    </row>
    <row r="54" spans="2:28" x14ac:dyDescent="0.3">
      <c r="B54" s="200" t="s">
        <v>2636</v>
      </c>
      <c r="C54" s="200">
        <f>C33-C52</f>
        <v>40132</v>
      </c>
      <c r="D54" s="200">
        <f>D33-D52</f>
        <v>47975.869999999995</v>
      </c>
      <c r="E54" s="200">
        <f>E33-E52</f>
        <v>51777.27</v>
      </c>
      <c r="F54" s="200">
        <f>F33-F52</f>
        <v>55819</v>
      </c>
      <c r="G54" s="200">
        <f>G33-G52</f>
        <v>75108</v>
      </c>
      <c r="H54" s="197"/>
      <c r="J54" s="200">
        <f>J33-J52</f>
        <v>80332.620451851995</v>
      </c>
      <c r="K54" s="200">
        <f>K33-K52</f>
        <v>92284.403021701219</v>
      </c>
      <c r="L54" s="200">
        <f>L33-L52</f>
        <v>106996.30881597612</v>
      </c>
      <c r="M54" s="200">
        <f>M33-M52</f>
        <v>123358.79843064387</v>
      </c>
      <c r="N54" s="200">
        <f>N33-N52</f>
        <v>138768.15520050263</v>
      </c>
      <c r="O54" s="280"/>
      <c r="P54" s="193"/>
      <c r="Q54" s="200">
        <f>Q33-Q52</f>
        <v>77931.048732243042</v>
      </c>
      <c r="R54" s="200">
        <f>R33-R52</f>
        <v>88943.64989813471</v>
      </c>
      <c r="S54" s="200">
        <f>S33-S52</f>
        <v>102467.98740463346</v>
      </c>
      <c r="T54" s="200">
        <f>T33-T52</f>
        <v>118455.25850101102</v>
      </c>
      <c r="U54" s="200">
        <f>U33-U52</f>
        <v>132206.01220756699</v>
      </c>
      <c r="V54" s="280"/>
      <c r="W54" s="193"/>
      <c r="X54" s="200">
        <f>X33-X52</f>
        <v>77182.9914643456</v>
      </c>
      <c r="Y54" s="200">
        <f>Y33-Y52</f>
        <v>83355.262739035839</v>
      </c>
      <c r="Z54" s="200">
        <f>Z33-Z52</f>
        <v>90846.464741822361</v>
      </c>
      <c r="AA54" s="200">
        <f>AA33-AA52</f>
        <v>101608.06298023048</v>
      </c>
      <c r="AB54" s="200">
        <f>AB33-AB52</f>
        <v>113020.16824224945</v>
      </c>
    </row>
    <row r="56" spans="2:28" x14ac:dyDescent="0.3">
      <c r="B56" s="189"/>
      <c r="C56" s="189"/>
      <c r="D56" s="189"/>
      <c r="E56" s="189"/>
      <c r="F56" s="189"/>
      <c r="G56" s="189"/>
      <c r="H56" s="189"/>
      <c r="I56" s="189"/>
      <c r="J56" s="189"/>
      <c r="K56" s="189"/>
      <c r="L56" s="189"/>
      <c r="M56" s="189"/>
      <c r="N56" s="189"/>
      <c r="O56" s="189"/>
      <c r="P56" s="189"/>
      <c r="Q56" s="189"/>
      <c r="R56" s="189"/>
      <c r="S56" s="189"/>
      <c r="T56" s="189"/>
      <c r="U56" s="189"/>
      <c r="V56" s="189"/>
      <c r="W56" s="189"/>
      <c r="X56" s="189"/>
      <c r="Y56" s="189"/>
      <c r="Z56" s="189"/>
      <c r="AA56" s="189"/>
      <c r="AB56" s="189"/>
    </row>
    <row r="58" spans="2:28" x14ac:dyDescent="0.3">
      <c r="B58" s="514" t="s">
        <v>2762</v>
      </c>
      <c r="C58" s="514"/>
      <c r="D58" s="514"/>
      <c r="E58" s="514"/>
      <c r="F58" s="514"/>
      <c r="G58" s="514"/>
      <c r="H58" s="514"/>
      <c r="I58" s="514"/>
      <c r="J58" s="514"/>
      <c r="K58" s="514"/>
      <c r="L58" s="514"/>
      <c r="M58" s="514"/>
      <c r="N58" s="514"/>
      <c r="O58" s="514"/>
      <c r="P58" s="514"/>
      <c r="Q58" s="514"/>
      <c r="R58" s="514"/>
      <c r="S58" s="514"/>
      <c r="T58" s="514"/>
      <c r="U58" s="514"/>
      <c r="V58" s="514"/>
      <c r="W58" s="514"/>
      <c r="X58" s="514"/>
      <c r="Y58" s="514"/>
      <c r="Z58" s="514"/>
      <c r="AA58" s="514"/>
      <c r="AB58" s="514"/>
    </row>
  </sheetData>
  <mergeCells count="1">
    <mergeCell ref="B58:AB58"/>
  </mergeCells>
  <printOptions horizontalCentered="1" verticalCentered="1"/>
  <pageMargins left="0" right="0" top="0" bottom="0" header="0" footer="0"/>
  <pageSetup paperSize="9" scale="36" orientation="landscape" horizontalDpi="1200" verticalDpi="1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39"/>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190" customWidth="1"/>
    <col min="2" max="2" width="44.77734375" style="190" customWidth="1"/>
    <col min="3" max="7" width="16.77734375" style="190"/>
    <col min="8" max="9" width="2" style="190" customWidth="1"/>
    <col min="10" max="14" width="16.77734375" style="190"/>
    <col min="15" max="16" width="2" style="190" customWidth="1"/>
    <col min="17" max="21" width="16.77734375" style="190"/>
    <col min="22" max="23" width="2" style="190" customWidth="1"/>
    <col min="24" max="16384" width="16.77734375" style="190"/>
  </cols>
  <sheetData>
    <row r="1" spans="2:28" ht="15.6" x14ac:dyDescent="0.4">
      <c r="B1" s="188" t="s">
        <v>342</v>
      </c>
      <c r="C1" s="189"/>
      <c r="D1" s="189"/>
      <c r="E1" s="189"/>
      <c r="F1" s="189"/>
      <c r="G1" s="189"/>
      <c r="H1" s="189"/>
      <c r="I1" s="189"/>
      <c r="J1" s="189"/>
      <c r="K1" s="189"/>
      <c r="L1" s="189"/>
      <c r="M1" s="189"/>
      <c r="N1" s="189"/>
      <c r="O1" s="189"/>
      <c r="P1" s="189"/>
      <c r="Q1" s="189"/>
      <c r="R1" s="189"/>
      <c r="S1" s="189"/>
      <c r="T1" s="189"/>
      <c r="U1" s="189"/>
      <c r="V1" s="189"/>
      <c r="W1" s="189"/>
      <c r="X1" s="189"/>
      <c r="Y1" s="189"/>
      <c r="Z1" s="189"/>
      <c r="AA1" s="189"/>
      <c r="AB1" s="189"/>
    </row>
    <row r="2" spans="2:28" ht="23.4" x14ac:dyDescent="0.45">
      <c r="B2" s="191" t="s">
        <v>341</v>
      </c>
      <c r="C2" s="189"/>
      <c r="D2" s="189"/>
      <c r="E2" s="189"/>
      <c r="F2" s="189"/>
      <c r="G2" s="189"/>
      <c r="H2" s="189"/>
      <c r="I2" s="189"/>
      <c r="J2" s="189"/>
      <c r="K2" s="189"/>
      <c r="L2" s="189"/>
      <c r="M2" s="189"/>
      <c r="N2" s="189"/>
      <c r="O2" s="189"/>
      <c r="P2" s="189"/>
      <c r="Q2" s="189"/>
      <c r="R2" s="189"/>
      <c r="S2" s="189"/>
      <c r="T2" s="189"/>
      <c r="U2" s="189"/>
      <c r="V2" s="189"/>
      <c r="W2" s="189"/>
      <c r="X2" s="189"/>
      <c r="Y2" s="189"/>
      <c r="Z2" s="189"/>
      <c r="AA2" s="189"/>
      <c r="AB2" s="189"/>
    </row>
    <row r="3" spans="2:28" x14ac:dyDescent="0.3">
      <c r="B3" s="189" t="s">
        <v>343</v>
      </c>
      <c r="C3" s="189"/>
      <c r="D3" s="189"/>
      <c r="E3" s="189"/>
      <c r="F3" s="189"/>
      <c r="G3" s="189"/>
      <c r="H3" s="189"/>
      <c r="I3" s="189"/>
      <c r="J3" s="189"/>
      <c r="K3" s="189"/>
      <c r="L3" s="189"/>
      <c r="M3" s="189"/>
      <c r="N3" s="189"/>
      <c r="O3" s="189"/>
      <c r="P3" s="189"/>
      <c r="Q3" s="189"/>
      <c r="R3" s="189"/>
      <c r="S3" s="189"/>
      <c r="T3" s="189"/>
      <c r="U3" s="189"/>
      <c r="V3" s="189"/>
      <c r="W3" s="189"/>
      <c r="X3" s="189"/>
      <c r="Y3" s="189"/>
      <c r="Z3" s="189"/>
      <c r="AA3" s="189"/>
      <c r="AB3" s="189"/>
    </row>
    <row r="5" spans="2:28" x14ac:dyDescent="0.3">
      <c r="B5" s="192" t="s">
        <v>2674</v>
      </c>
      <c r="C5" s="192"/>
      <c r="D5" s="192"/>
      <c r="E5" s="189"/>
      <c r="F5" s="192"/>
      <c r="G5" s="192"/>
      <c r="H5" s="197"/>
      <c r="J5" s="192" t="s">
        <v>459</v>
      </c>
      <c r="K5" s="304" t="s">
        <v>2529</v>
      </c>
      <c r="L5" s="189"/>
      <c r="M5" s="192"/>
      <c r="N5" s="192"/>
      <c r="O5" s="197"/>
      <c r="Q5" s="192" t="s">
        <v>459</v>
      </c>
      <c r="R5" s="304" t="s">
        <v>2530</v>
      </c>
      <c r="S5" s="189"/>
      <c r="T5" s="192"/>
      <c r="U5" s="192"/>
      <c r="V5" s="197"/>
      <c r="X5" s="192" t="s">
        <v>459</v>
      </c>
      <c r="Y5" s="304" t="s">
        <v>2531</v>
      </c>
      <c r="Z5" s="189"/>
      <c r="AA5" s="192"/>
      <c r="AB5" s="192"/>
    </row>
    <row r="6" spans="2:28" x14ac:dyDescent="0.3">
      <c r="H6" s="197"/>
      <c r="O6" s="197"/>
      <c r="V6" s="197"/>
    </row>
    <row r="7" spans="2:28" x14ac:dyDescent="0.3">
      <c r="B7" s="192" t="s">
        <v>1</v>
      </c>
      <c r="C7" s="110">
        <v>44440</v>
      </c>
      <c r="D7" s="110">
        <f>EDATE(C7,12)</f>
        <v>44805</v>
      </c>
      <c r="E7" s="110">
        <f t="shared" ref="E7:G7" si="0">EDATE(D7,12)</f>
        <v>45170</v>
      </c>
      <c r="F7" s="110">
        <f t="shared" si="0"/>
        <v>45536</v>
      </c>
      <c r="G7" s="110">
        <f t="shared" si="0"/>
        <v>45901</v>
      </c>
      <c r="H7" s="197"/>
      <c r="J7" s="279">
        <v>46266</v>
      </c>
      <c r="K7" s="279">
        <f>EDATE(J7,12)</f>
        <v>46631</v>
      </c>
      <c r="L7" s="279">
        <f t="shared" ref="L7:N7" si="1">EDATE(K7,12)</f>
        <v>46997</v>
      </c>
      <c r="M7" s="279">
        <f t="shared" si="1"/>
        <v>47362</v>
      </c>
      <c r="N7" s="279">
        <f t="shared" si="1"/>
        <v>47727</v>
      </c>
      <c r="O7" s="197"/>
      <c r="Q7" s="279">
        <v>46266</v>
      </c>
      <c r="R7" s="279">
        <f>EDATE(Q7,12)</f>
        <v>46631</v>
      </c>
      <c r="S7" s="279">
        <f t="shared" ref="S7:U7" si="2">EDATE(R7,12)</f>
        <v>46997</v>
      </c>
      <c r="T7" s="279">
        <f t="shared" si="2"/>
        <v>47362</v>
      </c>
      <c r="U7" s="279">
        <f t="shared" si="2"/>
        <v>47727</v>
      </c>
      <c r="V7" s="197"/>
      <c r="X7" s="279">
        <v>46266</v>
      </c>
      <c r="Y7" s="279">
        <f>EDATE(X7,12)</f>
        <v>46631</v>
      </c>
      <c r="Z7" s="279">
        <f t="shared" ref="Z7:AB7" si="3">EDATE(Y7,12)</f>
        <v>46997</v>
      </c>
      <c r="AA7" s="279">
        <f t="shared" si="3"/>
        <v>47362</v>
      </c>
      <c r="AB7" s="279">
        <f t="shared" si="3"/>
        <v>47727</v>
      </c>
    </row>
    <row r="8" spans="2:28" ht="7.05" customHeight="1" x14ac:dyDescent="0.3">
      <c r="H8" s="197"/>
      <c r="O8" s="197"/>
      <c r="V8" s="197"/>
    </row>
    <row r="9" spans="2:28" ht="13.95" customHeight="1" x14ac:dyDescent="0.3">
      <c r="B9" s="199" t="s">
        <v>2647</v>
      </c>
      <c r="H9" s="197"/>
      <c r="O9" s="197"/>
      <c r="V9" s="197"/>
    </row>
    <row r="10" spans="2:28" ht="7.05" customHeight="1" x14ac:dyDescent="0.3">
      <c r="H10" s="197"/>
      <c r="O10" s="197"/>
      <c r="V10" s="197"/>
    </row>
    <row r="11" spans="2:28" ht="13.95" customHeight="1" x14ac:dyDescent="0.3">
      <c r="B11" s="341" t="s">
        <v>2641</v>
      </c>
      <c r="C11" s="341">
        <f>'CASH FLOW STAEMENT'!C$16</f>
        <v>12181</v>
      </c>
      <c r="D11" s="341">
        <f>'CASH FLOW STAEMENT'!D$16</f>
        <v>11858.459999999995</v>
      </c>
      <c r="E11" s="341">
        <f>'CASH FLOW STAEMENT'!E$16</f>
        <v>10850.480000000001</v>
      </c>
      <c r="F11" s="341">
        <f>'CASH FLOW STAEMENT'!F$16</f>
        <v>13347</v>
      </c>
      <c r="G11" s="341">
        <f>'CASH FLOW STAEMENT'!G$16</f>
        <v>13012</v>
      </c>
      <c r="H11" s="197"/>
      <c r="J11" s="341">
        <f>'TAX SCHEDULE'!J$34+'FINANCE COST SCHEDULE'!J$49+'DEPRECIATION SCHEDULE'!C$25+'OTHER INCOME SCHEDULE'!J$51</f>
        <v>18394.374893714281</v>
      </c>
      <c r="K11" s="341">
        <f>'TAX SCHEDULE'!K$34+'FINANCE COST SCHEDULE'!K$49+'DEPRECIATION SCHEDULE'!D$25+'OTHER INCOME SCHEDULE'!K$51</f>
        <v>20351.543172022852</v>
      </c>
      <c r="L11" s="341">
        <f>'TAX SCHEDULE'!L$34+'FINANCE COST SCHEDULE'!L$49+'DEPRECIATION SCHEDULE'!E$25+'OTHER INCOME SCHEDULE'!L$51</f>
        <v>22523.999960945377</v>
      </c>
      <c r="M11" s="341">
        <f>'TAX SCHEDULE'!M$34+'FINANCE COST SCHEDULE'!M$49+'DEPRECIATION SCHEDULE'!F$25+'OTHER INCOME SCHEDULE'!M$51</f>
        <v>24935.426996649363</v>
      </c>
      <c r="N11" s="341">
        <f>'TAX SCHEDULE'!N$34+'FINANCE COST SCHEDULE'!N$49+'DEPRECIATION SCHEDULE'!G$25+'OTHER INCOME SCHEDULE'!N$51</f>
        <v>27612.111006280793</v>
      </c>
      <c r="O11" s="197"/>
      <c r="Q11" s="341">
        <f>'OTHER INCOME SCHEDULE'!Q$51+'FINANCE COST SCHEDULE'!Q$49+'DEPRECIATION SCHEDULE'!C$35+'TAX SCHEDULE'!Q$34</f>
        <v>14679.683223999997</v>
      </c>
      <c r="R11" s="341">
        <f>'OTHER INCOME SCHEDULE'!R$51+'FINANCE COST SCHEDULE'!R$49+'DEPRECIATION SCHEDULE'!D$35+'TAX SCHEDULE'!R$34</f>
        <v>15824.169833920005</v>
      </c>
      <c r="S11" s="341">
        <f>'OTHER INCOME SCHEDULE'!S$51+'FINANCE COST SCHEDULE'!S$49+'DEPRECIATION SCHEDULE'!E$35+'TAX SCHEDULE'!S$34</f>
        <v>17060.215372633604</v>
      </c>
      <c r="T11" s="341">
        <f>'OTHER INCOME SCHEDULE'!T$51+'FINANCE COST SCHEDULE'!T$49+'DEPRECIATION SCHEDULE'!F$35+'TAX SCHEDULE'!T$34</f>
        <v>18395.144554444283</v>
      </c>
      <c r="U11" s="341">
        <f>'OTHER INCOME SCHEDULE'!U$51+'FINANCE COST SCHEDULE'!U$49+'DEPRECIATION SCHEDULE'!G$35+'TAX SCHEDULE'!U$34</f>
        <v>19836.868070799836</v>
      </c>
      <c r="V11" s="197"/>
      <c r="X11" s="341">
        <f>'TAX SCHEDULE'!X$34+'FINANCE COST SCHEDULE'!X$49+'DEPRECIATION SCHEDULE'!C$45+'OTHER INCOME SCHEDULE'!X$51</f>
        <v>11330.313152000002</v>
      </c>
      <c r="Y11" s="341">
        <f>'TAX SCHEDULE'!Y$34+'FINANCE COST SCHEDULE'!Y$49+'DEPRECIATION SCHEDULE'!D$45+'OTHER INCOME SCHEDULE'!Y$51</f>
        <v>11886.660809599995</v>
      </c>
      <c r="Z11" s="341">
        <f>'TAX SCHEDULE'!Z$34+'FINANCE COST SCHEDULE'!Z$49+'DEPRECIATION SCHEDULE'!E$45+'OTHER INCOME SCHEDULE'!Z$51</f>
        <v>12470.825850080004</v>
      </c>
      <c r="AA11" s="341">
        <f>'TAX SCHEDULE'!AA$34+'FINANCE COST SCHEDULE'!AA$49+'DEPRECIATION SCHEDULE'!F$45+'OTHER INCOME SCHEDULE'!AA$51</f>
        <v>13084.199142584002</v>
      </c>
      <c r="AB11" s="341">
        <f>'TAX SCHEDULE'!AB$34+'FINANCE COST SCHEDULE'!AB$49+'DEPRECIATION SCHEDULE'!G$45+'OTHER INCOME SCHEDULE'!AB$51</f>
        <v>13728.241099713199</v>
      </c>
    </row>
    <row r="12" spans="2:28" ht="7.05" customHeight="1" x14ac:dyDescent="0.3">
      <c r="H12" s="197"/>
      <c r="O12" s="197"/>
      <c r="V12" s="197"/>
    </row>
    <row r="13" spans="2:28" x14ac:dyDescent="0.3">
      <c r="B13" s="339" t="s">
        <v>2495</v>
      </c>
      <c r="H13" s="197"/>
      <c r="O13" s="197"/>
      <c r="V13" s="197"/>
    </row>
    <row r="14" spans="2:28" ht="7.05" customHeight="1" x14ac:dyDescent="0.3">
      <c r="H14" s="197"/>
      <c r="O14" s="197"/>
      <c r="V14" s="197"/>
    </row>
    <row r="15" spans="2:28" x14ac:dyDescent="0.3">
      <c r="B15" s="340" t="s">
        <v>2496</v>
      </c>
      <c r="C15" s="301">
        <f>'CASH FLOW STAEMENT'!C$20</f>
        <v>2870</v>
      </c>
      <c r="D15" s="301">
        <f>'CASH FLOW STAEMENT'!D$20</f>
        <v>2076.9</v>
      </c>
      <c r="E15" s="301">
        <f>'CASH FLOW STAEMENT'!E$20</f>
        <v>1868.6</v>
      </c>
      <c r="F15" s="301">
        <f>'CASH FLOW STAEMENT'!F$20</f>
        <v>1959</v>
      </c>
      <c r="G15" s="301">
        <f>'CASH FLOW STAEMENT'!G$20</f>
        <v>-475</v>
      </c>
      <c r="H15" s="197"/>
      <c r="J15" s="301">
        <f>('WORKING CAPITAL SCHEDULE'!$J$34-'WORKING CAPITAL SCHEDULE'!$G$34)+('WORKING CAPITAL SCHEDULE'!$J$49-'WORKING CAPITAL SCHEDULE'!$G$49)</f>
        <v>1104.6912451726039</v>
      </c>
      <c r="K15" s="301">
        <f>('WORKING CAPITAL SCHEDULE'!K$34-'WORKING CAPITAL SCHEDULE'!J$34)+('WORKING CAPITAL SCHEDULE'!K$49-'WORKING CAPITAL SCHEDULE'!J$49)</f>
        <v>1420.890972558027</v>
      </c>
      <c r="L15" s="301">
        <f>('WORKING CAPITAL SCHEDULE'!L$34-'WORKING CAPITAL SCHEDULE'!K$34)+('WORKING CAPITAL SCHEDULE'!L$49-'WORKING CAPITAL SCHEDULE'!K$49)</f>
        <v>1541.6589795394102</v>
      </c>
      <c r="M15" s="301">
        <f>('WORKING CAPITAL SCHEDULE'!M$34-'WORKING CAPITAL SCHEDULE'!L$34)+('WORKING CAPITAL SCHEDULE'!M$49-'WORKING CAPITAL SCHEDULE'!L$49)</f>
        <v>1675.7114672887474</v>
      </c>
      <c r="N15" s="301">
        <f>('WORKING CAPITAL SCHEDULE'!N$34-'WORKING CAPITAL SCHEDULE'!M$34)+('WORKING CAPITAL SCHEDULE'!N$49-'WORKING CAPITAL SCHEDULE'!M$49)</f>
        <v>1824.5097286905111</v>
      </c>
      <c r="O15" s="197"/>
      <c r="Q15" s="301">
        <f>('WORKING CAPITAL SCHEDULE'!$Q$34-'WORKING CAPITAL SCHEDULE'!$G$34)+('WORKING CAPITAL SCHEDULE'!$Q$49-'WORKING CAPITAL SCHEDULE'!$G$49)</f>
        <v>264.39908243287573</v>
      </c>
      <c r="R15" s="301">
        <f>('WORKING CAPITAL SCHEDULE'!R$34-'WORKING CAPITAL SCHEDULE'!Q$34)+('WORKING CAPITAL SCHEDULE'!R$49-'WORKING CAPITAL SCHEDULE'!Q$49)</f>
        <v>1243.0766680302477</v>
      </c>
      <c r="S15" s="301">
        <f>('WORKING CAPITAL SCHEDULE'!S$34-'WORKING CAPITAL SCHEDULE'!R$34)+('WORKING CAPITAL SCHEDULE'!S$49-'WORKING CAPITAL SCHEDULE'!R$49)</f>
        <v>1300.6828014726671</v>
      </c>
      <c r="T15" s="301">
        <f>('WORKING CAPITAL SCHEDULE'!T$34-'WORKING CAPITAL SCHEDULE'!S$34)+('WORKING CAPITAL SCHEDULE'!T$49-'WORKING CAPITAL SCHEDULE'!S$49)</f>
        <v>1362.8974255904814</v>
      </c>
      <c r="U15" s="301">
        <f>('WORKING CAPITAL SCHEDULE'!U$34-'WORKING CAPITAL SCHEDULE'!T$34)+('WORKING CAPITAL SCHEDULE'!U$49-'WORKING CAPITAL SCHEDULE'!T$49)</f>
        <v>1430.0892196377135</v>
      </c>
      <c r="V15" s="197"/>
      <c r="X15" s="301">
        <f>('WORKING CAPITAL SCHEDULE'!$X$34-'WORKING CAPITAL SCHEDULE'!$G$34)+('WORKING CAPITAL SCHEDULE'!$X$49-'WORKING CAPITAL SCHEDULE'!$G$49)</f>
        <v>-507.60171660273772</v>
      </c>
      <c r="Y15" s="301">
        <f>('WORKING CAPITAL SCHEDULE'!Y$34-'WORKING CAPITAL SCHEDULE'!X$34)+('WORKING CAPITAL SCHEDULE'!Y$49-'WORKING CAPITAL SCHEDULE'!X$49)</f>
        <v>1126.379270334246</v>
      </c>
      <c r="Z15" s="301">
        <f>('WORKING CAPITAL SCHEDULE'!Z$34-'WORKING CAPITAL SCHEDULE'!Y$34)+('WORKING CAPITAL SCHEDULE'!Z$49-'WORKING CAPITAL SCHEDULE'!Y$49)</f>
        <v>1146.5482338509592</v>
      </c>
      <c r="AA15" s="301">
        <f>('WORKING CAPITAL SCHEDULE'!AA$34-'WORKING CAPITAL SCHEDULE'!Z$34)+('WORKING CAPITAL SCHEDULE'!AA$49-'WORKING CAPITAL SCHEDULE'!Z$49)</f>
        <v>1167.7256455435054</v>
      </c>
      <c r="AB15" s="301">
        <f>('WORKING CAPITAL SCHEDULE'!AB$34-'WORKING CAPITAL SCHEDULE'!AA$34)+('WORKING CAPITAL SCHEDULE'!AB$49-'WORKING CAPITAL SCHEDULE'!AA$49)</f>
        <v>1189.9619278206865</v>
      </c>
    </row>
    <row r="16" spans="2:28" x14ac:dyDescent="0.3">
      <c r="B16" s="56" t="s">
        <v>2497</v>
      </c>
      <c r="C16" s="190">
        <f>'CASH FLOW STAEMENT'!C$21</f>
        <v>-201</v>
      </c>
      <c r="D16" s="190">
        <f>'CASH FLOW STAEMENT'!D$21</f>
        <v>-495.26</v>
      </c>
      <c r="E16" s="190">
        <f>'CASH FLOW STAEMENT'!E$21</f>
        <v>-752.33</v>
      </c>
      <c r="F16" s="190">
        <f>'CASH FLOW STAEMENT'!F$21</f>
        <v>-420</v>
      </c>
      <c r="G16" s="190">
        <f>'CASH FLOW STAEMENT'!G$21</f>
        <v>-607</v>
      </c>
      <c r="H16" s="197"/>
      <c r="J16" s="190">
        <f>'WORKING CAPITAL SCHEDULE'!$J$19-'WORKING CAPITAL SCHEDULE'!$G$19</f>
        <v>-1693.8888603679052</v>
      </c>
      <c r="K16" s="190">
        <f>'WORKING CAPITAL SCHEDULE'!K$19-'WORKING CAPITAL SCHEDULE'!J$19</f>
        <v>455.77891412665304</v>
      </c>
      <c r="L16" s="190">
        <f>'WORKING CAPITAL SCHEDULE'!L$19-'WORKING CAPITAL SCHEDULE'!K$19</f>
        <v>505.91459468058656</v>
      </c>
      <c r="M16" s="190">
        <f>'WORKING CAPITAL SCHEDULE'!M$19-'WORKING CAPITAL SCHEDULE'!L$19</f>
        <v>561.56520009544965</v>
      </c>
      <c r="N16" s="190">
        <f>'WORKING CAPITAL SCHEDULE'!N$19-'WORKING CAPITAL SCHEDULE'!M$19</f>
        <v>623.33737210594973</v>
      </c>
      <c r="O16" s="197"/>
      <c r="Q16" s="190">
        <f>'WORKING CAPITAL SCHEDULE'!$Q$19-'WORKING CAPITAL SCHEDULE'!$G$19</f>
        <v>-1012.5568460273971</v>
      </c>
      <c r="R16" s="190">
        <f>'WORKING CAPITAL SCHEDULE'!R$19-'WORKING CAPITAL SCHEDULE'!Q$19</f>
        <v>387.33632245479475</v>
      </c>
      <c r="S16" s="190">
        <f>'WORKING CAPITAL SCHEDULE'!S$19-'WORKING CAPITAL SCHEDULE'!R$19</f>
        <v>418.32322825117808</v>
      </c>
      <c r="T16" s="190">
        <f>'WORKING CAPITAL SCHEDULE'!T$19-'WORKING CAPITAL SCHEDULE'!S$19</f>
        <v>451.78908651127222</v>
      </c>
      <c r="U16" s="190">
        <f>'WORKING CAPITAL SCHEDULE'!U$19-'WORKING CAPITAL SCHEDULE'!T$19</f>
        <v>487.93221343217374</v>
      </c>
      <c r="V16" s="197"/>
      <c r="X16" s="190">
        <f>'WORKING CAPITAL SCHEDULE'!$X$19-'WORKING CAPITAL SCHEDULE'!$G$19</f>
        <v>-427.51802739725917</v>
      </c>
      <c r="Y16" s="190">
        <f>'WORKING CAPITAL SCHEDULE'!Y$19-'WORKING CAPITAL SCHEDULE'!X$19</f>
        <v>272.18574246575281</v>
      </c>
      <c r="Z16" s="190">
        <f>'WORKING CAPITAL SCHEDULE'!Z$19-'WORKING CAPITAL SCHEDULE'!Y$19</f>
        <v>285.79502958904231</v>
      </c>
      <c r="AA16" s="190">
        <f>'WORKING CAPITAL SCHEDULE'!AA$19-'WORKING CAPITAL SCHEDULE'!Z$19</f>
        <v>300.08478106849179</v>
      </c>
      <c r="AB16" s="190">
        <f>'WORKING CAPITAL SCHEDULE'!AB$19-'WORKING CAPITAL SCHEDULE'!AA$19</f>
        <v>315.08902012191993</v>
      </c>
    </row>
    <row r="17" spans="2:28" x14ac:dyDescent="0.3">
      <c r="B17" s="56" t="s">
        <v>2498</v>
      </c>
      <c r="C17" s="190">
        <f>'CASH FLOW STAEMENT'!C$22</f>
        <v>112</v>
      </c>
      <c r="D17" s="190">
        <f>'CASH FLOW STAEMENT'!D$22</f>
        <v>-1578.96</v>
      </c>
      <c r="E17" s="190">
        <f>'CASH FLOW STAEMENT'!E$22</f>
        <v>-991.91</v>
      </c>
      <c r="F17" s="190">
        <f>'CASH FLOW STAEMENT'!F$22</f>
        <v>-1711</v>
      </c>
      <c r="G17" s="190">
        <f>'CASH FLOW STAEMENT'!G$22</f>
        <v>-316</v>
      </c>
      <c r="H17" s="197"/>
      <c r="J17" s="190">
        <f>'WORKING CAPITAL SCHEDULE'!$J$11-'WORKING CAPITAL SCHEDULE'!$G$11</f>
        <v>-1164.8411193950669</v>
      </c>
      <c r="K17" s="190">
        <f>'WORKING CAPITAL SCHEDULE'!K$11-'WORKING CAPITAL SCHEDULE'!J$11</f>
        <v>912.0940387405135</v>
      </c>
      <c r="L17" s="190">
        <f>'WORKING CAPITAL SCHEDULE'!L$11-'WORKING CAPITAL SCHEDULE'!K$11</f>
        <v>1012.4243830019732</v>
      </c>
      <c r="M17" s="190">
        <f>'WORKING CAPITAL SCHEDULE'!M$11-'WORKING CAPITAL SCHEDULE'!L$11</f>
        <v>1123.791065132189</v>
      </c>
      <c r="N17" s="190">
        <f>'WORKING CAPITAL SCHEDULE'!N$11-'WORKING CAPITAL SCHEDULE'!M$11</f>
        <v>1247.4080822967317</v>
      </c>
      <c r="O17" s="197"/>
      <c r="Q17" s="190">
        <f>'WORKING CAPITAL SCHEDULE'!$Q$11-'WORKING CAPITAL SCHEDULE'!$G$11</f>
        <v>-940.53857735890415</v>
      </c>
      <c r="R17" s="190">
        <f>'WORKING CAPITAL SCHEDULE'!R$11-'WORKING CAPITAL SCHEDULE'!Q$11</f>
        <v>684.66306140580855</v>
      </c>
      <c r="S17" s="190">
        <f>'WORKING CAPITAL SCHEDULE'!S$11-'WORKING CAPITAL SCHEDULE'!R$11</f>
        <v>739.43610631827323</v>
      </c>
      <c r="T17" s="190">
        <f>'WORKING CAPITAL SCHEDULE'!T$11-'WORKING CAPITAL SCHEDULE'!S$11</f>
        <v>798.59099482373676</v>
      </c>
      <c r="U17" s="190">
        <f>'WORKING CAPITAL SCHEDULE'!U$11-'WORKING CAPITAL SCHEDULE'!T$11</f>
        <v>862.4782744096301</v>
      </c>
      <c r="V17" s="197"/>
      <c r="X17" s="190">
        <f>'WORKING CAPITAL SCHEDULE'!$X$11-'WORKING CAPITAL SCHEDULE'!$G$11</f>
        <v>-756.47906016438174</v>
      </c>
      <c r="Y17" s="190">
        <f>'WORKING CAPITAL SCHEDULE'!Y$11-'WORKING CAPITAL SCHEDULE'!X$11</f>
        <v>438.76341685479383</v>
      </c>
      <c r="Z17" s="190">
        <f>'WORKING CAPITAL SCHEDULE'!Z$11-'WORKING CAPITAL SCHEDULE'!Y$11</f>
        <v>460.70158769753652</v>
      </c>
      <c r="AA17" s="190">
        <f>'WORKING CAPITAL SCHEDULE'!AA$11-'WORKING CAPITAL SCHEDULE'!Z$11</f>
        <v>483.73666708240853</v>
      </c>
      <c r="AB17" s="190">
        <f>'WORKING CAPITAL SCHEDULE'!AB$11-'WORKING CAPITAL SCHEDULE'!AA$11</f>
        <v>507.9235004365346</v>
      </c>
    </row>
    <row r="18" spans="2:28" x14ac:dyDescent="0.3">
      <c r="B18" s="333" t="s">
        <v>2499</v>
      </c>
      <c r="C18" s="314">
        <f>'CASH FLOW STAEMENT'!C$23</f>
        <v>-638</v>
      </c>
      <c r="D18" s="314">
        <f>'CASH FLOW STAEMENT'!D$23</f>
        <v>-473.76</v>
      </c>
      <c r="E18" s="314">
        <f>'CASH FLOW STAEMENT'!E$23</f>
        <v>-479.3</v>
      </c>
      <c r="F18" s="314">
        <f>'CASH FLOW STAEMENT'!F$23</f>
        <v>-278</v>
      </c>
      <c r="G18" s="314">
        <f>'CASH FLOW STAEMENT'!G$23</f>
        <v>762</v>
      </c>
      <c r="H18" s="197"/>
      <c r="J18" s="314">
        <f>'WORKING CAPITAL SCHEDULE'!$J$16-'WORKING CAPITAL SCHEDULE'!$G$16</f>
        <v>601</v>
      </c>
      <c r="K18" s="314">
        <f>'WORKING CAPITAL SCHEDULE'!K$16-'WORKING CAPITAL SCHEDULE'!J$16</f>
        <v>0</v>
      </c>
      <c r="L18" s="314">
        <f>'WORKING CAPITAL SCHEDULE'!L$16-'WORKING CAPITAL SCHEDULE'!K$16</f>
        <v>0</v>
      </c>
      <c r="M18" s="314">
        <f>'WORKING CAPITAL SCHEDULE'!M$16-'WORKING CAPITAL SCHEDULE'!L$16</f>
        <v>0</v>
      </c>
      <c r="N18" s="314">
        <f>'WORKING CAPITAL SCHEDULE'!N$16-'WORKING CAPITAL SCHEDULE'!M$16</f>
        <v>0</v>
      </c>
      <c r="O18" s="197"/>
      <c r="Q18" s="314">
        <f>'WORKING CAPITAL SCHEDULE'!$Q$16-'WORKING CAPITAL SCHEDULE'!$G$16</f>
        <v>464.55400000000009</v>
      </c>
      <c r="R18" s="314">
        <f>'WORKING CAPITAL SCHEDULE'!R$16-'WORKING CAPITAL SCHEDULE'!Q$16</f>
        <v>0</v>
      </c>
      <c r="S18" s="314">
        <f>'WORKING CAPITAL SCHEDULE'!S$16-'WORKING CAPITAL SCHEDULE'!R$16</f>
        <v>0</v>
      </c>
      <c r="T18" s="314">
        <f>'WORKING CAPITAL SCHEDULE'!T$16-'WORKING CAPITAL SCHEDULE'!S$16</f>
        <v>0</v>
      </c>
      <c r="U18" s="314">
        <f>'WORKING CAPITAL SCHEDULE'!U$16-'WORKING CAPITAL SCHEDULE'!T$16</f>
        <v>0</v>
      </c>
      <c r="V18" s="197"/>
      <c r="X18" s="314">
        <f>'WORKING CAPITAL SCHEDULE'!$X$16-'WORKING CAPITAL SCHEDULE'!$G$16</f>
        <v>0</v>
      </c>
      <c r="Y18" s="314">
        <f>'WORKING CAPITAL SCHEDULE'!Y$16-'WORKING CAPITAL SCHEDULE'!X$16</f>
        <v>0</v>
      </c>
      <c r="Z18" s="314">
        <f>'WORKING CAPITAL SCHEDULE'!Z$16-'WORKING CAPITAL SCHEDULE'!Y$16</f>
        <v>0</v>
      </c>
      <c r="AA18" s="314">
        <f>'WORKING CAPITAL SCHEDULE'!AA$16-'WORKING CAPITAL SCHEDULE'!Z$16</f>
        <v>0</v>
      </c>
      <c r="AB18" s="314">
        <f>'WORKING CAPITAL SCHEDULE'!AB$16-'WORKING CAPITAL SCHEDULE'!AA$16</f>
        <v>0</v>
      </c>
    </row>
    <row r="19" spans="2:28" x14ac:dyDescent="0.3">
      <c r="H19" s="197"/>
      <c r="O19" s="197"/>
      <c r="V19" s="197"/>
    </row>
    <row r="20" spans="2:28" x14ac:dyDescent="0.3">
      <c r="B20" s="18" t="s">
        <v>355</v>
      </c>
      <c r="C20" s="195">
        <f>'CASH FLOW STAEMENT'!C$24</f>
        <v>14324</v>
      </c>
      <c r="D20" s="195">
        <f>'CASH FLOW STAEMENT'!D$24</f>
        <v>11387.379999999996</v>
      </c>
      <c r="E20" s="195">
        <f>'CASH FLOW STAEMENT'!E$24</f>
        <v>10495.540000000003</v>
      </c>
      <c r="F20" s="195">
        <f>'CASH FLOW STAEMENT'!F$24</f>
        <v>12897</v>
      </c>
      <c r="G20" s="195">
        <f>'CASH FLOW STAEMENT'!G$24</f>
        <v>12376</v>
      </c>
      <c r="H20" s="197"/>
      <c r="J20" s="195">
        <f>SUM(J11,J15,J16,J17,J18)</f>
        <v>17241.336159123912</v>
      </c>
      <c r="K20" s="195">
        <f t="shared" ref="K20:N20" si="4">SUM(K11,K15,K16,K17,K18)</f>
        <v>23140.307097448043</v>
      </c>
      <c r="L20" s="195">
        <f t="shared" si="4"/>
        <v>25583.997918167348</v>
      </c>
      <c r="M20" s="195">
        <f t="shared" si="4"/>
        <v>28296.494729165752</v>
      </c>
      <c r="N20" s="195">
        <f t="shared" si="4"/>
        <v>31307.366189373985</v>
      </c>
      <c r="O20" s="197"/>
      <c r="Q20" s="195">
        <f>SUM(Q11,Q15,Q16,Q17,Q18)</f>
        <v>13455.540883046571</v>
      </c>
      <c r="R20" s="195">
        <f t="shared" ref="R20:U20" si="5">SUM(R11,R15,R16,R17,R18)</f>
        <v>18139.245885810855</v>
      </c>
      <c r="S20" s="195">
        <f t="shared" si="5"/>
        <v>19518.657508675722</v>
      </c>
      <c r="T20" s="195">
        <f t="shared" si="5"/>
        <v>21008.422061369776</v>
      </c>
      <c r="U20" s="195">
        <f t="shared" si="5"/>
        <v>22617.367778279353</v>
      </c>
      <c r="V20" s="197"/>
      <c r="X20" s="195">
        <f>SUM(X11,X15,X16,X17,X18)</f>
        <v>9638.7143478356247</v>
      </c>
      <c r="Y20" s="195">
        <f t="shared" ref="Y20:AB20" si="6">SUM(Y11,Y15,Y16,Y17,Y18)</f>
        <v>13723.989239254786</v>
      </c>
      <c r="Z20" s="195">
        <f t="shared" si="6"/>
        <v>14363.870701217542</v>
      </c>
      <c r="AA20" s="195">
        <f t="shared" si="6"/>
        <v>15035.746236278408</v>
      </c>
      <c r="AB20" s="195">
        <f t="shared" si="6"/>
        <v>15741.215548092341</v>
      </c>
    </row>
    <row r="21" spans="2:28" x14ac:dyDescent="0.3">
      <c r="H21" s="197"/>
      <c r="O21" s="197"/>
      <c r="V21" s="197"/>
    </row>
    <row r="22" spans="2:28" x14ac:dyDescent="0.3">
      <c r="B22" s="342" t="s">
        <v>356</v>
      </c>
      <c r="C22" s="203">
        <f>'CASH FLOW STAEMENT'!C$25</f>
        <v>-1290</v>
      </c>
      <c r="D22" s="203">
        <f>'CASH FLOW STAEMENT'!D$25</f>
        <v>-1554.89</v>
      </c>
      <c r="E22" s="203">
        <f>'CASH FLOW STAEMENT'!E$25</f>
        <v>-1124.31</v>
      </c>
      <c r="F22" s="203">
        <f>'CASH FLOW STAEMENT'!F$25</f>
        <v>-1650</v>
      </c>
      <c r="G22" s="203">
        <f>'CASH FLOW STAEMENT'!G$25</f>
        <v>-1300</v>
      </c>
      <c r="H22" s="307"/>
      <c r="I22" s="308"/>
      <c r="J22" s="203">
        <v>-1124</v>
      </c>
      <c r="K22" s="203">
        <f>$J$22</f>
        <v>-1124</v>
      </c>
      <c r="L22" s="203">
        <f t="shared" ref="L22:N22" si="7">$J$22</f>
        <v>-1124</v>
      </c>
      <c r="M22" s="203">
        <f t="shared" si="7"/>
        <v>-1124</v>
      </c>
      <c r="N22" s="203">
        <f t="shared" si="7"/>
        <v>-1124</v>
      </c>
      <c r="O22" s="307"/>
      <c r="P22" s="308"/>
      <c r="Q22" s="203">
        <f>AVERAGE(C22:G22)</f>
        <v>-1383.8400000000001</v>
      </c>
      <c r="R22" s="203">
        <f>$Q$22</f>
        <v>-1383.8400000000001</v>
      </c>
      <c r="S22" s="203">
        <f t="shared" ref="S22:U22" si="8">$Q$22</f>
        <v>-1383.8400000000001</v>
      </c>
      <c r="T22" s="203">
        <f t="shared" si="8"/>
        <v>-1383.8400000000001</v>
      </c>
      <c r="U22" s="203">
        <f t="shared" si="8"/>
        <v>-1383.8400000000001</v>
      </c>
      <c r="V22" s="307"/>
      <c r="W22" s="308"/>
      <c r="X22" s="203">
        <v>-1555</v>
      </c>
      <c r="Y22" s="203">
        <f>$X$22</f>
        <v>-1555</v>
      </c>
      <c r="Z22" s="203">
        <f t="shared" ref="Z22:AB22" si="9">$X$22</f>
        <v>-1555</v>
      </c>
      <c r="AA22" s="203">
        <f t="shared" si="9"/>
        <v>-1555</v>
      </c>
      <c r="AB22" s="203">
        <f t="shared" si="9"/>
        <v>-1555</v>
      </c>
    </row>
    <row r="23" spans="2:28" ht="7.05" customHeight="1" x14ac:dyDescent="0.3">
      <c r="H23" s="197"/>
      <c r="O23" s="197"/>
      <c r="V23" s="197"/>
    </row>
    <row r="24" spans="2:28" x14ac:dyDescent="0.3">
      <c r="B24" s="199" t="s">
        <v>2642</v>
      </c>
      <c r="H24" s="197"/>
      <c r="O24" s="197"/>
      <c r="V24" s="197"/>
    </row>
    <row r="25" spans="2:28" ht="7.05" customHeight="1" x14ac:dyDescent="0.3">
      <c r="H25" s="197"/>
      <c r="O25" s="197"/>
      <c r="V25" s="197"/>
    </row>
    <row r="26" spans="2:28" x14ac:dyDescent="0.3">
      <c r="B26" s="340" t="s">
        <v>2500</v>
      </c>
      <c r="C26" s="301">
        <f>'CASH FLOW STAEMENT'!C$32</f>
        <v>82</v>
      </c>
      <c r="D26" s="301">
        <f>'CASH FLOW STAEMENT'!D$32</f>
        <v>63</v>
      </c>
      <c r="E26" s="301">
        <f>'CASH FLOW STAEMENT'!E$32</f>
        <v>94.53</v>
      </c>
      <c r="F26" s="301">
        <f>'CASH FLOW STAEMENT'!F$32</f>
        <v>121</v>
      </c>
      <c r="G26" s="301">
        <f>'CASH FLOW STAEMENT'!G$32</f>
        <v>178</v>
      </c>
      <c r="H26" s="197"/>
      <c r="J26" s="347">
        <v>150</v>
      </c>
      <c r="K26" s="301">
        <f>$J$26</f>
        <v>150</v>
      </c>
      <c r="L26" s="301">
        <f t="shared" ref="L26:N26" si="10">$J$26</f>
        <v>150</v>
      </c>
      <c r="M26" s="301">
        <f t="shared" si="10"/>
        <v>150</v>
      </c>
      <c r="N26" s="301">
        <f t="shared" si="10"/>
        <v>150</v>
      </c>
      <c r="O26" s="197"/>
      <c r="Q26" s="347">
        <f>AVERAGE(C26:G26)</f>
        <v>107.70599999999999</v>
      </c>
      <c r="R26" s="301">
        <f>$Q$26</f>
        <v>107.70599999999999</v>
      </c>
      <c r="S26" s="301">
        <f t="shared" ref="S26:U26" si="11">$Q$26</f>
        <v>107.70599999999999</v>
      </c>
      <c r="T26" s="301">
        <f t="shared" si="11"/>
        <v>107.70599999999999</v>
      </c>
      <c r="U26" s="301">
        <f t="shared" si="11"/>
        <v>107.70599999999999</v>
      </c>
      <c r="V26" s="197"/>
      <c r="X26" s="347">
        <v>70</v>
      </c>
      <c r="Y26" s="301">
        <f>$X$26</f>
        <v>70</v>
      </c>
      <c r="Z26" s="301">
        <f t="shared" ref="Z26:AB26" si="12">$X$26</f>
        <v>70</v>
      </c>
      <c r="AA26" s="301">
        <f t="shared" si="12"/>
        <v>70</v>
      </c>
      <c r="AB26" s="301">
        <f t="shared" si="12"/>
        <v>70</v>
      </c>
    </row>
    <row r="27" spans="2:28" x14ac:dyDescent="0.3">
      <c r="B27" s="56" t="s">
        <v>359</v>
      </c>
      <c r="C27" s="190">
        <f>'CASH FLOW STAEMENT'!C$33</f>
        <v>-12668</v>
      </c>
      <c r="D27" s="190">
        <f>'CASH FLOW STAEMENT'!D$33</f>
        <v>-6395</v>
      </c>
      <c r="E27" s="190">
        <f>'CASH FLOW STAEMENT'!E$33</f>
        <v>-7189.85</v>
      </c>
      <c r="F27" s="190">
        <f>'CASH FLOW STAEMENT'!F$33</f>
        <v>-7203</v>
      </c>
      <c r="G27" s="190">
        <f>'CASH FLOW STAEMENT'!G$33</f>
        <v>-15005</v>
      </c>
      <c r="H27" s="197"/>
      <c r="J27" s="311">
        <v>-10000</v>
      </c>
      <c r="K27" s="311">
        <v>-12500</v>
      </c>
      <c r="L27" s="311">
        <v>-13000</v>
      </c>
      <c r="M27" s="311">
        <v>-14000</v>
      </c>
      <c r="N27" s="311">
        <v>-17000</v>
      </c>
      <c r="O27" s="197"/>
      <c r="Q27" s="311">
        <v>-8000</v>
      </c>
      <c r="R27" s="311">
        <v>-10500</v>
      </c>
      <c r="S27" s="311">
        <f t="shared" ref="S27:T27" si="13">$Q$27</f>
        <v>-8000</v>
      </c>
      <c r="T27" s="311">
        <f t="shared" si="13"/>
        <v>-8000</v>
      </c>
      <c r="U27" s="311">
        <v>-10500</v>
      </c>
      <c r="V27" s="197"/>
      <c r="X27" s="311">
        <v>-7000</v>
      </c>
      <c r="Y27" s="311">
        <f>$X$27</f>
        <v>-7000</v>
      </c>
      <c r="Z27" s="311">
        <f t="shared" ref="Z27:AB27" si="14">$X$27</f>
        <v>-7000</v>
      </c>
      <c r="AA27" s="311">
        <f t="shared" si="14"/>
        <v>-7000</v>
      </c>
      <c r="AB27" s="311">
        <f t="shared" si="14"/>
        <v>-7000</v>
      </c>
    </row>
    <row r="28" spans="2:28" x14ac:dyDescent="0.3">
      <c r="B28" s="429" t="s">
        <v>2748</v>
      </c>
      <c r="C28" s="16">
        <f>'CASH FLOW STAEMENT'!C$35</f>
        <v>-3</v>
      </c>
      <c r="D28" s="16">
        <f>'CASH FLOW STAEMENT'!D$35</f>
        <v>-2</v>
      </c>
      <c r="E28" s="16">
        <f>'CASH FLOW STAEMENT'!E$35</f>
        <v>-846</v>
      </c>
      <c r="F28" s="16">
        <f>'CASH FLOW STAEMENT'!F$35</f>
        <v>-66.849999999999994</v>
      </c>
      <c r="G28" s="16">
        <f>'CASH FLOW STAEMENT'!G$35</f>
        <v>-9209</v>
      </c>
      <c r="H28" s="197"/>
      <c r="J28" s="311">
        <v>-3025</v>
      </c>
      <c r="K28" s="190">
        <f>$J$28</f>
        <v>-3025</v>
      </c>
      <c r="L28" s="190">
        <f t="shared" ref="L28:N28" si="15">$J$28</f>
        <v>-3025</v>
      </c>
      <c r="M28" s="190">
        <f t="shared" si="15"/>
        <v>-3025</v>
      </c>
      <c r="N28" s="190">
        <f t="shared" si="15"/>
        <v>-3025</v>
      </c>
      <c r="O28" s="197"/>
      <c r="Q28" s="190">
        <f>AVERAGE(C28:G28)</f>
        <v>-2025.3700000000001</v>
      </c>
      <c r="R28" s="190">
        <f>$Q$28</f>
        <v>-2025.3700000000001</v>
      </c>
      <c r="S28" s="190">
        <f t="shared" ref="S28:U28" si="16">$Q$28</f>
        <v>-2025.3700000000001</v>
      </c>
      <c r="T28" s="190">
        <f t="shared" si="16"/>
        <v>-2025.3700000000001</v>
      </c>
      <c r="U28" s="190">
        <f t="shared" si="16"/>
        <v>-2025.3700000000001</v>
      </c>
      <c r="V28" s="197"/>
      <c r="X28" s="311">
        <v>-1025</v>
      </c>
      <c r="Y28" s="190">
        <f>$X$28</f>
        <v>-1025</v>
      </c>
      <c r="Z28" s="190">
        <f t="shared" ref="Z28:AB28" si="17">$X$28</f>
        <v>-1025</v>
      </c>
      <c r="AA28" s="190">
        <f t="shared" si="17"/>
        <v>-1025</v>
      </c>
      <c r="AB28" s="190">
        <f t="shared" si="17"/>
        <v>-1025</v>
      </c>
    </row>
    <row r="29" spans="2:28" x14ac:dyDescent="0.3">
      <c r="B29" s="333" t="s">
        <v>2503</v>
      </c>
      <c r="C29" s="314">
        <f>'CASH FLOW STAEMENT'!C$34</f>
        <v>5427</v>
      </c>
      <c r="D29" s="314">
        <f>'CASH FLOW STAEMENT'!D$34</f>
        <v>13965</v>
      </c>
      <c r="E29" s="314">
        <f>'CASH FLOW STAEMENT'!E$34</f>
        <v>6626</v>
      </c>
      <c r="F29" s="314">
        <f>'CASH FLOW STAEMENT'!F$34</f>
        <v>7163</v>
      </c>
      <c r="G29" s="314">
        <f>'CASH FLOW STAEMENT'!G$34</f>
        <v>17972</v>
      </c>
      <c r="H29" s="197"/>
      <c r="J29" s="314">
        <f>Q$29+1000</f>
        <v>11230.6</v>
      </c>
      <c r="K29" s="314">
        <f t="shared" ref="K29:N29" si="18">R$29+1000</f>
        <v>11230.6</v>
      </c>
      <c r="L29" s="314">
        <f t="shared" si="18"/>
        <v>11230.6</v>
      </c>
      <c r="M29" s="314">
        <f t="shared" si="18"/>
        <v>11230.6</v>
      </c>
      <c r="N29" s="314">
        <f t="shared" si="18"/>
        <v>11230.6</v>
      </c>
      <c r="O29" s="197"/>
      <c r="Q29" s="314">
        <f>AVERAGE(C29,D29,E29,F29,G29)</f>
        <v>10230.6</v>
      </c>
      <c r="R29" s="314">
        <f>$Q$29</f>
        <v>10230.6</v>
      </c>
      <c r="S29" s="314">
        <f t="shared" ref="S29:U29" si="19">$Q$29</f>
        <v>10230.6</v>
      </c>
      <c r="T29" s="314">
        <f t="shared" si="19"/>
        <v>10230.6</v>
      </c>
      <c r="U29" s="314">
        <f t="shared" si="19"/>
        <v>10230.6</v>
      </c>
      <c r="V29" s="197"/>
      <c r="X29" s="314">
        <f>Q$29-1000</f>
        <v>9230.6</v>
      </c>
      <c r="Y29" s="314">
        <f t="shared" ref="Y29:AB29" si="20">R$29-1000</f>
        <v>9230.6</v>
      </c>
      <c r="Z29" s="314">
        <f t="shared" si="20"/>
        <v>9230.6</v>
      </c>
      <c r="AA29" s="314">
        <f t="shared" si="20"/>
        <v>9230.6</v>
      </c>
      <c r="AB29" s="314">
        <f t="shared" si="20"/>
        <v>9230.6</v>
      </c>
    </row>
    <row r="30" spans="2:28" ht="7.05" customHeight="1" x14ac:dyDescent="0.3">
      <c r="H30" s="197"/>
      <c r="O30" s="197"/>
      <c r="V30" s="197"/>
    </row>
    <row r="31" spans="2:28" x14ac:dyDescent="0.3">
      <c r="B31" s="199" t="s">
        <v>2643</v>
      </c>
      <c r="H31" s="197"/>
      <c r="O31" s="197"/>
      <c r="V31" s="197"/>
    </row>
    <row r="32" spans="2:28" ht="7.05" customHeight="1" x14ac:dyDescent="0.3">
      <c r="H32" s="197"/>
      <c r="O32" s="197"/>
      <c r="V32" s="197"/>
    </row>
    <row r="33" spans="2:28" x14ac:dyDescent="0.3">
      <c r="B33" s="340" t="s">
        <v>2644</v>
      </c>
      <c r="C33" s="301">
        <f>'CASH FLOW STAEMENT'!C$42</f>
        <v>-1169</v>
      </c>
      <c r="D33" s="301">
        <f>'CASH FLOW STAEMENT'!D$42</f>
        <v>-7392</v>
      </c>
      <c r="E33" s="301">
        <f>'CASH FLOW STAEMENT'!E$42</f>
        <v>-246</v>
      </c>
      <c r="F33" s="301">
        <f>'CASH FLOW STAEMENT'!F$42</f>
        <v>-629</v>
      </c>
      <c r="G33" s="301">
        <f>'CASH FLOW STAEMENT'!G$42</f>
        <v>6791</v>
      </c>
      <c r="H33" s="197"/>
      <c r="J33" s="301">
        <f>'FINANCE COST SCHEDULE'!$F$51</f>
        <v>2000</v>
      </c>
      <c r="K33" s="301">
        <f>$J$33</f>
        <v>2000</v>
      </c>
      <c r="L33" s="301">
        <f t="shared" ref="L33:N33" si="21">$J$33</f>
        <v>2000</v>
      </c>
      <c r="M33" s="301">
        <f t="shared" si="21"/>
        <v>2000</v>
      </c>
      <c r="N33" s="301">
        <f t="shared" si="21"/>
        <v>2000</v>
      </c>
      <c r="O33" s="197"/>
      <c r="Q33" s="301">
        <f>'FINANCE COST SCHEDULE'!$F$52</f>
        <v>3700</v>
      </c>
      <c r="R33" s="301">
        <f>$Q$33</f>
        <v>3700</v>
      </c>
      <c r="S33" s="301">
        <f t="shared" ref="S33:U33" si="22">$Q$33</f>
        <v>3700</v>
      </c>
      <c r="T33" s="301">
        <f t="shared" si="22"/>
        <v>3700</v>
      </c>
      <c r="U33" s="301">
        <f t="shared" si="22"/>
        <v>3700</v>
      </c>
      <c r="V33" s="197"/>
      <c r="X33" s="301">
        <f>'FINANCE COST SCHEDULE'!$F$53</f>
        <v>3000</v>
      </c>
      <c r="Y33" s="301">
        <f>$X$33</f>
        <v>3000</v>
      </c>
      <c r="Z33" s="301">
        <f t="shared" ref="Z33:AB33" si="23">$X$33</f>
        <v>3000</v>
      </c>
      <c r="AA33" s="301">
        <f t="shared" si="23"/>
        <v>3000</v>
      </c>
      <c r="AB33" s="301">
        <f t="shared" si="23"/>
        <v>3000</v>
      </c>
    </row>
    <row r="34" spans="2:28" x14ac:dyDescent="0.3">
      <c r="B34" s="56" t="s">
        <v>2514</v>
      </c>
      <c r="C34" s="190">
        <f>'CASH FLOW STAEMENT'!C$43</f>
        <v>277</v>
      </c>
      <c r="D34" s="190">
        <f>'CASH FLOW STAEMENT'!D$43</f>
        <v>32</v>
      </c>
      <c r="E34" s="190">
        <f>'CASH FLOW STAEMENT'!E$43</f>
        <v>-114</v>
      </c>
      <c r="F34" s="190">
        <f>'CASH FLOW STAEMENT'!F$43</f>
        <v>958</v>
      </c>
      <c r="G34" s="190">
        <f>'CASH FLOW STAEMENT'!G$43</f>
        <v>2068</v>
      </c>
      <c r="H34" s="197"/>
      <c r="J34" s="190">
        <f>'FINANCE COST SCHEDULE'!$C$51</f>
        <v>-3200</v>
      </c>
      <c r="K34" s="190">
        <f>$J$34</f>
        <v>-3200</v>
      </c>
      <c r="L34" s="190">
        <f t="shared" ref="L34:N34" si="24">$J$34</f>
        <v>-3200</v>
      </c>
      <c r="M34" s="190">
        <f t="shared" si="24"/>
        <v>-3200</v>
      </c>
      <c r="N34" s="190">
        <f t="shared" si="24"/>
        <v>-3200</v>
      </c>
      <c r="O34" s="197"/>
      <c r="Q34" s="190">
        <f>'FINANCE COST SCHEDULE'!$C$52</f>
        <v>-5000</v>
      </c>
      <c r="R34" s="190">
        <f>$Q$34</f>
        <v>-5000</v>
      </c>
      <c r="S34" s="190">
        <f t="shared" ref="S34:U34" si="25">$Q$34</f>
        <v>-5000</v>
      </c>
      <c r="T34" s="190">
        <f t="shared" si="25"/>
        <v>-5000</v>
      </c>
      <c r="U34" s="190">
        <f t="shared" si="25"/>
        <v>-5000</v>
      </c>
      <c r="V34" s="197"/>
      <c r="X34" s="190">
        <f>'FINANCE COST SCHEDULE'!$C$53</f>
        <v>-4000</v>
      </c>
      <c r="Y34" s="190">
        <f>$X$34</f>
        <v>-4000</v>
      </c>
      <c r="Z34" s="190">
        <f t="shared" ref="Z34:AB34" si="26">$X$34</f>
        <v>-4000</v>
      </c>
      <c r="AA34" s="190">
        <f t="shared" si="26"/>
        <v>-4000</v>
      </c>
      <c r="AB34" s="190">
        <f t="shared" si="26"/>
        <v>-4000</v>
      </c>
    </row>
    <row r="35" spans="2:28" x14ac:dyDescent="0.3">
      <c r="B35" s="333" t="s">
        <v>2519</v>
      </c>
      <c r="C35" s="314">
        <f>-'INCOME STATEMENT'!C$46</f>
        <v>-374</v>
      </c>
      <c r="D35" s="314">
        <f>-'INCOME STATEMENT'!D$46</f>
        <v>-1065</v>
      </c>
      <c r="E35" s="314">
        <f>'INCOME STATEMENT'!E$46</f>
        <v>1091</v>
      </c>
      <c r="F35" s="314">
        <f>-'INCOME STATEMENT'!F$46</f>
        <v>-1094</v>
      </c>
      <c r="G35" s="314">
        <f>-'INCOME STATEMENT'!G$46</f>
        <v>-2011</v>
      </c>
      <c r="H35" s="197"/>
      <c r="J35" s="343">
        <v>-1850.6178392212501</v>
      </c>
      <c r="K35" s="343">
        <v>-2103.73943860502</v>
      </c>
      <c r="L35" s="343">
        <v>-2310.8456276490201</v>
      </c>
      <c r="M35" s="343">
        <v>-2548.2784714118502</v>
      </c>
      <c r="N35" s="343">
        <v>-2841.2508444085902</v>
      </c>
      <c r="O35" s="344"/>
      <c r="P35" s="345"/>
      <c r="Q35" s="343">
        <v>-1198.36904110917</v>
      </c>
      <c r="R35" s="343">
        <v>-1367.34622012006</v>
      </c>
      <c r="S35" s="343">
        <v>-1427.9072015518</v>
      </c>
      <c r="T35" s="343">
        <v>-1479.75955988537</v>
      </c>
      <c r="U35" s="343">
        <v>-1587.89983830702</v>
      </c>
      <c r="V35" s="344"/>
      <c r="W35" s="345"/>
      <c r="X35" s="346">
        <v>-720.19498919759997</v>
      </c>
      <c r="Y35" s="346">
        <v>-830.638084560479</v>
      </c>
      <c r="Z35" s="346">
        <v>-792.38895815150397</v>
      </c>
      <c r="AA35" s="346">
        <v>-739.60763983207903</v>
      </c>
      <c r="AB35" s="346">
        <v>-749.70119394668302</v>
      </c>
    </row>
    <row r="37" spans="2:28" x14ac:dyDescent="0.3">
      <c r="B37" s="331"/>
      <c r="C37" s="293"/>
      <c r="D37" s="293"/>
      <c r="E37" s="293"/>
      <c r="F37" s="293"/>
      <c r="G37" s="293"/>
      <c r="H37" s="189"/>
      <c r="I37" s="189"/>
      <c r="J37" s="189"/>
      <c r="K37" s="189"/>
      <c r="L37" s="189"/>
      <c r="M37" s="189"/>
      <c r="N37" s="189"/>
      <c r="O37" s="189"/>
      <c r="P37" s="189"/>
      <c r="Q37" s="189"/>
      <c r="R37" s="189"/>
      <c r="S37" s="189"/>
      <c r="T37" s="189"/>
      <c r="U37" s="189"/>
      <c r="V37" s="189"/>
      <c r="W37" s="189"/>
      <c r="X37" s="189"/>
      <c r="Y37" s="189"/>
      <c r="Z37" s="189"/>
      <c r="AA37" s="189"/>
      <c r="AB37" s="189"/>
    </row>
    <row r="39" spans="2:28" x14ac:dyDescent="0.3">
      <c r="B39" s="514" t="s">
        <v>2645</v>
      </c>
      <c r="C39" s="514"/>
      <c r="D39" s="514"/>
      <c r="E39" s="514"/>
      <c r="F39" s="514"/>
      <c r="G39" s="514"/>
      <c r="H39" s="514"/>
      <c r="I39" s="514"/>
      <c r="J39" s="514"/>
      <c r="K39" s="514"/>
      <c r="L39" s="514"/>
      <c r="M39" s="514"/>
      <c r="N39" s="514"/>
      <c r="O39" s="514"/>
      <c r="P39" s="514"/>
      <c r="Q39" s="514"/>
      <c r="R39" s="514"/>
      <c r="S39" s="514"/>
      <c r="T39" s="514"/>
      <c r="U39" s="514"/>
      <c r="V39" s="514"/>
      <c r="W39" s="514"/>
      <c r="X39" s="514"/>
      <c r="Y39" s="514"/>
      <c r="Z39" s="514"/>
      <c r="AA39" s="514"/>
      <c r="AB39" s="514"/>
    </row>
  </sheetData>
  <mergeCells count="1">
    <mergeCell ref="B39:AB39"/>
  </mergeCells>
  <printOptions horizontalCentered="1" verticalCentered="1"/>
  <pageMargins left="0" right="0" top="0" bottom="0" header="0" footer="0"/>
  <pageSetup paperSize="9" scale="36" orientation="landscape" horizontalDpi="1200" verticalDpi="1200" r:id="rId1"/>
  <ignoredErrors>
    <ignoredError sqref="Q28" formula="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workbookViewId="0"/>
  </sheetViews>
  <sheetFormatPr defaultRowHeight="14.4" x14ac:dyDescent="0.3"/>
  <cols>
    <col min="1" max="16384" width="8.88671875" style="53"/>
  </cols>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T121"/>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3" customWidth="1"/>
    <col min="2" max="2" width="44.77734375" style="3" customWidth="1"/>
    <col min="3" max="3" width="17.77734375" style="3" bestFit="1" customWidth="1"/>
    <col min="4" max="7" width="16.77734375" style="3"/>
    <col min="8" max="9" width="2" style="3" customWidth="1"/>
    <col min="10" max="16384" width="16.77734375" style="3"/>
  </cols>
  <sheetData>
    <row r="1" spans="2:18" ht="15.6" x14ac:dyDescent="0.4">
      <c r="B1" s="104" t="s">
        <v>342</v>
      </c>
      <c r="C1" s="105"/>
      <c r="D1" s="105"/>
      <c r="E1" s="105"/>
      <c r="F1" s="105"/>
      <c r="G1" s="105"/>
      <c r="H1" s="105"/>
      <c r="I1" s="105"/>
      <c r="J1" s="105"/>
      <c r="K1" s="105"/>
      <c r="L1" s="105"/>
      <c r="M1" s="105"/>
      <c r="N1" s="105"/>
    </row>
    <row r="2" spans="2:18" ht="23.4" x14ac:dyDescent="0.45">
      <c r="B2" s="106" t="s">
        <v>341</v>
      </c>
      <c r="C2" s="105"/>
      <c r="D2" s="105"/>
      <c r="E2" s="105"/>
      <c r="F2" s="105"/>
      <c r="G2" s="105"/>
      <c r="H2" s="105"/>
      <c r="I2" s="105"/>
      <c r="J2" s="105"/>
      <c r="K2" s="105"/>
      <c r="L2" s="105"/>
      <c r="M2" s="105"/>
      <c r="N2" s="105"/>
    </row>
    <row r="3" spans="2:18" x14ac:dyDescent="0.3">
      <c r="B3" s="105" t="s">
        <v>343</v>
      </c>
      <c r="C3" s="105"/>
      <c r="D3" s="105"/>
      <c r="E3" s="105"/>
      <c r="F3" s="105"/>
      <c r="G3" s="105"/>
      <c r="H3" s="105"/>
      <c r="I3" s="105"/>
      <c r="J3" s="105"/>
      <c r="K3" s="105"/>
      <c r="L3" s="105"/>
      <c r="M3" s="105"/>
      <c r="N3" s="105"/>
    </row>
    <row r="5" spans="2:18" x14ac:dyDescent="0.3">
      <c r="B5" s="107" t="s">
        <v>0</v>
      </c>
      <c r="C5" s="107"/>
      <c r="D5" s="107"/>
      <c r="E5" s="105"/>
      <c r="F5" s="107"/>
      <c r="G5" s="107"/>
      <c r="H5" s="198"/>
      <c r="I5" s="1"/>
      <c r="J5" s="107" t="s">
        <v>459</v>
      </c>
      <c r="K5" s="528" t="s">
        <v>460</v>
      </c>
      <c r="L5" s="528"/>
      <c r="M5" s="528"/>
      <c r="N5" s="201">
        <v>2</v>
      </c>
    </row>
    <row r="6" spans="2:18" x14ac:dyDescent="0.3">
      <c r="H6" s="78"/>
    </row>
    <row r="7" spans="2:18" x14ac:dyDescent="0.3">
      <c r="B7" s="107" t="s">
        <v>1</v>
      </c>
      <c r="C7" s="110">
        <v>44390</v>
      </c>
      <c r="D7" s="110">
        <f t="shared" ref="D7:F7" si="0">EDATE(C7,12)</f>
        <v>44755</v>
      </c>
      <c r="E7" s="110">
        <f t="shared" si="0"/>
        <v>45120</v>
      </c>
      <c r="F7" s="110">
        <f t="shared" si="0"/>
        <v>45486</v>
      </c>
      <c r="G7" s="110">
        <f t="shared" ref="G7" si="1">EDATE(F7,12)</f>
        <v>45851</v>
      </c>
      <c r="H7" s="198"/>
      <c r="I7" s="1"/>
      <c r="J7" s="279">
        <v>46112</v>
      </c>
      <c r="K7" s="279">
        <f>EDATE(J7,12)</f>
        <v>46477</v>
      </c>
      <c r="L7" s="279">
        <f t="shared" ref="L7:N7" si="2">EDATE(K7,12)</f>
        <v>46843</v>
      </c>
      <c r="M7" s="279">
        <f t="shared" si="2"/>
        <v>47208</v>
      </c>
      <c r="N7" s="279">
        <f t="shared" si="2"/>
        <v>47573</v>
      </c>
    </row>
    <row r="8" spans="2:18" ht="7.05" customHeight="1" x14ac:dyDescent="0.3">
      <c r="H8" s="78"/>
    </row>
    <row r="9" spans="2:18" x14ac:dyDescent="0.3">
      <c r="B9" s="1" t="s">
        <v>2</v>
      </c>
      <c r="H9" s="78"/>
    </row>
    <row r="10" spans="2:18" ht="7.05" customHeight="1" x14ac:dyDescent="0.3">
      <c r="H10" s="78"/>
    </row>
    <row r="11" spans="2:18" ht="14.4" customHeight="1" x14ac:dyDescent="0.3">
      <c r="B11" s="56" t="s">
        <v>16</v>
      </c>
      <c r="C11" s="3">
        <f>'DATA STATEMENTS'!C$4</f>
        <v>44725</v>
      </c>
      <c r="D11" s="3">
        <f>'DATA STATEMENTS'!D$4</f>
        <v>52598.83</v>
      </c>
      <c r="E11" s="3">
        <f>'DATA STATEMENTS'!E$4</f>
        <v>63239.98</v>
      </c>
      <c r="F11" s="3">
        <f>'DATA STATEMENTS'!F$4</f>
        <v>70908</v>
      </c>
      <c r="G11" s="3">
        <f>'DATA STATEMENTS'!G$4</f>
        <v>75955</v>
      </c>
      <c r="H11" s="78"/>
      <c r="J11" s="3">
        <f>CHOOSE($N$5,'REVENUE SCHEDULE'!J$13,'REVENUE SCHEDULE'!Q$13,'REVENUE SCHEDULE'!X$13)</f>
        <v>84153.427200000006</v>
      </c>
      <c r="K11" s="3">
        <f>CHOOSE($N$5,'REVENUE SCHEDULE'!K$13,'REVENUE SCHEDULE'!R$13,'REVENUE SCHEDULE'!Y$13)</f>
        <v>90885.701376000012</v>
      </c>
      <c r="L11" s="3">
        <f>CHOOSE($N$5,'REVENUE SCHEDULE'!L$13,'REVENUE SCHEDULE'!S$13,'REVENUE SCHEDULE'!Z$13)</f>
        <v>98156.557486080012</v>
      </c>
      <c r="M11" s="3">
        <f>CHOOSE($N$5,'REVENUE SCHEDULE'!M$13,'REVENUE SCHEDULE'!T$13,'REVENUE SCHEDULE'!AA$13)</f>
        <v>106009.08208496642</v>
      </c>
      <c r="N11" s="3">
        <f>CHOOSE($N$5,'REVENUE SCHEDULE'!N$13,'REVENUE SCHEDULE'!U$13,'REVENUE SCHEDULE'!AB$13)</f>
        <v>114489.80865176371</v>
      </c>
      <c r="O11" s="49"/>
      <c r="P11" s="49"/>
      <c r="Q11" s="49"/>
      <c r="R11" s="49"/>
    </row>
    <row r="12" spans="2:18" x14ac:dyDescent="0.3">
      <c r="B12" s="56" t="s">
        <v>289</v>
      </c>
      <c r="C12" s="3">
        <f>'DATA STATEMENTS'!C$5</f>
        <v>734</v>
      </c>
      <c r="D12" s="3">
        <f>'DATA STATEMENTS'!D$5</f>
        <v>507.81</v>
      </c>
      <c r="E12" s="3">
        <f>'DATA STATEMENTS'!E$5</f>
        <v>503.08</v>
      </c>
      <c r="F12" s="3">
        <f>'DATA STATEMENTS'!F$5</f>
        <v>617</v>
      </c>
      <c r="G12" s="3">
        <f>'DATA STATEMENTS'!G$5</f>
        <v>744</v>
      </c>
      <c r="H12" s="78"/>
      <c r="J12" s="3">
        <f>CHOOSE($N$5,'OTHER INCOME SCHEDULE'!J$11,'OTHER INCOME SCHEDULE'!Q$11,'OTHER INCOME SCHEDULE'!X$11)</f>
        <v>621.18000000000006</v>
      </c>
      <c r="K12" s="3">
        <f>CHOOSE($N$5,'OTHER INCOME SCHEDULE'!K$11,'OTHER INCOME SCHEDULE'!R$11,'OTHER INCOME SCHEDULE'!Y$11)</f>
        <v>621.18000000000006</v>
      </c>
      <c r="L12" s="3">
        <f>CHOOSE($N$5,'OTHER INCOME SCHEDULE'!L$11,'OTHER INCOME SCHEDULE'!S$11,'OTHER INCOME SCHEDULE'!Z$11)</f>
        <v>621.18000000000006</v>
      </c>
      <c r="M12" s="3">
        <f>CHOOSE($N$5,'OTHER INCOME SCHEDULE'!M$11,'OTHER INCOME SCHEDULE'!T$11,'OTHER INCOME SCHEDULE'!AA$11)</f>
        <v>621.18000000000006</v>
      </c>
      <c r="N12" s="3">
        <f>CHOOSE($N$5,'OTHER INCOME SCHEDULE'!N$11,'OTHER INCOME SCHEDULE'!U$11,'OTHER INCOME SCHEDULE'!AB$11)</f>
        <v>621.18000000000006</v>
      </c>
      <c r="O12" s="49"/>
      <c r="P12" s="49"/>
      <c r="Q12" s="49"/>
      <c r="R12" s="49"/>
    </row>
    <row r="13" spans="2:18" ht="7.05" customHeight="1" x14ac:dyDescent="0.3">
      <c r="D13" s="102"/>
      <c r="H13" s="78"/>
    </row>
    <row r="14" spans="2:18" ht="14.4" customHeight="1" x14ac:dyDescent="0.3">
      <c r="B14" s="4" t="s">
        <v>3</v>
      </c>
      <c r="C14" s="4">
        <f t="shared" ref="C14:F14" si="3">SUM(C11:C12)</f>
        <v>45459</v>
      </c>
      <c r="D14" s="4">
        <f t="shared" si="3"/>
        <v>53106.64</v>
      </c>
      <c r="E14" s="4">
        <f t="shared" si="3"/>
        <v>63743.060000000005</v>
      </c>
      <c r="F14" s="4">
        <f t="shared" si="3"/>
        <v>71525</v>
      </c>
      <c r="G14" s="4">
        <f t="shared" ref="G14" si="4">SUM(G11:G12)</f>
        <v>76699</v>
      </c>
      <c r="H14" s="78"/>
      <c r="J14" s="4">
        <f>SUM(J11:J12)</f>
        <v>84774.607199999999</v>
      </c>
      <c r="K14" s="4">
        <f t="shared" ref="K14:N14" si="5">SUM(K11:K12)</f>
        <v>91506.881376000005</v>
      </c>
      <c r="L14" s="4">
        <f t="shared" si="5"/>
        <v>98777.737486080005</v>
      </c>
      <c r="M14" s="4">
        <f t="shared" si="5"/>
        <v>106630.26208496641</v>
      </c>
      <c r="N14" s="4">
        <f t="shared" si="5"/>
        <v>115110.98865176371</v>
      </c>
    </row>
    <row r="15" spans="2:18" ht="7.05" customHeight="1" x14ac:dyDescent="0.3">
      <c r="D15" s="102"/>
      <c r="H15" s="78"/>
    </row>
    <row r="16" spans="2:18" ht="14.4" customHeight="1" x14ac:dyDescent="0.3">
      <c r="B16" s="1" t="s">
        <v>290</v>
      </c>
      <c r="D16" s="102"/>
      <c r="H16" s="78"/>
    </row>
    <row r="17" spans="2:19" ht="7.05" customHeight="1" x14ac:dyDescent="0.3">
      <c r="D17" s="102"/>
      <c r="H17" s="78"/>
    </row>
    <row r="18" spans="2:19" ht="14.4" customHeight="1" x14ac:dyDescent="0.3">
      <c r="B18" s="56" t="s">
        <v>4</v>
      </c>
      <c r="C18" s="3">
        <f>-SUM('DATA STATEMENTS'!C$8,'DATA STATEMENTS'!C$9,'DATA STATEMENTS'!C$10,'DATA STATEMENTS'!C$11,'DATA STATEMENTS'!C$12)</f>
        <v>-25458</v>
      </c>
      <c r="D18" s="3">
        <f>-SUM('DATA STATEMENTS'!D$8,'DATA STATEMENTS'!D$9,'DATA STATEMENTS'!D$10,'DATA STATEMENTS'!D$11,'DATA STATEMENTS'!D$12)</f>
        <v>-31814.58</v>
      </c>
      <c r="E18" s="3">
        <f>-SUM('DATA STATEMENTS'!E$8,'DATA STATEMENTS'!E$9,'DATA STATEMENTS'!E$10,'DATA STATEMENTS'!E$11,'DATA STATEMENTS'!E$12)</f>
        <v>-42215.44</v>
      </c>
      <c r="F18" s="3">
        <f>-SUM('DATA STATEMENTS'!F$8,'DATA STATEMENTS'!F$9,'DATA STATEMENTS'!F$10,'DATA STATEMENTS'!F$11,'DATA STATEMENTS'!F$12)</f>
        <v>-46065</v>
      </c>
      <c r="G18" s="3">
        <f>-SUM('DATA STATEMENTS'!G$8,'DATA STATEMENTS'!G$9,'DATA STATEMENTS'!G$10,'DATA STATEMENTS'!G$11,'DATA STATEMENTS'!G$12)</f>
        <v>-49580</v>
      </c>
      <c r="H18" s="78"/>
      <c r="J18" s="3">
        <f>-CHOOSE($N$5,'COGS SCHEDULE'!J$9,'COGS SCHEDULE'!Q$9,'COGS SCHEDULE'!X$9)</f>
        <v>-54255.748608000002</v>
      </c>
      <c r="K18" s="3">
        <f>-CHOOSE($N$5,'COGS SCHEDULE'!K$9,'COGS SCHEDULE'!R$9,'COGS SCHEDULE'!Y$9)</f>
        <v>-58564.404080640001</v>
      </c>
      <c r="L18" s="3">
        <f>-CHOOSE($N$5,'COGS SCHEDULE'!L$9,'COGS SCHEDULE'!S$9,'COGS SCHEDULE'!Z$9)</f>
        <v>-63217.751991091201</v>
      </c>
      <c r="M18" s="3">
        <f>-CHOOSE($N$5,'COGS SCHEDULE'!M$9,'COGS SCHEDULE'!T$9,'COGS SCHEDULE'!AA$9)</f>
        <v>-68243.367734378509</v>
      </c>
      <c r="N18" s="3">
        <f>-CHOOSE($N$5,'COGS SCHEDULE'!N$9,'COGS SCHEDULE'!U$9,'COGS SCHEDULE'!AB$9)</f>
        <v>-73671.032737128771</v>
      </c>
      <c r="O18" s="49"/>
      <c r="P18" s="50"/>
      <c r="Q18" s="49"/>
      <c r="R18" s="49"/>
      <c r="S18" s="49"/>
    </row>
    <row r="19" spans="2:19" ht="7.05" customHeight="1" x14ac:dyDescent="0.3">
      <c r="D19" s="102"/>
      <c r="H19" s="78"/>
    </row>
    <row r="20" spans="2:19" ht="14.4" customHeight="1" x14ac:dyDescent="0.3">
      <c r="B20" s="4" t="s">
        <v>292</v>
      </c>
      <c r="C20" s="4">
        <f t="shared" ref="C20:F20" si="6">C18</f>
        <v>-25458</v>
      </c>
      <c r="D20" s="4">
        <f t="shared" si="6"/>
        <v>-31814.58</v>
      </c>
      <c r="E20" s="4">
        <f t="shared" si="6"/>
        <v>-42215.44</v>
      </c>
      <c r="F20" s="4">
        <f t="shared" si="6"/>
        <v>-46065</v>
      </c>
      <c r="G20" s="4">
        <f t="shared" ref="G20" si="7">G18</f>
        <v>-49580</v>
      </c>
      <c r="H20" s="78"/>
      <c r="J20" s="4">
        <f>J$18</f>
        <v>-54255.748608000002</v>
      </c>
      <c r="K20" s="4">
        <f t="shared" ref="K20:N20" si="8">K$18</f>
        <v>-58564.404080640001</v>
      </c>
      <c r="L20" s="4">
        <f t="shared" si="8"/>
        <v>-63217.751991091201</v>
      </c>
      <c r="M20" s="4">
        <f t="shared" si="8"/>
        <v>-68243.367734378509</v>
      </c>
      <c r="N20" s="4">
        <f t="shared" si="8"/>
        <v>-73671.032737128771</v>
      </c>
    </row>
    <row r="21" spans="2:19" ht="14.4" customHeight="1" x14ac:dyDescent="0.3">
      <c r="D21" s="102"/>
      <c r="H21" s="78"/>
    </row>
    <row r="22" spans="2:19" ht="14.4" customHeight="1" x14ac:dyDescent="0.3">
      <c r="B22" s="4" t="s">
        <v>5</v>
      </c>
      <c r="C22" s="4">
        <f t="shared" ref="C22:F22" si="9">SUM(C20,C14)</f>
        <v>20001</v>
      </c>
      <c r="D22" s="4">
        <f t="shared" si="9"/>
        <v>21292.059999999998</v>
      </c>
      <c r="E22" s="4">
        <f t="shared" si="9"/>
        <v>21527.620000000003</v>
      </c>
      <c r="F22" s="4">
        <f t="shared" si="9"/>
        <v>25460</v>
      </c>
      <c r="G22" s="4">
        <f t="shared" ref="G22" si="10">SUM(G20,G14)</f>
        <v>27119</v>
      </c>
      <c r="H22" s="78"/>
      <c r="J22" s="4">
        <f>J14+J20</f>
        <v>30518.858591999997</v>
      </c>
      <c r="K22" s="4">
        <f t="shared" ref="K22:N22" si="11">K14+K20</f>
        <v>32942.477295360004</v>
      </c>
      <c r="L22" s="4">
        <f t="shared" si="11"/>
        <v>35559.985494988803</v>
      </c>
      <c r="M22" s="4">
        <f t="shared" si="11"/>
        <v>38386.8943505879</v>
      </c>
      <c r="N22" s="4">
        <f t="shared" si="11"/>
        <v>41439.955914634935</v>
      </c>
    </row>
    <row r="23" spans="2:19" ht="7.05" customHeight="1" x14ac:dyDescent="0.3">
      <c r="D23" s="102"/>
      <c r="H23" s="78"/>
    </row>
    <row r="24" spans="2:19" ht="14.4" customHeight="1" x14ac:dyDescent="0.3">
      <c r="B24" s="1" t="s">
        <v>291</v>
      </c>
      <c r="D24" s="102"/>
      <c r="H24" s="78"/>
    </row>
    <row r="25" spans="2:19" ht="7.05" customHeight="1" x14ac:dyDescent="0.3">
      <c r="D25" s="102"/>
      <c r="H25" s="78"/>
    </row>
    <row r="26" spans="2:19" ht="14.4" customHeight="1" x14ac:dyDescent="0.3">
      <c r="B26" s="56" t="s">
        <v>6</v>
      </c>
      <c r="C26" s="3">
        <f>-SUM('DATA STATEMENTS'!C$13,'DATA STATEMENTS'!C$16)</f>
        <v>-7720</v>
      </c>
      <c r="D26" s="3">
        <f>-SUM('DATA STATEMENTS'!D$13,'DATA STATEMENTS'!D$16)</f>
        <v>-9269.9</v>
      </c>
      <c r="E26" s="3">
        <f>-SUM('DATA STATEMENTS'!E$13,'DATA STATEMENTS'!E$16)</f>
        <v>-10404.69</v>
      </c>
      <c r="F26" s="3">
        <f>-SUM('DATA STATEMENTS'!F$13,'DATA STATEMENTS'!F$16)</f>
        <v>-11872</v>
      </c>
      <c r="G26" s="3">
        <f>-SUM('DATA STATEMENTS'!G$13,'DATA STATEMENTS'!G$16)</f>
        <v>-13814</v>
      </c>
      <c r="H26" s="78"/>
      <c r="J26" s="3">
        <f>-CHOOSE($N$5,'COGS SCHEDULE'!J$32,'COGS SCHEDULE'!Q$32,'COGS SCHEDULE'!X$32)</f>
        <v>-16107.175368</v>
      </c>
      <c r="K26" s="3">
        <f>-CHOOSE($N$5,'COGS SCHEDULE'!K$32,'COGS SCHEDULE'!R$32,'COGS SCHEDULE'!Y$32)</f>
        <v>-17386.307461439999</v>
      </c>
      <c r="L26" s="3">
        <f>-CHOOSE($N$5,'COGS SCHEDULE'!L$32,'COGS SCHEDULE'!S$32,'COGS SCHEDULE'!Z$32)</f>
        <v>-18767.770122355199</v>
      </c>
      <c r="M26" s="3">
        <f>-CHOOSE($N$5,'COGS SCHEDULE'!M$32,'COGS SCHEDULE'!T$32,'COGS SCHEDULE'!AA$32)</f>
        <v>-20259.749796143617</v>
      </c>
      <c r="N26" s="3">
        <f>-CHOOSE($N$5,'COGS SCHEDULE'!N$32,'COGS SCHEDULE'!U$32,'COGS SCHEDULE'!AB$32)</f>
        <v>-21871.087843835103</v>
      </c>
      <c r="O26" s="49"/>
      <c r="P26" s="50"/>
      <c r="Q26" s="49"/>
      <c r="R26" s="49"/>
    </row>
    <row r="27" spans="2:19" ht="7.05" customHeight="1" x14ac:dyDescent="0.3">
      <c r="D27" s="102"/>
      <c r="H27" s="78"/>
    </row>
    <row r="28" spans="2:19" ht="14.4" customHeight="1" x14ac:dyDescent="0.3">
      <c r="B28" s="4" t="s">
        <v>293</v>
      </c>
      <c r="C28" s="4">
        <f t="shared" ref="C28:F28" si="12">C26</f>
        <v>-7720</v>
      </c>
      <c r="D28" s="4">
        <f t="shared" si="12"/>
        <v>-9269.9</v>
      </c>
      <c r="E28" s="4">
        <f t="shared" si="12"/>
        <v>-10404.69</v>
      </c>
      <c r="F28" s="4">
        <f t="shared" si="12"/>
        <v>-11872</v>
      </c>
      <c r="G28" s="4">
        <f t="shared" ref="G28" si="13">G26</f>
        <v>-13814</v>
      </c>
      <c r="H28" s="78"/>
      <c r="J28" s="4">
        <f>J$26</f>
        <v>-16107.175368</v>
      </c>
      <c r="K28" s="4">
        <f t="shared" ref="K28:N28" si="14">K$26</f>
        <v>-17386.307461439999</v>
      </c>
      <c r="L28" s="4">
        <f t="shared" si="14"/>
        <v>-18767.770122355199</v>
      </c>
      <c r="M28" s="4">
        <f t="shared" si="14"/>
        <v>-20259.749796143617</v>
      </c>
      <c r="N28" s="4">
        <f t="shared" si="14"/>
        <v>-21871.087843835103</v>
      </c>
    </row>
    <row r="29" spans="2:19" ht="14.4" customHeight="1" x14ac:dyDescent="0.3">
      <c r="D29" s="102"/>
      <c r="H29" s="78"/>
    </row>
    <row r="30" spans="2:19" ht="14.4" customHeight="1" x14ac:dyDescent="0.3">
      <c r="B30" s="4" t="s">
        <v>7</v>
      </c>
      <c r="C30" s="4">
        <f t="shared" ref="C30:F30" si="15">SUM(C28,C22)</f>
        <v>12281</v>
      </c>
      <c r="D30" s="4">
        <f t="shared" si="15"/>
        <v>12022.159999999998</v>
      </c>
      <c r="E30" s="4">
        <f t="shared" si="15"/>
        <v>11122.930000000002</v>
      </c>
      <c r="F30" s="4">
        <f t="shared" si="15"/>
        <v>13588</v>
      </c>
      <c r="G30" s="4">
        <f t="shared" ref="G30" si="16">SUM(G28,G22)</f>
        <v>13305</v>
      </c>
      <c r="H30" s="78"/>
      <c r="J30" s="4">
        <f>J28+J22</f>
        <v>14411.683223999997</v>
      </c>
      <c r="K30" s="4">
        <f t="shared" ref="K30:N30" si="17">K28+K22</f>
        <v>15556.169833920005</v>
      </c>
      <c r="L30" s="4">
        <f t="shared" si="17"/>
        <v>16792.215372633604</v>
      </c>
      <c r="M30" s="4">
        <f t="shared" si="17"/>
        <v>18127.144554444283</v>
      </c>
      <c r="N30" s="4">
        <f t="shared" si="17"/>
        <v>19568.868070799832</v>
      </c>
    </row>
    <row r="31" spans="2:19" ht="7.05" customHeight="1" x14ac:dyDescent="0.3">
      <c r="D31" s="102"/>
      <c r="H31" s="78"/>
    </row>
    <row r="32" spans="2:19" ht="14.4" customHeight="1" x14ac:dyDescent="0.3">
      <c r="B32" s="56" t="s">
        <v>8</v>
      </c>
      <c r="C32" s="3">
        <f>-'DATA STATEMENTS'!C$15</f>
        <v>-2700</v>
      </c>
      <c r="D32" s="3">
        <f>-'DATA STATEMENTS'!D$15</f>
        <v>-2714.75</v>
      </c>
      <c r="E32" s="3">
        <f>-'DATA STATEMENTS'!E$15</f>
        <v>-2887.99</v>
      </c>
      <c r="F32" s="3">
        <f>-'DATA STATEMENTS'!F$15</f>
        <v>-3145</v>
      </c>
      <c r="G32" s="3">
        <f>-'DATA STATEMENTS'!G$15</f>
        <v>-4014</v>
      </c>
      <c r="H32" s="78"/>
      <c r="J32" s="3">
        <f>-CHOOSE($N$5,'DEPRECIATION SCHEDULE'!C$25,'DEPRECIATION SCHEDULE'!C$35,'DEPRECIATION SCHEDULE'!C$45)</f>
        <v>-4238.7303600000005</v>
      </c>
      <c r="K32" s="3">
        <f>-CHOOSE($N$5,'DEPRECIATION SCHEDULE'!D$25,'DEPRECIATION SCHEDULE'!D$35,'DEPRECIATION SCHEDULE'!D$45)</f>
        <v>-4575.3440688000001</v>
      </c>
      <c r="L32" s="3">
        <f>-CHOOSE($N$5,'DEPRECIATION SCHEDULE'!E$25,'DEPRECIATION SCHEDULE'!E$35,'DEPRECIATION SCHEDULE'!E$45)</f>
        <v>-4938.8868743040002</v>
      </c>
      <c r="M32" s="3">
        <f>-CHOOSE($N$5,'DEPRECIATION SCHEDULE'!F$25,'DEPRECIATION SCHEDULE'!F$35,'DEPRECIATION SCHEDULE'!F$45)</f>
        <v>-5331.5131042483208</v>
      </c>
      <c r="N32" s="3">
        <f>-CHOOSE($N$5,'DEPRECIATION SCHEDULE'!G$25,'DEPRECIATION SCHEDULE'!G$35,'DEPRECIATION SCHEDULE'!G$45)</f>
        <v>-5755.5494325881855</v>
      </c>
      <c r="O32" s="50"/>
      <c r="P32" s="50"/>
      <c r="Q32" s="49"/>
      <c r="R32" s="49"/>
      <c r="S32" s="49"/>
    </row>
    <row r="33" spans="2:20" ht="7.05" customHeight="1" x14ac:dyDescent="0.3">
      <c r="B33" s="56"/>
      <c r="D33" s="102"/>
      <c r="H33" s="78"/>
    </row>
    <row r="34" spans="2:20" ht="14.4" customHeight="1" x14ac:dyDescent="0.3">
      <c r="B34" s="18" t="s">
        <v>113</v>
      </c>
      <c r="C34" s="4">
        <f t="shared" ref="C34:F34" si="18">SUM(C30:C32)</f>
        <v>9581</v>
      </c>
      <c r="D34" s="4">
        <f t="shared" si="18"/>
        <v>9307.409999999998</v>
      </c>
      <c r="E34" s="4">
        <f t="shared" si="18"/>
        <v>8234.9400000000023</v>
      </c>
      <c r="F34" s="4">
        <f t="shared" si="18"/>
        <v>10443</v>
      </c>
      <c r="G34" s="4">
        <f t="shared" ref="G34" si="19">SUM(G30:G32)</f>
        <v>9291</v>
      </c>
      <c r="H34" s="78"/>
      <c r="J34" s="4">
        <f>J30+J32</f>
        <v>10172.952863999995</v>
      </c>
      <c r="K34" s="4">
        <f t="shared" ref="K34:N34" si="20">K30+K32</f>
        <v>10980.825765120004</v>
      </c>
      <c r="L34" s="4">
        <f t="shared" si="20"/>
        <v>11853.328498329603</v>
      </c>
      <c r="M34" s="4">
        <f t="shared" si="20"/>
        <v>12795.631450195962</v>
      </c>
      <c r="N34" s="4">
        <f t="shared" si="20"/>
        <v>13813.318638211647</v>
      </c>
      <c r="P34" s="49"/>
      <c r="Q34" s="49"/>
      <c r="R34" s="49"/>
      <c r="S34" s="49"/>
    </row>
    <row r="35" spans="2:20" ht="7.05" customHeight="1" x14ac:dyDescent="0.3">
      <c r="B35" s="56"/>
      <c r="D35" s="102"/>
      <c r="H35" s="78"/>
    </row>
    <row r="36" spans="2:20" ht="14.4" customHeight="1" x14ac:dyDescent="0.3">
      <c r="B36" s="56" t="s">
        <v>9</v>
      </c>
      <c r="C36" s="3">
        <f>-'DATA STATEMENTS'!C$14</f>
        <v>-1485</v>
      </c>
      <c r="D36" s="3">
        <f>-'DATA STATEMENTS'!D$14</f>
        <v>-944.71</v>
      </c>
      <c r="E36" s="3">
        <f>-'DATA STATEMENTS'!E$14</f>
        <v>-822.72</v>
      </c>
      <c r="F36" s="3">
        <f>-'DATA STATEMENTS'!F$14</f>
        <v>-968</v>
      </c>
      <c r="G36" s="3">
        <f>-'DATA STATEMENTS'!G$14</f>
        <v>-1650</v>
      </c>
      <c r="H36" s="78"/>
      <c r="J36" s="3">
        <f>-CHOOSE($N$5,'FINANCE COST SCHEDULE'!J$49,'FINANCE COST SCHEDULE'!Q$49,'FINANCE COST SCHEDULE'!X$49)</f>
        <v>-1422.5400044952921</v>
      </c>
      <c r="K36" s="3">
        <f>-CHOOSE($N$5,'FINANCE COST SCHEDULE'!K$49,'FINANCE COST SCHEDULE'!R$49,'FINANCE COST SCHEDULE'!Y$49)</f>
        <v>-996.55252583517745</v>
      </c>
      <c r="L36" s="3">
        <f>-CHOOSE($N$5,'FINANCE COST SCHEDULE'!L$49,'FINANCE COST SCHEDULE'!S$49,'FINANCE COST SCHEDULE'!Z$49)</f>
        <v>-1426.8429083201418</v>
      </c>
      <c r="M36" s="3">
        <f>-CHOOSE($N$5,'FINANCE COST SCHEDULE'!M$49,'FINANCE COST SCHEDULE'!T$49,'FINANCE COST SCHEDULE'!AA$49)</f>
        <v>-1990.5233093754453</v>
      </c>
      <c r="N36" s="3">
        <f>-CHOOSE($N$5,'FINANCE COST SCHEDULE'!N$49,'FINANCE COST SCHEDULE'!U$49,'FINANCE COST SCHEDULE'!AB$49)</f>
        <v>-2218.5772120924762</v>
      </c>
      <c r="O36" s="49"/>
      <c r="P36" s="49"/>
      <c r="Q36" s="49"/>
      <c r="R36" s="49"/>
      <c r="S36" s="49"/>
      <c r="T36" s="49"/>
    </row>
    <row r="37" spans="2:20" ht="7.05" customHeight="1" x14ac:dyDescent="0.3">
      <c r="D37" s="102"/>
      <c r="H37" s="78"/>
    </row>
    <row r="38" spans="2:20" ht="14.4" customHeight="1" x14ac:dyDescent="0.3">
      <c r="B38" s="4" t="s">
        <v>10</v>
      </c>
      <c r="C38" s="4">
        <f t="shared" ref="C38:F38" si="21">SUM(C34,C36)</f>
        <v>8096</v>
      </c>
      <c r="D38" s="4">
        <f t="shared" si="21"/>
        <v>8362.6999999999971</v>
      </c>
      <c r="E38" s="4">
        <f t="shared" si="21"/>
        <v>7412.2200000000021</v>
      </c>
      <c r="F38" s="4">
        <f t="shared" si="21"/>
        <v>9475</v>
      </c>
      <c r="G38" s="4">
        <f t="shared" ref="G38" si="22">SUM(G34,G36)</f>
        <v>7641</v>
      </c>
      <c r="H38" s="78"/>
      <c r="J38" s="4">
        <f>J34+J36</f>
        <v>8750.4128595047041</v>
      </c>
      <c r="K38" s="4">
        <f t="shared" ref="K38:N38" si="23">K34+K36</f>
        <v>9984.2732392848266</v>
      </c>
      <c r="L38" s="4">
        <f t="shared" si="23"/>
        <v>10426.485590009463</v>
      </c>
      <c r="M38" s="4">
        <f t="shared" si="23"/>
        <v>10805.108140820517</v>
      </c>
      <c r="N38" s="4">
        <f t="shared" si="23"/>
        <v>11594.741426119172</v>
      </c>
    </row>
    <row r="39" spans="2:20" ht="7.05" customHeight="1" x14ac:dyDescent="0.3">
      <c r="D39" s="102"/>
      <c r="H39" s="78"/>
    </row>
    <row r="40" spans="2:20" ht="14.4" customHeight="1" x14ac:dyDescent="0.3">
      <c r="B40" s="56" t="s">
        <v>11</v>
      </c>
      <c r="C40" s="3">
        <f>-'DATA STATEMENTS'!C$19</f>
        <v>-2538</v>
      </c>
      <c r="D40" s="3">
        <f>-'DATA STATEMENTS'!D$19</f>
        <v>-1190.06</v>
      </c>
      <c r="E40" s="3">
        <f>-'DATA STATEMENTS'!E$19</f>
        <v>-2342.85</v>
      </c>
      <c r="F40" s="3">
        <f>-'DATA STATEMENTS'!F$19</f>
        <v>-2418</v>
      </c>
      <c r="G40" s="3">
        <f>-'DATA STATEMENTS'!G$19</f>
        <v>-1488</v>
      </c>
      <c r="H40" s="78"/>
      <c r="J40" s="3">
        <f>-CHOOSE($N$5,'TAX SCHEDULE'!J$37,'TAX SCHEDULE'!Q$37,'TAX SCHEDULE'!X$37)</f>
        <v>-2187.603214876176</v>
      </c>
      <c r="K40" s="3">
        <f>-CHOOSE($N$5,'TAX SCHEDULE'!K$37,'TAX SCHEDULE'!R$37,'TAX SCHEDULE'!Y$37)</f>
        <v>-2496.0683098212066</v>
      </c>
      <c r="L40" s="3">
        <f>-CHOOSE($N$5,'TAX SCHEDULE'!L$37,'TAX SCHEDULE'!S$37,'TAX SCHEDULE'!Z$37)</f>
        <v>-2606.6213975023657</v>
      </c>
      <c r="M40" s="3">
        <f>-CHOOSE($N$5,'TAX SCHEDULE'!M$37,'TAX SCHEDULE'!T$37,'TAX SCHEDULE'!AA$37)</f>
        <v>-2701.2770352051293</v>
      </c>
      <c r="N40" s="3">
        <f>-CHOOSE($N$5,'TAX SCHEDULE'!N$37,'TAX SCHEDULE'!U$37,'TAX SCHEDULE'!AB$37)</f>
        <v>-2898.6853565297929</v>
      </c>
      <c r="O40" s="50"/>
      <c r="P40" s="49"/>
      <c r="Q40" s="49"/>
      <c r="R40" s="49"/>
    </row>
    <row r="41" spans="2:20" ht="7.05" customHeight="1" x14ac:dyDescent="0.3">
      <c r="D41" s="102"/>
      <c r="H41" s="78"/>
    </row>
    <row r="42" spans="2:20" ht="14.4" customHeight="1" x14ac:dyDescent="0.3">
      <c r="B42" s="183" t="s">
        <v>12</v>
      </c>
      <c r="C42" s="183">
        <f t="shared" ref="C42:F42" si="24">SUM(C38,C40)</f>
        <v>5558</v>
      </c>
      <c r="D42" s="183">
        <f t="shared" si="24"/>
        <v>7172.6399999999976</v>
      </c>
      <c r="E42" s="183">
        <f t="shared" si="24"/>
        <v>5069.3700000000026</v>
      </c>
      <c r="F42" s="183">
        <f t="shared" si="24"/>
        <v>7057</v>
      </c>
      <c r="G42" s="183">
        <f t="shared" ref="G42" si="25">SUM(G38,G40)</f>
        <v>6153</v>
      </c>
      <c r="H42" s="78"/>
      <c r="I42" s="49"/>
      <c r="J42" s="200">
        <f>J38+J40</f>
        <v>6562.8096446285281</v>
      </c>
      <c r="K42" s="200">
        <f t="shared" ref="K42:N42" si="26">K38+K40</f>
        <v>7488.2049294636199</v>
      </c>
      <c r="L42" s="200">
        <f t="shared" si="26"/>
        <v>7819.864192507097</v>
      </c>
      <c r="M42" s="200">
        <f t="shared" si="26"/>
        <v>8103.831105615388</v>
      </c>
      <c r="N42" s="200">
        <f t="shared" si="26"/>
        <v>8696.0560695893782</v>
      </c>
    </row>
    <row r="43" spans="2:20" ht="7.05" customHeight="1" x14ac:dyDescent="0.3">
      <c r="D43" s="102"/>
      <c r="H43" s="78"/>
    </row>
    <row r="44" spans="2:20" ht="14.4" customHeight="1" x14ac:dyDescent="0.3">
      <c r="B44" s="56" t="s">
        <v>14</v>
      </c>
      <c r="C44" s="3">
        <f t="shared" ref="C44:F44" si="27">C42/C45</f>
        <v>29.356150636454867</v>
      </c>
      <c r="D44" s="3">
        <f t="shared" si="27"/>
        <v>28.808097035906489</v>
      </c>
      <c r="E44" s="3">
        <f t="shared" si="27"/>
        <v>28.878717101515342</v>
      </c>
      <c r="F44" s="3">
        <f t="shared" si="27"/>
        <v>29.056696998394202</v>
      </c>
      <c r="G44" s="3">
        <f t="shared" ref="G44" si="28">G42/G45</f>
        <v>29.99561253839029</v>
      </c>
      <c r="H44" s="78"/>
      <c r="I44" s="49"/>
      <c r="J44" s="1">
        <f>CHOOSE($N$5,'EQUITY SCHEDULE'!$C$43,'EQUITY SCHEDULE'!$C$44,'EQUITY SCHEDULE'!$C$45)</f>
        <v>30</v>
      </c>
      <c r="K44" s="1">
        <f>CHOOSE($N$5,'EQUITY SCHEDULE'!$C$43,'EQUITY SCHEDULE'!$C$44,'EQUITY SCHEDULE'!$C$45)</f>
        <v>30</v>
      </c>
      <c r="L44" s="1">
        <f>CHOOSE($N$5,'EQUITY SCHEDULE'!$C$43,'EQUITY SCHEDULE'!$C$44,'EQUITY SCHEDULE'!$C$45)</f>
        <v>30</v>
      </c>
      <c r="M44" s="1">
        <f>CHOOSE($N$5,'EQUITY SCHEDULE'!$C$43,'EQUITY SCHEDULE'!$C$44,'EQUITY SCHEDULE'!$C$45)</f>
        <v>30</v>
      </c>
      <c r="N44" s="1">
        <f>CHOOSE($N$5,'EQUITY SCHEDULE'!$C$43,'EQUITY SCHEDULE'!$C$44,'EQUITY SCHEDULE'!$C$45)</f>
        <v>30</v>
      </c>
    </row>
    <row r="45" spans="2:20" ht="14.4" customHeight="1" x14ac:dyDescent="0.3">
      <c r="B45" s="56" t="s">
        <v>17</v>
      </c>
      <c r="C45" s="50">
        <f>'DATA STATEMENTS'!C$23</f>
        <v>189.33</v>
      </c>
      <c r="D45" s="50">
        <f>'DATA STATEMENTS'!D$23</f>
        <v>248.98</v>
      </c>
      <c r="E45" s="50">
        <f>'DATA STATEMENTS'!E$23</f>
        <v>175.54</v>
      </c>
      <c r="F45" s="50">
        <f>'DATA STATEMENTS'!F$23</f>
        <v>242.87</v>
      </c>
      <c r="G45" s="50">
        <f>'DATA STATEMENTS'!G$23</f>
        <v>205.13</v>
      </c>
      <c r="H45" s="78"/>
      <c r="J45" s="50">
        <f>J$42/J$44</f>
        <v>218.7603214876176</v>
      </c>
      <c r="K45" s="50">
        <f t="shared" ref="K45:N45" si="29">K$42/K$44</f>
        <v>249.60683098212067</v>
      </c>
      <c r="L45" s="50">
        <f t="shared" si="29"/>
        <v>260.66213975023658</v>
      </c>
      <c r="M45" s="50">
        <f t="shared" si="29"/>
        <v>270.12770352051291</v>
      </c>
      <c r="N45" s="50">
        <f t="shared" si="29"/>
        <v>289.86853565297929</v>
      </c>
      <c r="O45" s="49"/>
      <c r="P45" s="50"/>
      <c r="Q45" s="49"/>
      <c r="R45" s="49"/>
    </row>
    <row r="46" spans="2:20" ht="14.4" customHeight="1" x14ac:dyDescent="0.3">
      <c r="B46" s="56" t="s">
        <v>464</v>
      </c>
      <c r="C46" s="208">
        <f>-'DATA STATEMENTS'!C$132</f>
        <v>374</v>
      </c>
      <c r="D46" s="208">
        <f>-'DATA STATEMENTS'!D$132</f>
        <v>1065</v>
      </c>
      <c r="E46" s="208">
        <f>-'DATA STATEMENTS'!E$132</f>
        <v>1091</v>
      </c>
      <c r="F46" s="208">
        <f>-'DATA STATEMENTS'!F$132</f>
        <v>1094</v>
      </c>
      <c r="G46" s="208">
        <f>-'DATA STATEMENTS'!G$132</f>
        <v>2011</v>
      </c>
      <c r="H46" s="78"/>
      <c r="J46" s="3">
        <f>J$42*J$48</f>
        <v>1198.3690411091693</v>
      </c>
      <c r="K46" s="3">
        <f t="shared" ref="K46:N46" si="30">K$42*K$48</f>
        <v>1367.3462201200571</v>
      </c>
      <c r="L46" s="3">
        <f t="shared" si="30"/>
        <v>1427.9072015517961</v>
      </c>
      <c r="M46" s="3">
        <f t="shared" si="30"/>
        <v>1479.75955988537</v>
      </c>
      <c r="N46" s="3">
        <f t="shared" si="30"/>
        <v>1587.8998383070207</v>
      </c>
      <c r="O46" s="49"/>
      <c r="P46" s="50"/>
      <c r="Q46" s="49"/>
      <c r="R46" s="49"/>
    </row>
    <row r="47" spans="2:20" ht="14.4" customHeight="1" x14ac:dyDescent="0.3">
      <c r="B47" s="56" t="s">
        <v>223</v>
      </c>
      <c r="C47" s="50">
        <f>C$46/C$44</f>
        <v>12.740089960417416</v>
      </c>
      <c r="D47" s="50">
        <f>D$46/D$44</f>
        <v>36.968773004082195</v>
      </c>
      <c r="E47" s="50">
        <f>E$46/E$44</f>
        <v>37.778686503451098</v>
      </c>
      <c r="F47" s="50">
        <f>F$46/F$44</f>
        <v>37.650528553209583</v>
      </c>
      <c r="G47" s="50">
        <f t="shared" ref="G47" si="31">G$46/G$44</f>
        <v>67.04313830651715</v>
      </c>
      <c r="H47" s="78"/>
      <c r="J47" s="50">
        <f t="shared" ref="J47:N47" si="32">J$46/J$44</f>
        <v>39.94563470363898</v>
      </c>
      <c r="K47" s="50">
        <f t="shared" si="32"/>
        <v>45.578207337335236</v>
      </c>
      <c r="L47" s="50">
        <f t="shared" si="32"/>
        <v>47.596906718393207</v>
      </c>
      <c r="M47" s="50">
        <f t="shared" si="32"/>
        <v>49.325318662845667</v>
      </c>
      <c r="N47" s="50">
        <f t="shared" si="32"/>
        <v>52.929994610234026</v>
      </c>
      <c r="O47" s="49"/>
      <c r="P47" s="49"/>
      <c r="Q47" s="49"/>
      <c r="R47" s="49"/>
    </row>
    <row r="48" spans="2:20" ht="14.4" customHeight="1" x14ac:dyDescent="0.3">
      <c r="B48" s="204" t="s">
        <v>461</v>
      </c>
      <c r="C48" s="205">
        <f>C$46/C$42</f>
        <v>6.7290392227419935E-2</v>
      </c>
      <c r="D48" s="205">
        <f>D$46/D$42</f>
        <v>0.14848089406411033</v>
      </c>
      <c r="E48" s="205">
        <f>E$46/E$42</f>
        <v>0.21521411930871084</v>
      </c>
      <c r="F48" s="205">
        <f>F$46/F$42</f>
        <v>0.15502338104010202</v>
      </c>
      <c r="G48" s="205">
        <f t="shared" ref="G48" si="33">G$46/G$42</f>
        <v>0.32683243946042578</v>
      </c>
      <c r="H48" s="206"/>
      <c r="I48" s="29"/>
      <c r="J48" s="205">
        <f>CHOOSE($N$5,'EQUITY SCHEDULE'!$F$43,'EQUITY SCHEDULE'!$F$44,'EQUITY SCHEDULE'!$F$45)</f>
        <v>0.18260000000000001</v>
      </c>
      <c r="K48" s="205">
        <f>CHOOSE($N$5,'EQUITY SCHEDULE'!$F$43,'EQUITY SCHEDULE'!$F$44,'EQUITY SCHEDULE'!$F$45)</f>
        <v>0.18260000000000001</v>
      </c>
      <c r="L48" s="205">
        <f>CHOOSE($N$5,'EQUITY SCHEDULE'!$F$43,'EQUITY SCHEDULE'!$F$44,'EQUITY SCHEDULE'!$F$45)</f>
        <v>0.18260000000000001</v>
      </c>
      <c r="M48" s="205">
        <f>CHOOSE($N$5,'EQUITY SCHEDULE'!$F$43,'EQUITY SCHEDULE'!$F$44,'EQUITY SCHEDULE'!$F$45)</f>
        <v>0.18260000000000001</v>
      </c>
      <c r="N48" s="205">
        <f>CHOOSE($N$5,'EQUITY SCHEDULE'!$F$43,'EQUITY SCHEDULE'!$F$44,'EQUITY SCHEDULE'!$F$45)</f>
        <v>0.18260000000000001</v>
      </c>
      <c r="O48" s="49"/>
      <c r="P48" s="49"/>
      <c r="Q48" s="49"/>
      <c r="R48" s="49"/>
    </row>
    <row r="49" spans="2:18" ht="7.05" customHeight="1" x14ac:dyDescent="0.3">
      <c r="D49" s="102"/>
      <c r="H49" s="78"/>
    </row>
    <row r="50" spans="2:18" ht="14.4" customHeight="1" x14ac:dyDescent="0.3">
      <c r="B50" s="4" t="s">
        <v>13</v>
      </c>
      <c r="C50" s="4">
        <f>C$42-(C$42*C$48)</f>
        <v>5184</v>
      </c>
      <c r="D50" s="4">
        <f>D$42-(D$42*D$48)</f>
        <v>6107.6399999999976</v>
      </c>
      <c r="E50" s="4">
        <f>E$42-(E$42*E$48)</f>
        <v>3978.3700000000026</v>
      </c>
      <c r="F50" s="4">
        <f>F$42-(F$42*F$48)</f>
        <v>5963</v>
      </c>
      <c r="G50" s="4">
        <f t="shared" ref="G50" si="34">G$42-(G$42*G$48)</f>
        <v>4142</v>
      </c>
      <c r="H50" s="78"/>
      <c r="J50" s="4">
        <f t="shared" ref="J50:N50" si="35">J$42-(J$42*J$48)</f>
        <v>5364.4406035193588</v>
      </c>
      <c r="K50" s="4">
        <f t="shared" si="35"/>
        <v>6120.8587093435626</v>
      </c>
      <c r="L50" s="4">
        <f t="shared" si="35"/>
        <v>6391.9569909553011</v>
      </c>
      <c r="M50" s="4">
        <f t="shared" si="35"/>
        <v>6624.0715457300175</v>
      </c>
      <c r="N50" s="4">
        <f t="shared" si="35"/>
        <v>7108.1562312823571</v>
      </c>
      <c r="O50" s="49"/>
      <c r="P50" s="49"/>
      <c r="Q50" s="49"/>
      <c r="R50" s="49"/>
    </row>
    <row r="51" spans="2:18" ht="14.4" customHeight="1" x14ac:dyDescent="0.3">
      <c r="C51" s="49"/>
    </row>
    <row r="52" spans="2:18" ht="14.4" customHeight="1" x14ac:dyDescent="0.3">
      <c r="B52" s="107"/>
      <c r="C52" s="107"/>
      <c r="D52" s="107"/>
      <c r="E52" s="107"/>
      <c r="F52" s="107"/>
      <c r="G52" s="107"/>
      <c r="H52" s="107"/>
      <c r="I52" s="107"/>
      <c r="J52" s="107"/>
      <c r="K52" s="107"/>
      <c r="L52" s="107"/>
      <c r="M52" s="107"/>
      <c r="N52" s="107"/>
    </row>
    <row r="53" spans="2:18" ht="14.4" customHeight="1" x14ac:dyDescent="0.3"/>
    <row r="54" spans="2:18" ht="14.4" customHeight="1" x14ac:dyDescent="0.3">
      <c r="B54" s="529" t="s">
        <v>462</v>
      </c>
      <c r="C54" s="529"/>
      <c r="D54" s="529"/>
      <c r="E54" s="529"/>
      <c r="F54" s="529"/>
      <c r="G54" s="529"/>
      <c r="H54" s="529"/>
      <c r="I54" s="529"/>
      <c r="J54" s="529"/>
      <c r="K54" s="529"/>
      <c r="L54" s="529"/>
      <c r="M54" s="529"/>
      <c r="N54" s="529"/>
    </row>
    <row r="55" spans="2:18" ht="14.4" customHeight="1" x14ac:dyDescent="0.3">
      <c r="B55" s="103"/>
      <c r="C55" s="103"/>
      <c r="D55" s="103"/>
      <c r="E55" s="103"/>
      <c r="F55" s="103"/>
    </row>
    <row r="56" spans="2:18" ht="14.4" customHeight="1" x14ac:dyDescent="0.3">
      <c r="B56" s="103"/>
      <c r="C56" s="103"/>
      <c r="D56" s="103"/>
      <c r="E56" s="103"/>
      <c r="F56" s="103"/>
    </row>
    <row r="57" spans="2:18" ht="14.4" customHeight="1" x14ac:dyDescent="0.3">
      <c r="B57" s="103"/>
      <c r="C57" s="103"/>
      <c r="D57" s="103"/>
      <c r="E57" s="103"/>
      <c r="F57" s="103"/>
    </row>
    <row r="58" spans="2:18" ht="14.4" customHeight="1" x14ac:dyDescent="0.3"/>
    <row r="59" spans="2:18" ht="14.4" customHeight="1" x14ac:dyDescent="0.3">
      <c r="B59" s="29"/>
    </row>
    <row r="60" spans="2:18" ht="14.4" customHeight="1" x14ac:dyDescent="0.3">
      <c r="B60" s="29"/>
    </row>
    <row r="61" spans="2:18" ht="14.4" customHeight="1" x14ac:dyDescent="0.3">
      <c r="B61" s="29"/>
    </row>
    <row r="62" spans="2:18" ht="14.4" customHeight="1" x14ac:dyDescent="0.3">
      <c r="B62" s="29"/>
    </row>
    <row r="63" spans="2:18" ht="14.4" customHeight="1" x14ac:dyDescent="0.3">
      <c r="B63" s="29"/>
    </row>
    <row r="64" spans="2:18" ht="14.4" customHeight="1" x14ac:dyDescent="0.3">
      <c r="B64" s="29"/>
    </row>
    <row r="65" spans="2:2" ht="14.4" customHeight="1" x14ac:dyDescent="0.3">
      <c r="B65" s="29"/>
    </row>
    <row r="66" spans="2:2" ht="14.4" customHeight="1" x14ac:dyDescent="0.3">
      <c r="B66" s="29"/>
    </row>
    <row r="67" spans="2:2" ht="14.4" customHeight="1" x14ac:dyDescent="0.3">
      <c r="B67" s="29"/>
    </row>
    <row r="68" spans="2:2" ht="14.4" customHeight="1" x14ac:dyDescent="0.3">
      <c r="B68" s="29"/>
    </row>
    <row r="69" spans="2:2" ht="14.4" customHeight="1" x14ac:dyDescent="0.3">
      <c r="B69" s="29"/>
    </row>
    <row r="70" spans="2:2" ht="14.4" customHeight="1" x14ac:dyDescent="0.3"/>
    <row r="71" spans="2:2" ht="14.4" customHeight="1" x14ac:dyDescent="0.3"/>
    <row r="72" spans="2:2" ht="14.4" customHeight="1" x14ac:dyDescent="0.3"/>
    <row r="73" spans="2:2" ht="14.4" customHeight="1" x14ac:dyDescent="0.3">
      <c r="B73" s="103"/>
    </row>
    <row r="74" spans="2:2" ht="14.4" customHeight="1" x14ac:dyDescent="0.3">
      <c r="B74" s="103"/>
    </row>
    <row r="75" spans="2:2" ht="14.4" customHeight="1" x14ac:dyDescent="0.3"/>
    <row r="76" spans="2:2" ht="14.4" customHeight="1" x14ac:dyDescent="0.3">
      <c r="B76" s="29"/>
    </row>
    <row r="77" spans="2:2" ht="14.4" customHeight="1" x14ac:dyDescent="0.3">
      <c r="B77" s="29"/>
    </row>
    <row r="78" spans="2:2" ht="14.4" customHeight="1" x14ac:dyDescent="0.3">
      <c r="B78" s="29"/>
    </row>
    <row r="79" spans="2:2" ht="14.4" customHeight="1" x14ac:dyDescent="0.3">
      <c r="B79" s="29"/>
    </row>
    <row r="80" spans="2:2" ht="14.4" customHeight="1" x14ac:dyDescent="0.3">
      <c r="B80" s="29"/>
    </row>
    <row r="81" spans="2:2" ht="14.4" customHeight="1" x14ac:dyDescent="0.3">
      <c r="B81" s="29"/>
    </row>
    <row r="82" spans="2:2" ht="14.4" customHeight="1" x14ac:dyDescent="0.3">
      <c r="B82" s="29"/>
    </row>
    <row r="83" spans="2:2" ht="14.4" customHeight="1" x14ac:dyDescent="0.3">
      <c r="B83" s="29"/>
    </row>
    <row r="84" spans="2:2" ht="14.4" customHeight="1" x14ac:dyDescent="0.3">
      <c r="B84" s="29"/>
    </row>
    <row r="85" spans="2:2" ht="14.4" customHeight="1" x14ac:dyDescent="0.3">
      <c r="B85" s="29"/>
    </row>
    <row r="86" spans="2:2" ht="14.4" customHeight="1" x14ac:dyDescent="0.3">
      <c r="B86" s="29"/>
    </row>
    <row r="87" spans="2:2" ht="14.4" customHeight="1" x14ac:dyDescent="0.3"/>
    <row r="88" spans="2:2" ht="14.4" customHeight="1" x14ac:dyDescent="0.3"/>
    <row r="89" spans="2:2" ht="14.4" customHeight="1" x14ac:dyDescent="0.3"/>
    <row r="90" spans="2:2" ht="14.4" customHeight="1" x14ac:dyDescent="0.3">
      <c r="B90" s="103"/>
    </row>
    <row r="91" spans="2:2" ht="14.4" customHeight="1" x14ac:dyDescent="0.3">
      <c r="B91" s="103"/>
    </row>
    <row r="92" spans="2:2" ht="14.4" customHeight="1" x14ac:dyDescent="0.3"/>
    <row r="93" spans="2:2" ht="14.4" customHeight="1" x14ac:dyDescent="0.3">
      <c r="B93" s="29"/>
    </row>
    <row r="94" spans="2:2" ht="14.4" customHeight="1" x14ac:dyDescent="0.3">
      <c r="B94" s="29"/>
    </row>
    <row r="95" spans="2:2" ht="14.4" customHeight="1" x14ac:dyDescent="0.3">
      <c r="B95" s="29"/>
    </row>
    <row r="96" spans="2:2" ht="14.4" customHeight="1" x14ac:dyDescent="0.3">
      <c r="B96" s="29"/>
    </row>
    <row r="97" spans="2:2" ht="14.4" customHeight="1" x14ac:dyDescent="0.3">
      <c r="B97" s="29"/>
    </row>
    <row r="98" spans="2:2" ht="14.4" customHeight="1" x14ac:dyDescent="0.3">
      <c r="B98" s="29"/>
    </row>
    <row r="99" spans="2:2" ht="14.4" customHeight="1" x14ac:dyDescent="0.3">
      <c r="B99" s="29"/>
    </row>
    <row r="100" spans="2:2" ht="14.4" customHeight="1" x14ac:dyDescent="0.3">
      <c r="B100" s="29"/>
    </row>
    <row r="101" spans="2:2" ht="14.4" customHeight="1" x14ac:dyDescent="0.3">
      <c r="B101" s="29"/>
    </row>
    <row r="102" spans="2:2" ht="14.4" customHeight="1" x14ac:dyDescent="0.3">
      <c r="B102" s="29"/>
    </row>
    <row r="103" spans="2:2" ht="14.4" customHeight="1" x14ac:dyDescent="0.3">
      <c r="B103" s="29"/>
    </row>
    <row r="104" spans="2:2" ht="14.4" customHeight="1" x14ac:dyDescent="0.3"/>
    <row r="105" spans="2:2" ht="14.4" customHeight="1" x14ac:dyDescent="0.3"/>
    <row r="106" spans="2:2" ht="14.4" customHeight="1" x14ac:dyDescent="0.3"/>
    <row r="107" spans="2:2" ht="14.4" customHeight="1" x14ac:dyDescent="0.3"/>
    <row r="108" spans="2:2" ht="14.4" customHeight="1" x14ac:dyDescent="0.3"/>
    <row r="109" spans="2:2" ht="14.4" customHeight="1" x14ac:dyDescent="0.3"/>
    <row r="110" spans="2:2" ht="14.4" customHeight="1" x14ac:dyDescent="0.3"/>
    <row r="111" spans="2:2" ht="14.4" customHeight="1" x14ac:dyDescent="0.3"/>
    <row r="112" spans="2:2" ht="14.4" customHeight="1" x14ac:dyDescent="0.3"/>
    <row r="113" ht="14.4" customHeight="1" x14ac:dyDescent="0.3"/>
    <row r="114" ht="14.4" customHeight="1" x14ac:dyDescent="0.3"/>
    <row r="115" ht="14.4" customHeight="1" x14ac:dyDescent="0.3"/>
    <row r="116" ht="14.4" customHeight="1" x14ac:dyDescent="0.3"/>
    <row r="117" ht="14.4" customHeight="1" x14ac:dyDescent="0.3"/>
    <row r="118" ht="14.4" customHeight="1" x14ac:dyDescent="0.3"/>
    <row r="119" ht="14.4" customHeight="1" x14ac:dyDescent="0.3"/>
    <row r="120" ht="14.4" customHeight="1" x14ac:dyDescent="0.3"/>
    <row r="121" ht="14.4" customHeight="1" x14ac:dyDescent="0.3"/>
  </sheetData>
  <mergeCells count="2">
    <mergeCell ref="K5:M5"/>
    <mergeCell ref="B54:N54"/>
  </mergeCells>
  <printOptions horizontalCentered="1" verticalCentered="1"/>
  <pageMargins left="0" right="0" top="0" bottom="0" header="0" footer="0"/>
  <pageSetup paperSize="9" scale="65" orientation="landscape" horizontalDpi="1200" verticalDpi="1200" r:id="rId1"/>
  <rowBreaks count="1" manualBreakCount="1">
    <brk id="54" max="1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U82"/>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3" customWidth="1"/>
    <col min="2" max="2" width="44.77734375" style="3" customWidth="1"/>
    <col min="3" max="7" width="17.77734375" style="3" bestFit="1" customWidth="1"/>
    <col min="8" max="9" width="2" style="3" customWidth="1"/>
    <col min="10" max="16384" width="16.77734375" style="3"/>
  </cols>
  <sheetData>
    <row r="1" spans="2:19" ht="15.6" x14ac:dyDescent="0.4">
      <c r="B1" s="104" t="s">
        <v>342</v>
      </c>
      <c r="C1" s="105"/>
      <c r="D1" s="105"/>
      <c r="E1" s="105"/>
      <c r="F1" s="105"/>
      <c r="G1" s="105"/>
      <c r="H1" s="107"/>
      <c r="I1" s="107"/>
      <c r="J1" s="107"/>
      <c r="K1" s="107"/>
      <c r="L1" s="107"/>
      <c r="M1" s="107"/>
      <c r="N1" s="107"/>
    </row>
    <row r="2" spans="2:19" ht="23.4" x14ac:dyDescent="0.45">
      <c r="B2" s="106" t="s">
        <v>341</v>
      </c>
      <c r="C2" s="105"/>
      <c r="D2" s="105"/>
      <c r="E2" s="105"/>
      <c r="F2" s="105"/>
      <c r="G2" s="105"/>
      <c r="H2" s="107"/>
      <c r="I2" s="107"/>
      <c r="J2" s="107"/>
      <c r="K2" s="107"/>
      <c r="L2" s="107"/>
      <c r="M2" s="107"/>
      <c r="N2" s="107"/>
    </row>
    <row r="3" spans="2:19" x14ac:dyDescent="0.3">
      <c r="B3" s="105" t="s">
        <v>343</v>
      </c>
      <c r="C3" s="105"/>
      <c r="D3" s="105"/>
      <c r="E3" s="105"/>
      <c r="F3" s="105"/>
      <c r="G3" s="105"/>
      <c r="H3" s="107"/>
      <c r="I3" s="107"/>
      <c r="J3" s="107"/>
      <c r="K3" s="107"/>
      <c r="L3" s="107"/>
      <c r="M3" s="107"/>
      <c r="N3" s="107"/>
    </row>
    <row r="5" spans="2:19" x14ac:dyDescent="0.3">
      <c r="B5" s="107" t="s">
        <v>18</v>
      </c>
      <c r="C5" s="107"/>
      <c r="D5" s="107"/>
      <c r="E5" s="107"/>
      <c r="F5" s="107"/>
      <c r="G5" s="107"/>
      <c r="H5" s="78"/>
      <c r="J5" s="107" t="s">
        <v>459</v>
      </c>
      <c r="K5" s="528" t="s">
        <v>460</v>
      </c>
      <c r="L5" s="528"/>
      <c r="M5" s="528"/>
      <c r="N5" s="201">
        <v>2</v>
      </c>
    </row>
    <row r="6" spans="2:19" x14ac:dyDescent="0.3">
      <c r="H6" s="78"/>
    </row>
    <row r="7" spans="2:19" x14ac:dyDescent="0.3">
      <c r="B7" s="107" t="s">
        <v>1</v>
      </c>
      <c r="C7" s="427">
        <v>44276</v>
      </c>
      <c r="D7" s="427">
        <f>EDATE(C$7,12)</f>
        <v>44641</v>
      </c>
      <c r="E7" s="427">
        <f t="shared" ref="E7:G7" si="0">EDATE(D$7,12)</f>
        <v>45006</v>
      </c>
      <c r="F7" s="427">
        <f t="shared" si="0"/>
        <v>45372</v>
      </c>
      <c r="G7" s="427">
        <f t="shared" si="0"/>
        <v>45737</v>
      </c>
      <c r="H7" s="78"/>
      <c r="J7" s="428">
        <v>46112</v>
      </c>
      <c r="K7" s="428">
        <f>EDATE(J7,12)</f>
        <v>46477</v>
      </c>
      <c r="L7" s="428">
        <f t="shared" ref="L7:N7" si="1">EDATE(K7,12)</f>
        <v>46843</v>
      </c>
      <c r="M7" s="428">
        <f t="shared" si="1"/>
        <v>47208</v>
      </c>
      <c r="N7" s="428">
        <f t="shared" si="1"/>
        <v>47573</v>
      </c>
    </row>
    <row r="8" spans="2:19" ht="7.05" customHeight="1" x14ac:dyDescent="0.3">
      <c r="H8" s="78"/>
    </row>
    <row r="9" spans="2:19" x14ac:dyDescent="0.3">
      <c r="B9" s="1" t="s">
        <v>19</v>
      </c>
      <c r="H9" s="78"/>
      <c r="J9" s="530" t="s">
        <v>2637</v>
      </c>
      <c r="K9" s="530"/>
      <c r="L9" s="530"/>
      <c r="M9" s="530"/>
      <c r="N9" s="530"/>
    </row>
    <row r="10" spans="2:19" ht="7.05" customHeight="1" x14ac:dyDescent="0.3">
      <c r="H10" s="78"/>
    </row>
    <row r="11" spans="2:19" x14ac:dyDescent="0.3">
      <c r="B11" s="2" t="s">
        <v>20</v>
      </c>
      <c r="H11" s="78"/>
      <c r="J11" s="334">
        <f>J74-J38</f>
        <v>825.45866742444923</v>
      </c>
      <c r="K11" s="74">
        <f t="shared" ref="K11:N11" si="2">K74-K38</f>
        <v>622.94576353984303</v>
      </c>
      <c r="L11" s="74">
        <f t="shared" si="2"/>
        <v>193.85820788287674</v>
      </c>
      <c r="M11" s="74">
        <f t="shared" si="2"/>
        <v>251.68293614752474</v>
      </c>
      <c r="N11" s="335">
        <f t="shared" si="2"/>
        <v>586.46569430807722</v>
      </c>
    </row>
    <row r="12" spans="2:19" ht="7.05" customHeight="1" x14ac:dyDescent="0.3">
      <c r="H12" s="78"/>
    </row>
    <row r="13" spans="2:19" x14ac:dyDescent="0.3">
      <c r="B13" s="56" t="s">
        <v>21</v>
      </c>
      <c r="C13" s="3">
        <f>'DATA STATEMENTS'!C$41</f>
        <v>4017</v>
      </c>
      <c r="D13" s="3">
        <f>'DATA STATEMENTS'!D$41</f>
        <v>5595.58</v>
      </c>
      <c r="E13" s="3">
        <f>'DATA STATEMENTS'!E$41</f>
        <v>6611.83</v>
      </c>
      <c r="F13" s="3">
        <f>'DATA STATEMENTS'!F$41</f>
        <v>8329</v>
      </c>
      <c r="G13" s="3">
        <f>'DATA STATEMENTS'!G$41</f>
        <v>9562</v>
      </c>
      <c r="H13" s="78"/>
      <c r="J13" s="3">
        <f>CHOOSE($N$5,'WORKING CAPITAL SCHEDULE'!J$11,'WORKING CAPITAL SCHEDULE'!Q$11,'WORKING CAPITAL SCHEDULE'!X$11)</f>
        <v>8621.4614226410959</v>
      </c>
      <c r="K13" s="3">
        <f>CHOOSE($N$5,'WORKING CAPITAL SCHEDULE'!K$11,'WORKING CAPITAL SCHEDULE'!R$11,'WORKING CAPITAL SCHEDULE'!Y$11)</f>
        <v>9306.1244840469044</v>
      </c>
      <c r="L13" s="3">
        <f>CHOOSE($N$5,'WORKING CAPITAL SCHEDULE'!L$11,'WORKING CAPITAL SCHEDULE'!S$11,'WORKING CAPITAL SCHEDULE'!Z$11)</f>
        <v>10045.560590365178</v>
      </c>
      <c r="M13" s="3">
        <f>CHOOSE($N$5,'WORKING CAPITAL SCHEDULE'!M$11,'WORKING CAPITAL SCHEDULE'!T$11,'WORKING CAPITAL SCHEDULE'!AA$11)</f>
        <v>10844.151585188914</v>
      </c>
      <c r="N13" s="3">
        <f>CHOOSE($N$5,'WORKING CAPITAL SCHEDULE'!N$11,'WORKING CAPITAL SCHEDULE'!U$11,'WORKING CAPITAL SCHEDULE'!AB$11)</f>
        <v>11706.629859598544</v>
      </c>
      <c r="O13" s="49"/>
      <c r="P13" s="49"/>
      <c r="Q13" s="49"/>
      <c r="R13" s="49"/>
      <c r="S13" s="49"/>
    </row>
    <row r="14" spans="2:19" x14ac:dyDescent="0.3">
      <c r="B14" s="56" t="s">
        <v>2481</v>
      </c>
      <c r="C14" s="3">
        <f>'DATA STATEMENTS'!C$42</f>
        <v>10893</v>
      </c>
      <c r="D14" s="3">
        <f>'DATA STATEMENTS'!D$42</f>
        <v>4963.34</v>
      </c>
      <c r="E14" s="3">
        <f>'DATA STATEMENTS'!E$42</f>
        <v>5836.6</v>
      </c>
      <c r="F14" s="3">
        <f>'DATA STATEMENTS'!F$42</f>
        <v>5485</v>
      </c>
      <c r="G14" s="3">
        <f>'DATA STATEMENTS'!G$42</f>
        <v>2859</v>
      </c>
      <c r="H14" s="78"/>
      <c r="J14" s="3">
        <f>CHOOSE($N$5,'WORKING CAPITAL SCHEDULE'!J$13,'WORKING CAPITAL SCHEDULE'!Q$13,'WORKING CAPITAL SCHEDULE'!X$13)</f>
        <v>4785.9850000000006</v>
      </c>
      <c r="K14" s="3">
        <f>CHOOSE($N$5,'WORKING CAPITAL SCHEDULE'!K$13,'WORKING CAPITAL SCHEDULE'!R$13,'WORKING CAPITAL SCHEDULE'!Y$13)</f>
        <v>4785.9850000000006</v>
      </c>
      <c r="L14" s="3">
        <f>CHOOSE($N$5,'WORKING CAPITAL SCHEDULE'!L$13,'WORKING CAPITAL SCHEDULE'!S$13,'WORKING CAPITAL SCHEDULE'!Z$13)</f>
        <v>4785.9850000000006</v>
      </c>
      <c r="M14" s="3">
        <f>CHOOSE($N$5,'WORKING CAPITAL SCHEDULE'!M$13,'WORKING CAPITAL SCHEDULE'!T$13,'WORKING CAPITAL SCHEDULE'!AA$13)</f>
        <v>4785.9850000000006</v>
      </c>
      <c r="N14" s="3">
        <f>CHOOSE($N$5,'WORKING CAPITAL SCHEDULE'!N$13,'WORKING CAPITAL SCHEDULE'!U$13,'WORKING CAPITAL SCHEDULE'!AB$13)</f>
        <v>4785.9850000000006</v>
      </c>
      <c r="O14" s="49"/>
      <c r="P14" s="49"/>
      <c r="Q14" s="49"/>
      <c r="R14" s="49"/>
      <c r="S14" s="49"/>
    </row>
    <row r="15" spans="2:19" x14ac:dyDescent="0.3">
      <c r="B15" s="56" t="s">
        <v>465</v>
      </c>
      <c r="C15" s="3">
        <f>'DATA STATEMENTS'!C$47</f>
        <v>1899</v>
      </c>
      <c r="D15" s="3">
        <f>'DATA STATEMENTS'!D$47</f>
        <v>1871.95</v>
      </c>
      <c r="E15" s="3">
        <f>'DATA STATEMENTS'!E$47</f>
        <v>1433.82</v>
      </c>
      <c r="F15" s="3">
        <f>'DATA STATEMENTS'!F$47</f>
        <v>2310</v>
      </c>
      <c r="G15" s="3">
        <f>'DATA STATEMENTS'!G$47</f>
        <v>1298</v>
      </c>
      <c r="H15" s="78"/>
      <c r="J15" s="3">
        <f>CHOOSE($N$5,'WORKING CAPITAL SCHEDULE'!J$16,'WORKING CAPITAL SCHEDULE'!Q$16,'WORKING CAPITAL SCHEDULE'!X$16)</f>
        <v>1762.5540000000001</v>
      </c>
      <c r="K15" s="3">
        <f>CHOOSE($N$5,'WORKING CAPITAL SCHEDULE'!K$16,'WORKING CAPITAL SCHEDULE'!R$16,'WORKING CAPITAL SCHEDULE'!Y$16)</f>
        <v>1762.5540000000001</v>
      </c>
      <c r="L15" s="3">
        <f>CHOOSE($N$5,'WORKING CAPITAL SCHEDULE'!L$16,'WORKING CAPITAL SCHEDULE'!S$16,'WORKING CAPITAL SCHEDULE'!Z$16)</f>
        <v>1762.5540000000001</v>
      </c>
      <c r="M15" s="3">
        <f>CHOOSE($N$5,'WORKING CAPITAL SCHEDULE'!M$16,'WORKING CAPITAL SCHEDULE'!T$16,'WORKING CAPITAL SCHEDULE'!AA$16)</f>
        <v>1762.5540000000001</v>
      </c>
      <c r="N15" s="3">
        <f>CHOOSE($N$5,'WORKING CAPITAL SCHEDULE'!N$16,'WORKING CAPITAL SCHEDULE'!U$16,'WORKING CAPITAL SCHEDULE'!AB$16)</f>
        <v>1762.5540000000001</v>
      </c>
      <c r="O15" s="49"/>
      <c r="P15" s="49"/>
      <c r="Q15" s="49"/>
      <c r="R15" s="49"/>
      <c r="S15" s="49"/>
    </row>
    <row r="16" spans="2:19" x14ac:dyDescent="0.3">
      <c r="B16" s="56" t="s">
        <v>22</v>
      </c>
      <c r="C16" s="3">
        <f>'DATA STATEMENTS'!C$43</f>
        <v>2571</v>
      </c>
      <c r="D16" s="3">
        <f>'DATA STATEMENTS'!D$43</f>
        <v>3071.61</v>
      </c>
      <c r="E16" s="3">
        <f>'DATA STATEMENTS'!E$43</f>
        <v>3867.02</v>
      </c>
      <c r="F16" s="3">
        <f>'DATA STATEMENTS'!F$43</f>
        <v>4278</v>
      </c>
      <c r="G16" s="3">
        <f>'DATA STATEMENTS'!G$43</f>
        <v>5890</v>
      </c>
      <c r="H16" s="78"/>
      <c r="J16" s="3">
        <f>CHOOSE($N$5,'WORKING CAPITAL SCHEDULE'!J$19,'WORKING CAPITAL SCHEDULE'!Q$19,'WORKING CAPITAL SCHEDULE'!X$19)</f>
        <v>4877.4431539726029</v>
      </c>
      <c r="K16" s="3">
        <f>CHOOSE($N$5,'WORKING CAPITAL SCHEDULE'!K$19,'WORKING CAPITAL SCHEDULE'!R$19,'WORKING CAPITAL SCHEDULE'!Y$19)</f>
        <v>5264.7794764273976</v>
      </c>
      <c r="L16" s="3">
        <f>CHOOSE($N$5,'WORKING CAPITAL SCHEDULE'!L$19,'WORKING CAPITAL SCHEDULE'!S$19,'WORKING CAPITAL SCHEDULE'!Z$19)</f>
        <v>5683.1027046785757</v>
      </c>
      <c r="M16" s="3">
        <f>CHOOSE($N$5,'WORKING CAPITAL SCHEDULE'!M$19,'WORKING CAPITAL SCHEDULE'!T$19,'WORKING CAPITAL SCHEDULE'!AA$19)</f>
        <v>6134.8917911898479</v>
      </c>
      <c r="N16" s="3">
        <f>CHOOSE($N$5,'WORKING CAPITAL SCHEDULE'!N$19,'WORKING CAPITAL SCHEDULE'!U$19,'WORKING CAPITAL SCHEDULE'!AB$19)</f>
        <v>6622.8240046220217</v>
      </c>
      <c r="O16" s="49"/>
      <c r="P16" s="49"/>
      <c r="Q16" s="49"/>
      <c r="R16" s="49"/>
      <c r="S16" s="49"/>
    </row>
    <row r="17" spans="2:20" x14ac:dyDescent="0.3">
      <c r="B17" s="56" t="s">
        <v>23</v>
      </c>
      <c r="C17" s="3">
        <f>'DATA STATEMENTS'!C$44</f>
        <v>177</v>
      </c>
      <c r="D17" s="3">
        <f>'DATA STATEMENTS'!D$44</f>
        <v>120.54</v>
      </c>
      <c r="E17" s="3">
        <f>'DATA STATEMENTS'!E$44</f>
        <v>370.37</v>
      </c>
      <c r="F17" s="3">
        <f>'DATA STATEMENTS'!F$44</f>
        <v>553</v>
      </c>
      <c r="G17" s="3">
        <f>'DATA STATEMENTS'!G$44</f>
        <v>467</v>
      </c>
      <c r="H17" s="78"/>
      <c r="J17" s="439">
        <f>J$11</f>
        <v>825.45866742444923</v>
      </c>
      <c r="K17" s="439">
        <f t="shared" ref="K17:N17" si="3">K$11</f>
        <v>622.94576353984303</v>
      </c>
      <c r="L17" s="439">
        <f t="shared" si="3"/>
        <v>193.85820788287674</v>
      </c>
      <c r="M17" s="439">
        <f t="shared" si="3"/>
        <v>251.68293614752474</v>
      </c>
      <c r="N17" s="439">
        <f t="shared" si="3"/>
        <v>586.46569430807722</v>
      </c>
      <c r="O17" s="49"/>
      <c r="P17" s="49"/>
      <c r="Q17" s="49"/>
      <c r="R17" s="49"/>
      <c r="S17" s="49"/>
    </row>
    <row r="18" spans="2:20" x14ac:dyDescent="0.3">
      <c r="B18" s="56" t="s">
        <v>324</v>
      </c>
      <c r="C18" s="3">
        <f>'DATA STATEMENTS'!C$45</f>
        <v>1830</v>
      </c>
      <c r="D18" s="3">
        <f>'DATA STATEMENTS'!D$45</f>
        <v>238.64</v>
      </c>
      <c r="E18" s="3">
        <f>'DATA STATEMENTS'!E$45</f>
        <v>779.22</v>
      </c>
      <c r="F18" s="3">
        <f>'DATA STATEMENTS'!F$45</f>
        <v>229</v>
      </c>
      <c r="G18" s="3">
        <f>'DATA STATEMENTS'!G$45</f>
        <v>1206</v>
      </c>
      <c r="H18" s="78"/>
      <c r="J18" s="3">
        <f>CHOOSE($N$5,'WORKING CAPITAL SCHEDULE'!J$21,'WORKING CAPITAL SCHEDULE'!Q$21,'WORKING CAPITAL SCHEDULE'!X$21)</f>
        <v>856.57199999999989</v>
      </c>
      <c r="K18" s="3">
        <f>CHOOSE($N$5,'WORKING CAPITAL SCHEDULE'!K$21,'WORKING CAPITAL SCHEDULE'!R$21,'WORKING CAPITAL SCHEDULE'!Y$21)</f>
        <v>856.57199999999989</v>
      </c>
      <c r="L18" s="3">
        <f>CHOOSE($N$5,'WORKING CAPITAL SCHEDULE'!L$21,'WORKING CAPITAL SCHEDULE'!S$21,'WORKING CAPITAL SCHEDULE'!Z$21)</f>
        <v>856.57199999999989</v>
      </c>
      <c r="M18" s="3">
        <f>CHOOSE($N$5,'WORKING CAPITAL SCHEDULE'!M$21,'WORKING CAPITAL SCHEDULE'!T$21,'WORKING CAPITAL SCHEDULE'!AA$21)</f>
        <v>856.57199999999989</v>
      </c>
      <c r="N18" s="3">
        <f>CHOOSE($N$5,'WORKING CAPITAL SCHEDULE'!N$21,'WORKING CAPITAL SCHEDULE'!U$21,'WORKING CAPITAL SCHEDULE'!AB$21)</f>
        <v>856.57199999999989</v>
      </c>
      <c r="O18" s="49"/>
      <c r="P18" s="49"/>
      <c r="Q18" s="49"/>
      <c r="R18" s="49"/>
      <c r="S18" s="49"/>
    </row>
    <row r="19" spans="2:20" x14ac:dyDescent="0.3">
      <c r="B19" s="56" t="s">
        <v>24</v>
      </c>
      <c r="C19" s="3">
        <f>'DATA STATEMENTS'!C$46</f>
        <v>114</v>
      </c>
      <c r="D19" s="3">
        <f>'DATA STATEMENTS'!D$46</f>
        <v>6.86</v>
      </c>
      <c r="E19" s="3">
        <f>'DATA STATEMENTS'!E$46</f>
        <v>67</v>
      </c>
      <c r="F19" s="3">
        <f>'DATA STATEMENTS'!F$46</f>
        <v>9</v>
      </c>
      <c r="G19" s="3">
        <f>'DATA STATEMENTS'!G$46</f>
        <v>10</v>
      </c>
      <c r="H19" s="78"/>
      <c r="J19" s="3">
        <f>CHOOSE($N$5,'WORKING CAPITAL SCHEDULE'!J$24,'WORKING CAPITAL SCHEDULE'!Q$24,'WORKING CAPITAL SCHEDULE'!X$24)</f>
        <v>41.372</v>
      </c>
      <c r="K19" s="3">
        <f>CHOOSE($N$5,'WORKING CAPITAL SCHEDULE'!K$24,'WORKING CAPITAL SCHEDULE'!R$24,'WORKING CAPITAL SCHEDULE'!Y$24)</f>
        <v>41.372</v>
      </c>
      <c r="L19" s="3">
        <f>CHOOSE($N$5,'WORKING CAPITAL SCHEDULE'!L$24,'WORKING CAPITAL SCHEDULE'!S$24,'WORKING CAPITAL SCHEDULE'!Z$24)</f>
        <v>41.372</v>
      </c>
      <c r="M19" s="3">
        <f>CHOOSE($N$5,'WORKING CAPITAL SCHEDULE'!M$24,'WORKING CAPITAL SCHEDULE'!T$24,'WORKING CAPITAL SCHEDULE'!AA$24)</f>
        <v>41.372</v>
      </c>
      <c r="N19" s="3">
        <f>CHOOSE($N$5,'WORKING CAPITAL SCHEDULE'!N$24,'WORKING CAPITAL SCHEDULE'!U$24,'WORKING CAPITAL SCHEDULE'!AB$24)</f>
        <v>41.372</v>
      </c>
      <c r="O19" s="50"/>
      <c r="P19" s="49"/>
      <c r="Q19" s="49"/>
      <c r="R19" s="49"/>
      <c r="S19" s="49"/>
    </row>
    <row r="20" spans="2:20" x14ac:dyDescent="0.3">
      <c r="B20" s="56" t="s">
        <v>25</v>
      </c>
      <c r="C20" s="3">
        <f>'DATA STATEMENTS'!C$48</f>
        <v>1548</v>
      </c>
      <c r="D20" s="3">
        <f>'DATA STATEMENTS'!D$48</f>
        <v>1613.94</v>
      </c>
      <c r="E20" s="3">
        <f>'DATA STATEMENTS'!E$48</f>
        <v>1818.28</v>
      </c>
      <c r="F20" s="3">
        <f>'DATA STATEMENTS'!F$48</f>
        <v>1948</v>
      </c>
      <c r="G20" s="3">
        <f>'DATA STATEMENTS'!G$48</f>
        <v>2247</v>
      </c>
      <c r="H20" s="78"/>
      <c r="J20" s="3">
        <f>CHOOSE($N$5,'WORKING CAPITAL SCHEDULE'!J$27,'WORKING CAPITAL SCHEDULE'!Q$27,'WORKING CAPITAL SCHEDULE'!X$27)</f>
        <v>2421.75</v>
      </c>
      <c r="K20" s="3">
        <f>CHOOSE($N$5,'WORKING CAPITAL SCHEDULE'!K$27,'WORKING CAPITAL SCHEDULE'!R$27,'WORKING CAPITAL SCHEDULE'!Y$27)</f>
        <v>2596.5</v>
      </c>
      <c r="L20" s="3">
        <f>CHOOSE($N$5,'WORKING CAPITAL SCHEDULE'!L$27,'WORKING CAPITAL SCHEDULE'!S$27,'WORKING CAPITAL SCHEDULE'!Z$27)</f>
        <v>2771.25</v>
      </c>
      <c r="M20" s="3">
        <f>CHOOSE($N$5,'WORKING CAPITAL SCHEDULE'!M$27,'WORKING CAPITAL SCHEDULE'!T$27,'WORKING CAPITAL SCHEDULE'!AA$27)</f>
        <v>2946</v>
      </c>
      <c r="N20" s="3">
        <f>CHOOSE($N$5,'WORKING CAPITAL SCHEDULE'!N$27,'WORKING CAPITAL SCHEDULE'!U$27,'WORKING CAPITAL SCHEDULE'!AB$27)</f>
        <v>3120.75</v>
      </c>
      <c r="O20" s="49"/>
      <c r="P20" s="49"/>
      <c r="Q20" s="49"/>
      <c r="R20" s="49"/>
      <c r="S20" s="49"/>
    </row>
    <row r="21" spans="2:20" ht="7.05" customHeight="1" x14ac:dyDescent="0.3">
      <c r="H21" s="78"/>
    </row>
    <row r="22" spans="2:20" x14ac:dyDescent="0.3">
      <c r="B22" s="4" t="s">
        <v>26</v>
      </c>
      <c r="C22" s="4">
        <f t="shared" ref="C22:F22" si="4">SUM(C13:C20)</f>
        <v>23049</v>
      </c>
      <c r="D22" s="4">
        <f t="shared" si="4"/>
        <v>17482.460000000003</v>
      </c>
      <c r="E22" s="4">
        <f t="shared" si="4"/>
        <v>20784.14</v>
      </c>
      <c r="F22" s="4">
        <f t="shared" si="4"/>
        <v>23141</v>
      </c>
      <c r="G22" s="4">
        <f t="shared" ref="G22" si="5">SUM(G13:G20)</f>
        <v>23539</v>
      </c>
      <c r="H22" s="78"/>
      <c r="J22" s="4">
        <f>SUM(J13,J14,J15,J16,J18,J19,J20)</f>
        <v>23367.137576613699</v>
      </c>
      <c r="K22" s="4">
        <f t="shared" ref="K22:N22" si="6">SUM(K13,K14,K15,K16,K18,K19,K20)</f>
        <v>24613.886960474301</v>
      </c>
      <c r="L22" s="4">
        <f t="shared" si="6"/>
        <v>25946.396295043753</v>
      </c>
      <c r="M22" s="4">
        <f t="shared" si="6"/>
        <v>27371.526376378763</v>
      </c>
      <c r="N22" s="4">
        <f t="shared" si="6"/>
        <v>28896.686864220563</v>
      </c>
    </row>
    <row r="23" spans="2:20" ht="7.05" customHeight="1" x14ac:dyDescent="0.3">
      <c r="H23" s="78"/>
    </row>
    <row r="24" spans="2:20" x14ac:dyDescent="0.3">
      <c r="B24" s="2" t="s">
        <v>27</v>
      </c>
      <c r="H24" s="78"/>
    </row>
    <row r="25" spans="2:20" ht="7.05" customHeight="1" x14ac:dyDescent="0.3">
      <c r="H25" s="78"/>
    </row>
    <row r="26" spans="2:20" x14ac:dyDescent="0.3">
      <c r="B26" s="56" t="s">
        <v>345</v>
      </c>
      <c r="C26" s="3">
        <f>'DATA STATEMENTS'!C$30</f>
        <v>42291</v>
      </c>
      <c r="D26" s="3">
        <f>'DATA STATEMENTS'!D$30</f>
        <v>42592.19</v>
      </c>
      <c r="E26" s="3">
        <f>'DATA STATEMENTS'!E$30</f>
        <v>46480.28</v>
      </c>
      <c r="F26" s="3">
        <f>'DATA STATEMENTS'!F$30</f>
        <v>50126</v>
      </c>
      <c r="G26" s="3">
        <f>'DATA STATEMENTS'!G$30</f>
        <v>76015</v>
      </c>
      <c r="H26" s="78"/>
      <c r="J26" s="3">
        <f>CHOOSE($N$5,'DEPRECIATION SCHEDULE'!C$27,'DEPRECIATION SCHEDULE'!C$37,'DEPRECIATION SCHEDULE'!C$47)</f>
        <v>70733.662168591996</v>
      </c>
      <c r="K26" s="3">
        <f>CHOOSE($N$5,'DEPRECIATION SCHEDULE'!D$27,'DEPRECIATION SCHEDULE'!D$37,'DEPRECIATION SCHEDULE'!D$47)</f>
        <v>82822.188625566792</v>
      </c>
      <c r="L26" s="3">
        <f>CHOOSE($N$5,'DEPRECIATION SCHEDULE'!E$27,'DEPRECIATION SCHEDULE'!E$37,'DEPRECIATION SCHEDULE'!E$47)</f>
        <v>99419.958265065798</v>
      </c>
      <c r="M26" s="3">
        <f>CHOOSE($N$5,'DEPRECIATION SCHEDULE'!F$27,'DEPRECIATION SCHEDULE'!F$37,'DEPRECIATION SCHEDULE'!F$47)</f>
        <v>117478.09735882282</v>
      </c>
      <c r="N26" s="3">
        <f>CHOOSE($N$5,'DEPRECIATION SCHEDULE'!G$27,'DEPRECIATION SCHEDULE'!G$37,'DEPRECIATION SCHEDULE'!G$47)</f>
        <v>131897.08192894506</v>
      </c>
      <c r="O26" s="49"/>
      <c r="P26" s="49"/>
      <c r="Q26" s="49"/>
      <c r="R26" s="49"/>
      <c r="S26" s="49"/>
    </row>
    <row r="27" spans="2:20" x14ac:dyDescent="0.3">
      <c r="B27" s="56" t="s">
        <v>31</v>
      </c>
      <c r="C27" s="3">
        <f>'DATA STATEMENTS'!C$31</f>
        <v>1680</v>
      </c>
      <c r="D27" s="3">
        <f>'DATA STATEMENTS'!D$31</f>
        <v>4777.25</v>
      </c>
      <c r="E27" s="3">
        <f>'DATA STATEMENTS'!E$31</f>
        <v>4034.91</v>
      </c>
      <c r="F27" s="3">
        <f>'DATA STATEMENTS'!F$31</f>
        <v>6782</v>
      </c>
      <c r="G27" s="3">
        <f>'DATA STATEMENTS'!G$31</f>
        <v>6188</v>
      </c>
      <c r="H27" s="78"/>
      <c r="J27" s="3">
        <f>CHOOSE($N$5,'DEPRECIATION SCHEDULE'!C$22,'DEPRECIATION SCHEDULE'!C$32,'DEPRECIATION SCHEDULE'!C$42)</f>
        <v>5684.9851588319998</v>
      </c>
      <c r="K27" s="3">
        <f>CHOOSE($N$5,'DEPRECIATION SCHEDULE'!D$22,'DEPRECIATION SCHEDULE'!D$32,'DEPRECIATION SCHEDULE'!D$42)</f>
        <v>7067.4424761939854</v>
      </c>
      <c r="L27" s="3">
        <f>CHOOSE($N$5,'DEPRECIATION SCHEDULE'!E$22,'DEPRECIATION SCHEDULE'!E$32,'DEPRECIATION SCHEDULE'!E$42)</f>
        <v>9195.4171380541593</v>
      </c>
      <c r="M27" s="3">
        <f>CHOOSE($N$5,'DEPRECIATION SCHEDULE'!F$22,'DEPRECIATION SCHEDULE'!F$32,'DEPRECIATION SCHEDULE'!F$42)</f>
        <v>10060.565227716581</v>
      </c>
      <c r="N27" s="3">
        <f>CHOOSE($N$5,'DEPRECIATION SCHEDULE'!G$22,'DEPRECIATION SCHEDULE'!G$32,'DEPRECIATION SCHEDULE'!G$42)</f>
        <v>8748.4351375340411</v>
      </c>
      <c r="O27" s="49"/>
      <c r="P27" s="49"/>
      <c r="Q27" s="49"/>
      <c r="R27" s="49"/>
      <c r="S27" s="49"/>
      <c r="T27" s="49"/>
    </row>
    <row r="28" spans="2:20" x14ac:dyDescent="0.3">
      <c r="B28" s="56" t="s">
        <v>318</v>
      </c>
      <c r="C28" s="3">
        <f>'DATA STATEMENTS'!C$32</f>
        <v>1334</v>
      </c>
      <c r="D28" s="3">
        <f>'DATA STATEMENTS'!D$32</f>
        <v>1178.5999999999999</v>
      </c>
      <c r="E28" s="3">
        <f>'DATA STATEMENTS'!E$32</f>
        <v>1190.3599999999999</v>
      </c>
      <c r="F28" s="3">
        <f>'DATA STATEMENTS'!F$32</f>
        <v>916</v>
      </c>
      <c r="G28" s="3">
        <f>'DATA STATEMENTS'!G$32</f>
        <v>835</v>
      </c>
      <c r="H28" s="78"/>
      <c r="J28" s="3">
        <f>CHOOSE($N$5,'LONG TERM SOLVENCY SCHEDULE'!J$13,'LONG TERM SOLVENCY SCHEDULE'!Q$13,'LONG TERM SOLVENCY SCHEDULE'!X$13)</f>
        <v>710.25</v>
      </c>
      <c r="K28" s="3">
        <f>CHOOSE($N$5,'LONG TERM SOLVENCY SCHEDULE'!K$13,'LONG TERM SOLVENCY SCHEDULE'!R$13,'LONG TERM SOLVENCY SCHEDULE'!Y$13)</f>
        <v>585.5</v>
      </c>
      <c r="L28" s="3">
        <f>CHOOSE($N$5,'LONG TERM SOLVENCY SCHEDULE'!L$13,'LONG TERM SOLVENCY SCHEDULE'!S$13,'LONG TERM SOLVENCY SCHEDULE'!Z$13)</f>
        <v>460.75</v>
      </c>
      <c r="M28" s="3">
        <f>CHOOSE($N$5,'LONG TERM SOLVENCY SCHEDULE'!M$13,'LONG TERM SOLVENCY SCHEDULE'!T$13,'LONG TERM SOLVENCY SCHEDULE'!AA$13)</f>
        <v>336</v>
      </c>
      <c r="N28" s="3">
        <f>CHOOSE($N$5,'LONG TERM SOLVENCY SCHEDULE'!N$13,'LONG TERM SOLVENCY SCHEDULE'!U$13,'LONG TERM SOLVENCY SCHEDULE'!AB$13)</f>
        <v>211.25</v>
      </c>
      <c r="O28" s="49"/>
      <c r="P28" s="50"/>
      <c r="Q28" s="50"/>
      <c r="R28" s="50"/>
      <c r="S28" s="50"/>
      <c r="T28" s="50"/>
    </row>
    <row r="29" spans="2:20" x14ac:dyDescent="0.3">
      <c r="B29" s="56" t="s">
        <v>2480</v>
      </c>
      <c r="C29" s="3">
        <f>'DATA STATEMENTS'!C$33</f>
        <v>6219</v>
      </c>
      <c r="D29" s="3">
        <f>'DATA STATEMENTS'!D$33</f>
        <v>6250.21</v>
      </c>
      <c r="E29" s="3">
        <f>'DATA STATEMENTS'!E$33</f>
        <v>6329.26</v>
      </c>
      <c r="F29" s="3">
        <f>'DATA STATEMENTS'!F$33</f>
        <v>6345</v>
      </c>
      <c r="G29" s="3">
        <f>'DATA STATEMENTS'!G$33</f>
        <v>7681</v>
      </c>
      <c r="H29" s="78"/>
      <c r="J29" s="3">
        <f>CHOOSE($N$5,'LONG TERM SOLVENCY SCHEDULE'!J$16,'LONG TERM SOLVENCY SCHEDULE'!Q$16,'LONG TERM SOLVENCY SCHEDULE'!X$16)</f>
        <v>8046.5</v>
      </c>
      <c r="K29" s="3">
        <f>CHOOSE($N$5,'LONG TERM SOLVENCY SCHEDULE'!K$16,'LONG TERM SOLVENCY SCHEDULE'!R$16,'LONG TERM SOLVENCY SCHEDULE'!Y$16)</f>
        <v>8412</v>
      </c>
      <c r="L29" s="3">
        <f>CHOOSE($N$5,'LONG TERM SOLVENCY SCHEDULE'!L$16,'LONG TERM SOLVENCY SCHEDULE'!S$16,'LONG TERM SOLVENCY SCHEDULE'!Z$16)</f>
        <v>8777.5</v>
      </c>
      <c r="M29" s="3">
        <f>CHOOSE($N$5,'LONG TERM SOLVENCY SCHEDULE'!M$16,'LONG TERM SOLVENCY SCHEDULE'!T$16,'LONG TERM SOLVENCY SCHEDULE'!AA$16)</f>
        <v>9143</v>
      </c>
      <c r="N29" s="3">
        <f>CHOOSE($N$5,'LONG TERM SOLVENCY SCHEDULE'!N$16,'LONG TERM SOLVENCY SCHEDULE'!U$16,'LONG TERM SOLVENCY SCHEDULE'!AB$16)</f>
        <v>9508.5</v>
      </c>
      <c r="O29" s="50"/>
      <c r="P29" s="50"/>
      <c r="Q29" s="50"/>
      <c r="R29" s="50"/>
      <c r="S29" s="50"/>
    </row>
    <row r="30" spans="2:20" x14ac:dyDescent="0.3">
      <c r="B30" s="56" t="s">
        <v>28</v>
      </c>
      <c r="C30" s="3">
        <f>'DATA STATEMENTS'!C$34</f>
        <v>5571</v>
      </c>
      <c r="D30" s="3">
        <f>'DATA STATEMENTS'!D$34</f>
        <v>6208</v>
      </c>
      <c r="E30" s="3">
        <f>'DATA STATEMENTS'!E$34</f>
        <v>6037</v>
      </c>
      <c r="F30" s="3">
        <f>'DATA STATEMENTS'!F$34</f>
        <v>5517</v>
      </c>
      <c r="G30" s="3">
        <f>'DATA STATEMENTS'!G$34</f>
        <v>10076</v>
      </c>
      <c r="H30" s="78"/>
      <c r="J30" s="3">
        <f>CHOOSE($N$5,'LONG TERM SOLVENCY SCHEDULE'!J$19,'LONG TERM SOLVENCY SCHEDULE'!Q$19,'LONG TERM SOLVENCY SCHEDULE'!X$19)</f>
        <v>6681.8</v>
      </c>
      <c r="K30" s="3">
        <f>CHOOSE($N$5,'LONG TERM SOLVENCY SCHEDULE'!K$19,'LONG TERM SOLVENCY SCHEDULE'!R$19,'LONG TERM SOLVENCY SCHEDULE'!Y$19)</f>
        <v>6681.8</v>
      </c>
      <c r="L30" s="3">
        <f>CHOOSE($N$5,'LONG TERM SOLVENCY SCHEDULE'!L$19,'LONG TERM SOLVENCY SCHEDULE'!S$19,'LONG TERM SOLVENCY SCHEDULE'!Z$19)</f>
        <v>6681.8</v>
      </c>
      <c r="M30" s="3">
        <f>CHOOSE($N$5,'LONG TERM SOLVENCY SCHEDULE'!M$19,'LONG TERM SOLVENCY SCHEDULE'!T$19,'LONG TERM SOLVENCY SCHEDULE'!AA$19)</f>
        <v>6681.8</v>
      </c>
      <c r="N30" s="3">
        <f>CHOOSE($N$5,'LONG TERM SOLVENCY SCHEDULE'!N$19,'LONG TERM SOLVENCY SCHEDULE'!U$19,'LONG TERM SOLVENCY SCHEDULE'!AB$19)</f>
        <v>6681.8</v>
      </c>
      <c r="O30" s="50"/>
      <c r="P30" s="49"/>
      <c r="Q30" s="49"/>
      <c r="R30" s="49"/>
      <c r="S30" s="49"/>
    </row>
    <row r="31" spans="2:20" x14ac:dyDescent="0.3">
      <c r="B31" s="56" t="s">
        <v>2481</v>
      </c>
      <c r="C31" s="3">
        <f>'DATA STATEMENTS'!C$35</f>
        <v>1255</v>
      </c>
      <c r="D31" s="3">
        <f>'DATA STATEMENTS'!D$35</f>
        <v>1342.26</v>
      </c>
      <c r="E31" s="3">
        <f>'DATA STATEMENTS'!E$35</f>
        <v>584.34</v>
      </c>
      <c r="F31" s="3">
        <f>'DATA STATEMENTS'!F$35</f>
        <v>1795</v>
      </c>
      <c r="G31" s="3">
        <f>'DATA STATEMENTS'!G$35</f>
        <v>1997</v>
      </c>
      <c r="H31" s="78"/>
      <c r="J31" s="3">
        <f>CHOOSE($N$5,'LONG TERM SOLVENCY SCHEDULE'!J$22,'LONG TERM SOLVENCY SCHEDULE'!Q$22,'LONG TERM SOLVENCY SCHEDULE'!X$22)</f>
        <v>2182.5</v>
      </c>
      <c r="K31" s="3">
        <f>CHOOSE($N$5,'LONG TERM SOLVENCY SCHEDULE'!K$22,'LONG TERM SOLVENCY SCHEDULE'!R$22,'LONG TERM SOLVENCY SCHEDULE'!Y$22)</f>
        <v>2368</v>
      </c>
      <c r="L31" s="3">
        <f>CHOOSE($N$5,'LONG TERM SOLVENCY SCHEDULE'!L$22,'LONG TERM SOLVENCY SCHEDULE'!S$22,'LONG TERM SOLVENCY SCHEDULE'!Z$22)</f>
        <v>2553.5</v>
      </c>
      <c r="M31" s="3">
        <f>CHOOSE($N$5,'LONG TERM SOLVENCY SCHEDULE'!M$22,'LONG TERM SOLVENCY SCHEDULE'!T$22,'LONG TERM SOLVENCY SCHEDULE'!AA$22)</f>
        <v>2739</v>
      </c>
      <c r="N31" s="3">
        <f>CHOOSE($N$5,'LONG TERM SOLVENCY SCHEDULE'!N$22,'LONG TERM SOLVENCY SCHEDULE'!U$22,'LONG TERM SOLVENCY SCHEDULE'!AB$22)</f>
        <v>2924.5</v>
      </c>
      <c r="O31" s="50"/>
      <c r="P31" s="50"/>
      <c r="Q31" s="50"/>
      <c r="R31" s="50"/>
      <c r="S31" s="49"/>
    </row>
    <row r="32" spans="2:20" x14ac:dyDescent="0.3">
      <c r="B32" s="56" t="s">
        <v>2482</v>
      </c>
      <c r="C32" s="3">
        <f>'DATA STATEMENTS'!C$36</f>
        <v>167</v>
      </c>
      <c r="D32" s="3">
        <f>'DATA STATEMENTS'!D$36</f>
        <v>9.59</v>
      </c>
      <c r="E32" s="3">
        <f>'DATA STATEMENTS'!E$36</f>
        <v>9.2200000000000006</v>
      </c>
      <c r="F32" s="3">
        <f>'DATA STATEMENTS'!F$36</f>
        <v>8</v>
      </c>
      <c r="G32" s="3">
        <f>'DATA STATEMENTS'!G$36</f>
        <v>16</v>
      </c>
      <c r="H32" s="78"/>
      <c r="J32" s="3">
        <f>CHOOSE($N$5,'LONG TERM SOLVENCY SCHEDULE'!J$25,'LONG TERM SOLVENCY SCHEDULE'!Q$25,'LONG TERM SOLVENCY SCHEDULE'!X$25)</f>
        <v>41.962000000000003</v>
      </c>
      <c r="K32" s="3">
        <f>CHOOSE($N$5,'LONG TERM SOLVENCY SCHEDULE'!K$25,'LONG TERM SOLVENCY SCHEDULE'!R$25,'LONG TERM SOLVENCY SCHEDULE'!Y$25)</f>
        <v>41.962000000000003</v>
      </c>
      <c r="L32" s="3">
        <f>CHOOSE($N$5,'LONG TERM SOLVENCY SCHEDULE'!L$25,'LONG TERM SOLVENCY SCHEDULE'!S$25,'LONG TERM SOLVENCY SCHEDULE'!Z$25)</f>
        <v>41.962000000000003</v>
      </c>
      <c r="M32" s="3">
        <f>CHOOSE($N$5,'LONG TERM SOLVENCY SCHEDULE'!M$25,'LONG TERM SOLVENCY SCHEDULE'!T$25,'LONG TERM SOLVENCY SCHEDULE'!AA$25)</f>
        <v>41.962000000000003</v>
      </c>
      <c r="N32" s="3">
        <f>CHOOSE($N$5,'LONG TERM SOLVENCY SCHEDULE'!N$25,'LONG TERM SOLVENCY SCHEDULE'!U$25,'LONG TERM SOLVENCY SCHEDULE'!AB$25)</f>
        <v>41.962000000000003</v>
      </c>
      <c r="O32" s="49"/>
      <c r="P32" s="49"/>
      <c r="Q32" s="49"/>
      <c r="R32" s="49"/>
      <c r="S32" s="49"/>
    </row>
    <row r="33" spans="2:21" x14ac:dyDescent="0.3">
      <c r="B33" s="56" t="s">
        <v>346</v>
      </c>
      <c r="C33" s="3">
        <f>'DATA STATEMENTS'!C$37</f>
        <v>1997</v>
      </c>
      <c r="D33" s="3">
        <f>'DATA STATEMENTS'!D$37</f>
        <v>1109.98</v>
      </c>
      <c r="E33" s="3">
        <f>'DATA STATEMENTS'!E$37</f>
        <v>1881.11</v>
      </c>
      <c r="F33" s="3">
        <f>'DATA STATEMENTS'!F$37</f>
        <v>1457</v>
      </c>
      <c r="G33" s="3">
        <f>'DATA STATEMENTS'!G$37</f>
        <v>2933</v>
      </c>
      <c r="H33" s="78"/>
      <c r="J33" s="3">
        <f>CHOOSE($N$5,'LONG TERM SOLVENCY SCHEDULE'!J$27,'LONG TERM SOLVENCY SCHEDULE'!Q$27,'LONG TERM SOLVENCY SCHEDULE'!X$27)</f>
        <v>3167</v>
      </c>
      <c r="K33" s="3">
        <f>CHOOSE($N$5,'LONG TERM SOLVENCY SCHEDULE'!K$27,'LONG TERM SOLVENCY SCHEDULE'!R$27,'LONG TERM SOLVENCY SCHEDULE'!Y$27)</f>
        <v>3401</v>
      </c>
      <c r="L33" s="3">
        <f>CHOOSE($N$5,'LONG TERM SOLVENCY SCHEDULE'!L$27,'LONG TERM SOLVENCY SCHEDULE'!S$27,'LONG TERM SOLVENCY SCHEDULE'!Z$27)</f>
        <v>3635</v>
      </c>
      <c r="M33" s="3">
        <f>CHOOSE($N$5,'LONG TERM SOLVENCY SCHEDULE'!M$27,'LONG TERM SOLVENCY SCHEDULE'!T$27,'LONG TERM SOLVENCY SCHEDULE'!AA$27)</f>
        <v>3869</v>
      </c>
      <c r="N33" s="3">
        <f>CHOOSE($N$5,'LONG TERM SOLVENCY SCHEDULE'!N$27,'LONG TERM SOLVENCY SCHEDULE'!U$27,'LONG TERM SOLVENCY SCHEDULE'!AB$27)</f>
        <v>4103</v>
      </c>
      <c r="O33" s="49"/>
      <c r="P33" s="49"/>
      <c r="Q33" s="49"/>
      <c r="R33" s="49"/>
      <c r="S33" s="49"/>
    </row>
    <row r="34" spans="2:21" x14ac:dyDescent="0.3">
      <c r="B34" s="56" t="s">
        <v>29</v>
      </c>
      <c r="C34" s="3">
        <f>'DATA STATEMENTS'!C$38</f>
        <v>2707</v>
      </c>
      <c r="D34" s="3">
        <f>'DATA STATEMENTS'!D$38</f>
        <v>3078.27</v>
      </c>
      <c r="E34" s="3">
        <f>'DATA STATEMENTS'!E$38</f>
        <v>3265.49</v>
      </c>
      <c r="F34" s="3">
        <f>'DATA STATEMENTS'!F$38</f>
        <v>3264</v>
      </c>
      <c r="G34" s="3">
        <f>'DATA STATEMENTS'!G$38</f>
        <v>2991</v>
      </c>
      <c r="H34" s="78"/>
      <c r="J34" s="3">
        <f>CHOOSE($N$5,'LONG TERM SOLVENCY SCHEDULE'!J$30,'LONG TERM SOLVENCY SCHEDULE'!Q$30,'LONG TERM SOLVENCY SCHEDULE'!X$30)</f>
        <v>3076.150563651046</v>
      </c>
      <c r="K34" s="3">
        <f>CHOOSE($N$5,'LONG TERM SOLVENCY SCHEDULE'!K$30,'LONG TERM SOLVENCY SCHEDULE'!R$30,'LONG TERM SOLVENCY SCHEDULE'!Y$30)</f>
        <v>3163.7252725679195</v>
      </c>
      <c r="L34" s="3">
        <f>CHOOSE($N$5,'LONG TERM SOLVENCY SCHEDULE'!L$30,'LONG TERM SOLVENCY SCHEDULE'!S$30,'LONG TERM SOLVENCY SCHEDULE'!Z$30)</f>
        <v>3253.7931395676578</v>
      </c>
      <c r="M34" s="3">
        <f>CHOOSE($N$5,'LONG TERM SOLVENCY SCHEDULE'!M$30,'LONG TERM SOLVENCY SCHEDULE'!T$30,'LONG TERM SOLVENCY SCHEDULE'!AA$30)</f>
        <v>3346.4251421882168</v>
      </c>
      <c r="N34" s="3">
        <f>CHOOSE($N$5,'LONG TERM SOLVENCY SCHEDULE'!N$30,'LONG TERM SOLVENCY SCHEDULE'!U$30,'LONG TERM SOLVENCY SCHEDULE'!AB$30)</f>
        <v>3441.6942786219706</v>
      </c>
      <c r="O34" s="49"/>
      <c r="P34" s="49"/>
      <c r="Q34" s="49"/>
      <c r="R34" s="49"/>
      <c r="S34" s="49"/>
    </row>
    <row r="35" spans="2:21" ht="7.05" customHeight="1" x14ac:dyDescent="0.3">
      <c r="B35" s="56"/>
      <c r="H35" s="78"/>
    </row>
    <row r="36" spans="2:21" x14ac:dyDescent="0.3">
      <c r="B36" s="4" t="s">
        <v>30</v>
      </c>
      <c r="C36" s="4">
        <f t="shared" ref="C36:F36" si="7">SUM(C26:C34)</f>
        <v>63221</v>
      </c>
      <c r="D36" s="4">
        <f t="shared" si="7"/>
        <v>66546.350000000006</v>
      </c>
      <c r="E36" s="4">
        <f t="shared" si="7"/>
        <v>69811.97</v>
      </c>
      <c r="F36" s="4">
        <f t="shared" si="7"/>
        <v>76210</v>
      </c>
      <c r="G36" s="4">
        <f t="shared" ref="G36" si="8">SUM(G26:G34)</f>
        <v>108732</v>
      </c>
      <c r="H36" s="78"/>
      <c r="J36" s="4">
        <f>SUM(J26:J34)</f>
        <v>100324.80989107504</v>
      </c>
      <c r="K36" s="4">
        <f t="shared" ref="K36:N36" si="9">SUM(K26:K34)</f>
        <v>114543.6183743287</v>
      </c>
      <c r="L36" s="4">
        <f t="shared" si="9"/>
        <v>134019.68054268762</v>
      </c>
      <c r="M36" s="4">
        <f t="shared" si="9"/>
        <v>153695.8497287276</v>
      </c>
      <c r="N36" s="4">
        <f t="shared" si="9"/>
        <v>167558.22334510105</v>
      </c>
    </row>
    <row r="37" spans="2:21" x14ac:dyDescent="0.3">
      <c r="H37" s="78"/>
    </row>
    <row r="38" spans="2:21" ht="14.4" customHeight="1" x14ac:dyDescent="0.3">
      <c r="B38" s="183" t="s">
        <v>43</v>
      </c>
      <c r="C38" s="183">
        <f>C36+C22</f>
        <v>86270</v>
      </c>
      <c r="D38" s="183">
        <f>D36+D22</f>
        <v>84028.810000000012</v>
      </c>
      <c r="E38" s="183">
        <f>E36+E22</f>
        <v>90596.11</v>
      </c>
      <c r="F38" s="183">
        <f>F36+F22</f>
        <v>99351</v>
      </c>
      <c r="G38" s="183">
        <f t="shared" ref="G38" si="10">G36+G22</f>
        <v>132271</v>
      </c>
      <c r="H38" s="78"/>
      <c r="J38" s="183">
        <f>J22+J36</f>
        <v>123691.94746768873</v>
      </c>
      <c r="K38" s="183">
        <f t="shared" ref="K38:N38" si="11">K22+K36</f>
        <v>139157.50533480299</v>
      </c>
      <c r="L38" s="183">
        <f t="shared" si="11"/>
        <v>159966.07683773138</v>
      </c>
      <c r="M38" s="183">
        <f t="shared" si="11"/>
        <v>181067.37610510635</v>
      </c>
      <c r="N38" s="183">
        <f t="shared" si="11"/>
        <v>196454.91020932162</v>
      </c>
      <c r="O38" s="50"/>
      <c r="P38" s="50"/>
      <c r="Q38" s="50"/>
      <c r="R38" s="50"/>
      <c r="S38" s="50"/>
    </row>
    <row r="39" spans="2:21" ht="7.05" customHeight="1" x14ac:dyDescent="0.3">
      <c r="H39" s="78"/>
    </row>
    <row r="40" spans="2:21" ht="14.4" customHeight="1" x14ac:dyDescent="0.3">
      <c r="B40" s="1" t="s">
        <v>32</v>
      </c>
      <c r="H40" s="78"/>
      <c r="J40" s="173">
        <f>J$38+J$11</f>
        <v>124517.40613511318</v>
      </c>
      <c r="K40" s="173">
        <f t="shared" ref="K40:N40" si="12">K$38+K$11</f>
        <v>139780.45109834283</v>
      </c>
      <c r="L40" s="173">
        <f t="shared" si="12"/>
        <v>160159.93504561426</v>
      </c>
      <c r="M40" s="173">
        <f t="shared" si="12"/>
        <v>181319.05904125387</v>
      </c>
      <c r="N40" s="173">
        <f t="shared" si="12"/>
        <v>197041.3759036297</v>
      </c>
    </row>
    <row r="41" spans="2:21" ht="7.05" customHeight="1" x14ac:dyDescent="0.3">
      <c r="H41" s="78"/>
    </row>
    <row r="42" spans="2:21" ht="14.4" customHeight="1" x14ac:dyDescent="0.3">
      <c r="B42" s="1" t="s">
        <v>33</v>
      </c>
      <c r="H42" s="78"/>
    </row>
    <row r="43" spans="2:21" ht="7.05" customHeight="1" x14ac:dyDescent="0.3">
      <c r="H43" s="78"/>
    </row>
    <row r="44" spans="2:21" ht="14.4" customHeight="1" x14ac:dyDescent="0.3">
      <c r="B44" s="56" t="s">
        <v>39</v>
      </c>
      <c r="C44" s="3">
        <f>'DATA STATEMENTS'!C$67</f>
        <v>4235</v>
      </c>
      <c r="D44" s="3">
        <f>'DATA STATEMENTS'!D$67</f>
        <v>4899.84</v>
      </c>
      <c r="E44" s="3">
        <f>'DATA STATEMENTS'!E$67</f>
        <v>4544.37</v>
      </c>
      <c r="F44" s="3">
        <f>'DATA STATEMENTS'!F$67</f>
        <v>4990</v>
      </c>
      <c r="G44" s="3">
        <f>'DATA STATEMENTS'!G$67</f>
        <v>7250</v>
      </c>
      <c r="H44" s="78"/>
      <c r="J44" s="190">
        <f>CHOOSE($N$5,'FINANCE COST SCHEDULE'!J$15,'FINANCE COST SCHEDULE'!Q$15,'FINANCE COST SCHEDULE'!X$15)</f>
        <v>2250</v>
      </c>
      <c r="K44" s="190">
        <f>CHOOSE($N$5,'FINANCE COST SCHEDULE'!K$15,'FINANCE COST SCHEDULE'!R$15,'FINANCE COST SCHEDULE'!Y$15)</f>
        <v>3850</v>
      </c>
      <c r="L44" s="190">
        <f>CHOOSE($N$5,'FINANCE COST SCHEDULE'!L$15,'FINANCE COST SCHEDULE'!S$15,'FINANCE COST SCHEDULE'!Z$15)</f>
        <v>7250</v>
      </c>
      <c r="M44" s="190">
        <f>CHOOSE($N$5,'FINANCE COST SCHEDULE'!M$15,'FINANCE COST SCHEDULE'!T$15,'FINANCE COST SCHEDULE'!AA$15)</f>
        <v>10950</v>
      </c>
      <c r="N44" s="190">
        <f>CHOOSE($N$5,'FINANCE COST SCHEDULE'!N$15,'FINANCE COST SCHEDULE'!U$15,'FINANCE COST SCHEDULE'!AB$15)</f>
        <v>8950</v>
      </c>
      <c r="O44" s="50"/>
      <c r="P44" s="50"/>
      <c r="Q44" s="50"/>
      <c r="R44" s="50"/>
      <c r="S44" s="49"/>
      <c r="T44" s="49"/>
      <c r="U44" s="50"/>
    </row>
    <row r="45" spans="2:21" ht="14.4" customHeight="1" x14ac:dyDescent="0.3">
      <c r="B45" s="56" t="s">
        <v>348</v>
      </c>
      <c r="C45" s="3">
        <f>'DATA STATEMENTS'!C$68</f>
        <v>0</v>
      </c>
      <c r="D45" s="3">
        <f>'DATA STATEMENTS'!D$68</f>
        <v>117.76</v>
      </c>
      <c r="E45" s="3">
        <f>'DATA STATEMENTS'!E$68</f>
        <v>146.31</v>
      </c>
      <c r="F45" s="3">
        <f>'DATA STATEMENTS'!F$68</f>
        <v>162</v>
      </c>
      <c r="G45" s="3">
        <f>'DATA STATEMENTS'!G$68</f>
        <v>202</v>
      </c>
      <c r="H45" s="78"/>
      <c r="J45" s="190">
        <f>CHOOSE($N$5,'WORKING CAPITAL SCHEDULE'!J$44,'WORKING CAPITAL SCHEDULE'!Q$44,'WORKING CAPITAL SCHEDULE'!X$44)</f>
        <v>252.5</v>
      </c>
      <c r="K45" s="190">
        <f>CHOOSE($N$5,'WORKING CAPITAL SCHEDULE'!K$44,'WORKING CAPITAL SCHEDULE'!R$44,'WORKING CAPITAL SCHEDULE'!Y$44)</f>
        <v>303</v>
      </c>
      <c r="L45" s="190">
        <f>CHOOSE($N$5,'WORKING CAPITAL SCHEDULE'!L$44,'WORKING CAPITAL SCHEDULE'!S$44,'WORKING CAPITAL SCHEDULE'!Z$44)</f>
        <v>353.5</v>
      </c>
      <c r="M45" s="190">
        <f>CHOOSE($N$5,'WORKING CAPITAL SCHEDULE'!M$44,'WORKING CAPITAL SCHEDULE'!T$44,'WORKING CAPITAL SCHEDULE'!AA$44)</f>
        <v>404</v>
      </c>
      <c r="N45" s="190">
        <f>CHOOSE($N$5,'WORKING CAPITAL SCHEDULE'!N$44,'WORKING CAPITAL SCHEDULE'!U$44,'WORKING CAPITAL SCHEDULE'!AB$44)</f>
        <v>454.5</v>
      </c>
      <c r="O45" s="50"/>
      <c r="P45" s="50"/>
      <c r="Q45" s="50"/>
      <c r="R45" s="50"/>
      <c r="S45" s="49"/>
    </row>
    <row r="46" spans="2:21" ht="14.4" customHeight="1" x14ac:dyDescent="0.3">
      <c r="B46" s="56" t="s">
        <v>34</v>
      </c>
      <c r="C46" s="3">
        <f>'DATA STATEMENTS'!C$69</f>
        <v>4629</v>
      </c>
      <c r="D46" s="3">
        <f>'DATA STATEMENTS'!D$69</f>
        <v>5862</v>
      </c>
      <c r="E46" s="3">
        <f>'DATA STATEMENTS'!E$69</f>
        <v>7208</v>
      </c>
      <c r="F46" s="3">
        <f>'DATA STATEMENTS'!F$69</f>
        <v>8478</v>
      </c>
      <c r="G46" s="3">
        <f>'DATA STATEMENTS'!G$69</f>
        <v>9326</v>
      </c>
      <c r="H46" s="78"/>
      <c r="J46" s="190">
        <f>CHOOSE($N$5,'WORKING CAPITAL SCHEDULE'!J$34,'WORKING CAPITAL SCHEDULE'!Q$34,'WORKING CAPITAL SCHEDULE'!X$34)</f>
        <v>9067.3990824328757</v>
      </c>
      <c r="K46" s="190">
        <f>CHOOSE($N$5,'WORKING CAPITAL SCHEDULE'!K$34,'WORKING CAPITAL SCHEDULE'!R$34,'WORKING CAPITAL SCHEDULE'!Y$34)</f>
        <v>9787.4757504631234</v>
      </c>
      <c r="L46" s="190">
        <f>CHOOSE($N$5,'WORKING CAPITAL SCHEDULE'!L$34,'WORKING CAPITAL SCHEDULE'!S$34,'WORKING CAPITAL SCHEDULE'!Z$34)</f>
        <v>10565.15855193579</v>
      </c>
      <c r="M46" s="190">
        <f>CHOOSE($N$5,'WORKING CAPITAL SCHEDULE'!M$34,'WORKING CAPITAL SCHEDULE'!T$34,'WORKING CAPITAL SCHEDULE'!AA$34)</f>
        <v>11405.055977526272</v>
      </c>
      <c r="N46" s="190">
        <f>CHOOSE($N$5,'WORKING CAPITAL SCHEDULE'!N$34,'WORKING CAPITAL SCHEDULE'!U$34,'WORKING CAPITAL SCHEDULE'!AB$34)</f>
        <v>12312.145197163985</v>
      </c>
      <c r="O46" s="50"/>
      <c r="P46" s="50"/>
      <c r="Q46" s="50"/>
      <c r="R46" s="50"/>
      <c r="S46" s="49"/>
    </row>
    <row r="47" spans="2:21" ht="14.4" customHeight="1" x14ac:dyDescent="0.3">
      <c r="B47" s="56" t="s">
        <v>336</v>
      </c>
      <c r="C47" s="3">
        <f>'DATA STATEMENTS'!C$70</f>
        <v>5578</v>
      </c>
      <c r="D47" s="3">
        <f>'DATA STATEMENTS'!D$70</f>
        <v>3608.55</v>
      </c>
      <c r="E47" s="3">
        <f>'DATA STATEMENTS'!E$70</f>
        <v>4783.5600000000004</v>
      </c>
      <c r="F47" s="3">
        <f>'DATA STATEMENTS'!F$70</f>
        <v>5326</v>
      </c>
      <c r="G47" s="3">
        <f>'DATA STATEMENTS'!G$70</f>
        <v>6552</v>
      </c>
      <c r="H47" s="78"/>
      <c r="J47" s="190">
        <f>CHOOSE($N$5,'WORKING CAPITAL SCHEDULE'!J$36,'WORKING CAPITAL SCHEDULE'!Q$36,'WORKING CAPITAL SCHEDULE'!X$36)</f>
        <v>6795.5</v>
      </c>
      <c r="K47" s="190">
        <f>CHOOSE($N$5,'WORKING CAPITAL SCHEDULE'!K$36,'WORKING CAPITAL SCHEDULE'!R$36,'WORKING CAPITAL SCHEDULE'!Y$36)</f>
        <v>7039</v>
      </c>
      <c r="L47" s="190">
        <f>CHOOSE($N$5,'WORKING CAPITAL SCHEDULE'!L$36,'WORKING CAPITAL SCHEDULE'!S$36,'WORKING CAPITAL SCHEDULE'!Z$36)</f>
        <v>7282.5</v>
      </c>
      <c r="M47" s="190">
        <f>CHOOSE($N$5,'WORKING CAPITAL SCHEDULE'!M$36,'WORKING CAPITAL SCHEDULE'!T$36,'WORKING CAPITAL SCHEDULE'!AA$36)</f>
        <v>7526</v>
      </c>
      <c r="N47" s="190">
        <f>CHOOSE($N$5,'WORKING CAPITAL SCHEDULE'!N$36,'WORKING CAPITAL SCHEDULE'!U$36,'WORKING CAPITAL SCHEDULE'!AB$36)</f>
        <v>7769.5</v>
      </c>
      <c r="O47" s="50"/>
      <c r="P47" s="50"/>
      <c r="Q47" s="50"/>
      <c r="R47" s="50"/>
      <c r="S47" s="50"/>
    </row>
    <row r="48" spans="2:21" ht="14.4" customHeight="1" x14ac:dyDescent="0.3">
      <c r="B48" s="56" t="s">
        <v>332</v>
      </c>
      <c r="C48" s="3">
        <f>'DATA STATEMENTS'!C$71</f>
        <v>521</v>
      </c>
      <c r="D48" s="3">
        <f>'DATA STATEMENTS'!D$71</f>
        <v>247.98</v>
      </c>
      <c r="E48" s="3">
        <f>'DATA STATEMENTS'!E$71</f>
        <v>204.43</v>
      </c>
      <c r="F48" s="3">
        <f>'DATA STATEMENTS'!F$71</f>
        <v>257</v>
      </c>
      <c r="G48" s="3">
        <f>'DATA STATEMENTS'!G$71</f>
        <v>350</v>
      </c>
      <c r="H48" s="78"/>
      <c r="J48" s="190">
        <f>CHOOSE($N$5,'WORKING CAPITAL SCHEDULE'!J$39,'WORKING CAPITAL SCHEDULE'!Q$39,'WORKING CAPITAL SCHEDULE'!X$39)</f>
        <v>342.94505268030576</v>
      </c>
      <c r="K48" s="190">
        <f>CHOOSE($N$5,'WORKING CAPITAL SCHEDULE'!K$39,'WORKING CAPITAL SCHEDULE'!R$39,'WORKING CAPITAL SCHEDULE'!Y$39)</f>
        <v>336.03231187970772</v>
      </c>
      <c r="L48" s="190">
        <f>CHOOSE($N$5,'WORKING CAPITAL SCHEDULE'!L$39,'WORKING CAPITAL SCHEDULE'!S$39,'WORKING CAPITAL SCHEDULE'!Z$39)</f>
        <v>329.25891114248941</v>
      </c>
      <c r="M48" s="190">
        <f>CHOOSE($N$5,'WORKING CAPITAL SCHEDULE'!M$39,'WORKING CAPITAL SCHEDULE'!T$39,'WORKING CAPITAL SCHEDULE'!AA$39)</f>
        <v>322.62204179206043</v>
      </c>
      <c r="N48" s="190">
        <f>CHOOSE($N$5,'WORKING CAPITAL SCHEDULE'!N$39,'WORKING CAPITAL SCHEDULE'!U$39,'WORKING CAPITAL SCHEDULE'!AB$39)</f>
        <v>316.11895176630276</v>
      </c>
      <c r="O48" s="50"/>
      <c r="P48" s="50"/>
      <c r="Q48" s="50"/>
      <c r="R48" s="50"/>
      <c r="S48" s="50"/>
    </row>
    <row r="49" spans="2:19" ht="14.4" customHeight="1" x14ac:dyDescent="0.3">
      <c r="B49" s="56" t="s">
        <v>337</v>
      </c>
      <c r="C49" s="3">
        <f>'DATA STATEMENTS'!C$72</f>
        <v>711</v>
      </c>
      <c r="D49" s="3">
        <f>'DATA STATEMENTS'!D$72</f>
        <v>527.29</v>
      </c>
      <c r="E49" s="3">
        <f>'DATA STATEMENTS'!E$72</f>
        <v>1366.42</v>
      </c>
      <c r="F49" s="3">
        <f>'DATA STATEMENTS'!F$72</f>
        <v>1983</v>
      </c>
      <c r="G49" s="3">
        <f>'DATA STATEMENTS'!G$72</f>
        <v>1989</v>
      </c>
      <c r="H49" s="78"/>
      <c r="J49" s="190">
        <f>CHOOSE($N$5,'TAX SCHEDULE'!J$29,'TAX SCHEDULE'!Q$29,'TAX SCHEDULE'!X$29)</f>
        <v>2308.5</v>
      </c>
      <c r="K49" s="190">
        <f>CHOOSE($N$5,'TAX SCHEDULE'!K$29,'TAX SCHEDULE'!R$29,'TAX SCHEDULE'!Y$29)</f>
        <v>2628</v>
      </c>
      <c r="L49" s="190">
        <f>CHOOSE($N$5,'TAX SCHEDULE'!L$29,'TAX SCHEDULE'!S$29,'TAX SCHEDULE'!Z$29)</f>
        <v>2947.5</v>
      </c>
      <c r="M49" s="190">
        <f>CHOOSE($N$5,'TAX SCHEDULE'!M$29,'TAX SCHEDULE'!T$29,'TAX SCHEDULE'!AA$29)</f>
        <v>3267</v>
      </c>
      <c r="N49" s="190">
        <f>CHOOSE($N$5,'TAX SCHEDULE'!N$29,'TAX SCHEDULE'!U$29,'TAX SCHEDULE'!AB$29)</f>
        <v>3586.5</v>
      </c>
      <c r="O49" s="50"/>
      <c r="P49" s="49"/>
      <c r="Q49" s="49"/>
      <c r="R49" s="49"/>
      <c r="S49" s="49"/>
    </row>
    <row r="50" spans="2:19" ht="14.4" customHeight="1" x14ac:dyDescent="0.3">
      <c r="B50" s="56" t="s">
        <v>338</v>
      </c>
      <c r="C50" s="3">
        <f>'DATA STATEMENTS'!C$73</f>
        <v>4600</v>
      </c>
      <c r="D50" s="3">
        <f>'DATA STATEMENTS'!D$73</f>
        <v>4890.9399999999996</v>
      </c>
      <c r="E50" s="3">
        <f>'DATA STATEMENTS'!E$73</f>
        <v>5177.3999999999996</v>
      </c>
      <c r="F50" s="3">
        <f>'DATA STATEMENTS'!F$73</f>
        <v>5706</v>
      </c>
      <c r="G50" s="3">
        <f>'DATA STATEMENTS'!G$73</f>
        <v>6692</v>
      </c>
      <c r="H50" s="78"/>
      <c r="J50" s="190">
        <f>CHOOSE($N$5,'WORKING CAPITAL SCHEDULE'!J$49,'WORKING CAPITAL SCHEDULE'!Q$49,'WORKING CAPITAL SCHEDULE'!X$49)</f>
        <v>7215</v>
      </c>
      <c r="K50" s="190">
        <f>CHOOSE($N$5,'WORKING CAPITAL SCHEDULE'!K$49,'WORKING CAPITAL SCHEDULE'!R$49,'WORKING CAPITAL SCHEDULE'!Y$49)</f>
        <v>7738</v>
      </c>
      <c r="L50" s="190">
        <f>CHOOSE($N$5,'WORKING CAPITAL SCHEDULE'!L$49,'WORKING CAPITAL SCHEDULE'!S$49,'WORKING CAPITAL SCHEDULE'!Z$49)</f>
        <v>8261</v>
      </c>
      <c r="M50" s="190">
        <f>CHOOSE($N$5,'WORKING CAPITAL SCHEDULE'!M$49,'WORKING CAPITAL SCHEDULE'!T$49,'WORKING CAPITAL SCHEDULE'!AA$49)</f>
        <v>8784</v>
      </c>
      <c r="N50" s="190">
        <f>CHOOSE($N$5,'WORKING CAPITAL SCHEDULE'!N$49,'WORKING CAPITAL SCHEDULE'!U$49,'WORKING CAPITAL SCHEDULE'!AB$49)</f>
        <v>9307</v>
      </c>
      <c r="O50" s="50"/>
      <c r="P50" s="49"/>
      <c r="Q50" s="49"/>
      <c r="R50" s="49"/>
      <c r="S50" s="49"/>
    </row>
    <row r="51" spans="2:19" ht="7.05" customHeight="1" x14ac:dyDescent="0.3">
      <c r="H51" s="78"/>
      <c r="J51" s="190"/>
      <c r="K51" s="190"/>
      <c r="L51" s="190"/>
      <c r="M51" s="190"/>
      <c r="N51" s="190"/>
    </row>
    <row r="52" spans="2:19" ht="14.4" customHeight="1" x14ac:dyDescent="0.3">
      <c r="B52" s="4" t="s">
        <v>35</v>
      </c>
      <c r="C52" s="4">
        <f t="shared" ref="C52:F52" si="13">SUM(C44:C50)</f>
        <v>20274</v>
      </c>
      <c r="D52" s="4">
        <f t="shared" si="13"/>
        <v>20154.36</v>
      </c>
      <c r="E52" s="4">
        <f t="shared" si="13"/>
        <v>23430.490000000005</v>
      </c>
      <c r="F52" s="4">
        <f t="shared" si="13"/>
        <v>26902</v>
      </c>
      <c r="G52" s="4">
        <f t="shared" ref="G52" si="14">SUM(G44:G50)</f>
        <v>32361</v>
      </c>
      <c r="H52" s="78"/>
      <c r="J52" s="4">
        <f>SUM(J44:J50)</f>
        <v>28231.844135113181</v>
      </c>
      <c r="K52" s="4">
        <f t="shared" ref="K52:N52" si="15">SUM(K44:K50)</f>
        <v>31681.508062342829</v>
      </c>
      <c r="L52" s="4">
        <f t="shared" si="15"/>
        <v>36988.91746307828</v>
      </c>
      <c r="M52" s="4">
        <f t="shared" si="15"/>
        <v>42658.678019318337</v>
      </c>
      <c r="N52" s="4">
        <f t="shared" si="15"/>
        <v>42695.764148930291</v>
      </c>
    </row>
    <row r="53" spans="2:19" ht="7.05" customHeight="1" x14ac:dyDescent="0.3">
      <c r="H53" s="78"/>
    </row>
    <row r="54" spans="2:19" ht="14.4" customHeight="1" x14ac:dyDescent="0.3">
      <c r="B54" s="1" t="s">
        <v>36</v>
      </c>
      <c r="C54" s="1"/>
      <c r="D54" s="1"/>
      <c r="E54" s="1"/>
      <c r="F54" s="1"/>
      <c r="G54" s="1"/>
      <c r="H54" s="78"/>
    </row>
    <row r="55" spans="2:19" ht="7.05" customHeight="1" x14ac:dyDescent="0.3">
      <c r="H55" s="78"/>
    </row>
    <row r="56" spans="2:19" ht="14.4" customHeight="1" x14ac:dyDescent="0.3">
      <c r="B56" s="56" t="s">
        <v>37</v>
      </c>
      <c r="C56" s="3">
        <f>'DATA STATEMENTS'!C$59</f>
        <v>13548</v>
      </c>
      <c r="D56" s="3">
        <f>'DATA STATEMENTS'!D$59</f>
        <v>5303</v>
      </c>
      <c r="E56" s="3">
        <f>'DATA STATEMENTS'!E$59</f>
        <v>5356.41</v>
      </c>
      <c r="F56" s="3">
        <f>'DATA STATEMENTS'!F$59</f>
        <v>5307</v>
      </c>
      <c r="G56" s="3">
        <f>'DATA STATEMENTS'!G$59</f>
        <v>15780</v>
      </c>
      <c r="H56" s="78"/>
      <c r="J56" s="190">
        <f>CHOOSE($N$5,'FINANCE COST SCHEDULE'!J$29,'FINANCE COST SCHEDULE'!Q$29,'FINANCE COST SCHEDULE'!X$29)</f>
        <v>7780</v>
      </c>
      <c r="K56" s="190">
        <f>CHOOSE($N$5,'FINANCE COST SCHEDULE'!K$29,'FINANCE COST SCHEDULE'!R$29,'FINANCE COST SCHEDULE'!Y$29)</f>
        <v>9280</v>
      </c>
      <c r="L56" s="190">
        <f>CHOOSE($N$5,'FINANCE COST SCHEDULE'!L$29,'FINANCE COST SCHEDULE'!S$29,'FINANCE COST SCHEDULE'!Z$29)</f>
        <v>12780</v>
      </c>
      <c r="M56" s="190">
        <f>CHOOSE($N$5,'FINANCE COST SCHEDULE'!M$29,'FINANCE COST SCHEDULE'!T$29,'FINANCE COST SCHEDULE'!AA$29)</f>
        <v>15280</v>
      </c>
      <c r="N56" s="190">
        <f>CHOOSE($N$5,'FINANCE COST SCHEDULE'!N$29,'FINANCE COST SCHEDULE'!U$29,'FINANCE COST SCHEDULE'!AB$29)</f>
        <v>16380</v>
      </c>
      <c r="O56" s="50"/>
      <c r="P56" s="50"/>
      <c r="Q56" s="50"/>
      <c r="R56" s="50"/>
      <c r="S56" s="50"/>
    </row>
    <row r="57" spans="2:19" ht="14.4" customHeight="1" x14ac:dyDescent="0.3">
      <c r="B57" s="56" t="s">
        <v>2483</v>
      </c>
      <c r="C57" s="3">
        <f>'DATA STATEMENTS'!C$60</f>
        <v>0</v>
      </c>
      <c r="D57" s="3">
        <f>'DATA STATEMENTS'!D$60</f>
        <v>978.2</v>
      </c>
      <c r="E57" s="3">
        <f>'DATA STATEMENTS'!E$60</f>
        <v>1010.65</v>
      </c>
      <c r="F57" s="3">
        <f>'DATA STATEMENTS'!F$60</f>
        <v>942</v>
      </c>
      <c r="G57" s="3">
        <f>'DATA STATEMENTS'!G$60</f>
        <v>868</v>
      </c>
      <c r="H57" s="78"/>
      <c r="J57" s="190">
        <f>CHOOSE($N$5,'LONG TERM SOLVENCY SCHEDULE'!J$39,'LONG TERM SOLVENCY SCHEDULE'!Q$39,'LONG TERM SOLVENCY SCHEDULE'!X$39)</f>
        <v>1085</v>
      </c>
      <c r="K57" s="190">
        <f>CHOOSE($N$5,'LONG TERM SOLVENCY SCHEDULE'!K$39,'LONG TERM SOLVENCY SCHEDULE'!R$39,'LONG TERM SOLVENCY SCHEDULE'!Y$39)</f>
        <v>1302</v>
      </c>
      <c r="L57" s="190">
        <f>CHOOSE($N$5,'LONG TERM SOLVENCY SCHEDULE'!L$39,'LONG TERM SOLVENCY SCHEDULE'!S$39,'LONG TERM SOLVENCY SCHEDULE'!Z$39)</f>
        <v>1519</v>
      </c>
      <c r="M57" s="190">
        <f>CHOOSE($N$5,'LONG TERM SOLVENCY SCHEDULE'!M$39,'LONG TERM SOLVENCY SCHEDULE'!T$39,'LONG TERM SOLVENCY SCHEDULE'!AA$39)</f>
        <v>1736</v>
      </c>
      <c r="N57" s="190">
        <f>CHOOSE($N$5,'LONG TERM SOLVENCY SCHEDULE'!N$39,'LONG TERM SOLVENCY SCHEDULE'!U$39,'LONG TERM SOLVENCY SCHEDULE'!AB$39)</f>
        <v>1953</v>
      </c>
      <c r="O57" s="50"/>
      <c r="P57" s="50"/>
      <c r="Q57" s="50"/>
      <c r="R57" s="50"/>
      <c r="S57" s="50"/>
    </row>
    <row r="58" spans="2:19" ht="14.4" customHeight="1" x14ac:dyDescent="0.3">
      <c r="B58" s="56" t="s">
        <v>336</v>
      </c>
      <c r="C58" s="3">
        <f>'DATA STATEMENTS'!C$61</f>
        <v>1451</v>
      </c>
      <c r="D58" s="3">
        <f>'DATA STATEMENTS'!D$61</f>
        <v>303.48</v>
      </c>
      <c r="E58" s="3">
        <f>'DATA STATEMENTS'!E$61</f>
        <v>319.83999999999997</v>
      </c>
      <c r="F58" s="3">
        <f>'DATA STATEMENTS'!F$61</f>
        <v>240</v>
      </c>
      <c r="G58" s="3">
        <f>'DATA STATEMENTS'!G$61</f>
        <v>287</v>
      </c>
      <c r="H58" s="78"/>
      <c r="J58" s="190">
        <f>CHOOSE($N$5,'LONG TERM SOLVENCY SCHEDULE'!J$42,'LONG TERM SOLVENCY SCHEDULE'!Q$42,'LONG TERM SOLVENCY SCHEDULE'!X$42)</f>
        <v>520.26400000000001</v>
      </c>
      <c r="K58" s="190">
        <f>CHOOSE($N$5,'LONG TERM SOLVENCY SCHEDULE'!K$42,'LONG TERM SOLVENCY SCHEDULE'!R$42,'LONG TERM SOLVENCY SCHEDULE'!Y$42)</f>
        <v>520.26400000000001</v>
      </c>
      <c r="L58" s="190">
        <f>CHOOSE($N$5,'LONG TERM SOLVENCY SCHEDULE'!L$42,'LONG TERM SOLVENCY SCHEDULE'!S$42,'LONG TERM SOLVENCY SCHEDULE'!Z$42)</f>
        <v>520.26400000000001</v>
      </c>
      <c r="M58" s="190">
        <f>CHOOSE($N$5,'LONG TERM SOLVENCY SCHEDULE'!M$42,'LONG TERM SOLVENCY SCHEDULE'!T$42,'LONG TERM SOLVENCY SCHEDULE'!AA$42)</f>
        <v>520.26400000000001</v>
      </c>
      <c r="N58" s="190">
        <f>CHOOSE($N$5,'LONG TERM SOLVENCY SCHEDULE'!N$42,'LONG TERM SOLVENCY SCHEDULE'!U$42,'LONG TERM SOLVENCY SCHEDULE'!AB$42)</f>
        <v>520.26400000000001</v>
      </c>
      <c r="O58" s="50"/>
      <c r="P58" s="50"/>
      <c r="Q58" s="50"/>
      <c r="R58" s="50"/>
      <c r="S58" s="50"/>
    </row>
    <row r="59" spans="2:19" ht="14.4" customHeight="1" x14ac:dyDescent="0.3">
      <c r="B59" s="56" t="s">
        <v>347</v>
      </c>
      <c r="C59" s="3">
        <f>'DATA STATEMENTS'!C$62</f>
        <v>365</v>
      </c>
      <c r="D59" s="3">
        <f>'DATA STATEMENTS'!D$62</f>
        <v>617.84</v>
      </c>
      <c r="E59" s="3">
        <f>'DATA STATEMENTS'!E$62</f>
        <v>624.21</v>
      </c>
      <c r="F59" s="3">
        <f>'DATA STATEMENTS'!F$62</f>
        <v>670</v>
      </c>
      <c r="G59" s="3">
        <f>'DATA STATEMENTS'!G$62</f>
        <v>892</v>
      </c>
      <c r="H59" s="78"/>
      <c r="J59" s="190">
        <f>CHOOSE($N$5,'LONG TERM SOLVENCY SCHEDULE'!J$45,'LONG TERM SOLVENCY SCHEDULE'!Q$45,'LONG TERM SOLVENCY SCHEDULE'!X$45)</f>
        <v>1023.75</v>
      </c>
      <c r="K59" s="190">
        <f>CHOOSE($N$5,'LONG TERM SOLVENCY SCHEDULE'!K$45,'LONG TERM SOLVENCY SCHEDULE'!R$45,'LONG TERM SOLVENCY SCHEDULE'!Y$45)</f>
        <v>1155.5</v>
      </c>
      <c r="L59" s="190">
        <f>CHOOSE($N$5,'LONG TERM SOLVENCY SCHEDULE'!L$45,'LONG TERM SOLVENCY SCHEDULE'!S$45,'LONG TERM SOLVENCY SCHEDULE'!Z$45)</f>
        <v>1287.25</v>
      </c>
      <c r="M59" s="190">
        <f>CHOOSE($N$5,'LONG TERM SOLVENCY SCHEDULE'!M$45,'LONG TERM SOLVENCY SCHEDULE'!T$45,'LONG TERM SOLVENCY SCHEDULE'!AA$45)</f>
        <v>1419</v>
      </c>
      <c r="N59" s="190">
        <f>CHOOSE($N$5,'LONG TERM SOLVENCY SCHEDULE'!N$45,'LONG TERM SOLVENCY SCHEDULE'!U$45,'LONG TERM SOLVENCY SCHEDULE'!AB$45)</f>
        <v>1550.75</v>
      </c>
      <c r="O59" s="50"/>
      <c r="P59" s="49"/>
      <c r="Q59" s="49"/>
      <c r="R59" s="49"/>
      <c r="S59" s="49"/>
    </row>
    <row r="60" spans="2:19" ht="14.4" customHeight="1" x14ac:dyDescent="0.3">
      <c r="B60" s="56" t="s">
        <v>333</v>
      </c>
      <c r="C60" s="3">
        <f>'DATA STATEMENTS'!C$63</f>
        <v>6040</v>
      </c>
      <c r="D60" s="3">
        <f>'DATA STATEMENTS'!D$63</f>
        <v>6584.68</v>
      </c>
      <c r="E60" s="3">
        <f>'DATA STATEMENTS'!E$63</f>
        <v>6684.9</v>
      </c>
      <c r="F60" s="3">
        <f>'DATA STATEMENTS'!F$63</f>
        <v>6447</v>
      </c>
      <c r="G60" s="3">
        <f>'DATA STATEMENTS'!G$63</f>
        <v>9579</v>
      </c>
      <c r="H60" s="78"/>
      <c r="J60" s="190">
        <f>CHOOSE($N$5,'TAX SCHEDULE'!J$25,'TAX SCHEDULE'!Q$25,'TAX SCHEDULE'!X$25)</f>
        <v>6290.2</v>
      </c>
      <c r="K60" s="190">
        <f>CHOOSE($N$5,'TAX SCHEDULE'!K$25,'TAX SCHEDULE'!R$25,'TAX SCHEDULE'!Y$25)</f>
        <v>6265.2</v>
      </c>
      <c r="L60" s="190">
        <f>CHOOSE($N$5,'TAX SCHEDULE'!L$25,'TAX SCHEDULE'!S$25,'TAX SCHEDULE'!Z$25)</f>
        <v>6240.2</v>
      </c>
      <c r="M60" s="190">
        <f>CHOOSE($N$5,'TAX SCHEDULE'!M$25,'TAX SCHEDULE'!T$25,'TAX SCHEDULE'!AA$25)</f>
        <v>6215.2</v>
      </c>
      <c r="N60" s="190">
        <f>CHOOSE($N$5,'TAX SCHEDULE'!N$25,'TAX SCHEDULE'!U$25,'TAX SCHEDULE'!AB$25)</f>
        <v>6190.2</v>
      </c>
      <c r="O60" s="50"/>
      <c r="P60" s="49"/>
      <c r="Q60" s="49"/>
      <c r="R60" s="49"/>
      <c r="S60" s="49"/>
    </row>
    <row r="61" spans="2:19" ht="14.4" customHeight="1" x14ac:dyDescent="0.3">
      <c r="B61" s="56" t="s">
        <v>2484</v>
      </c>
      <c r="C61" s="3">
        <f>'DATA STATEMENTS'!C$64</f>
        <v>5</v>
      </c>
      <c r="D61" s="3">
        <f>'DATA STATEMENTS'!D$64</f>
        <v>6.03</v>
      </c>
      <c r="E61" s="3">
        <f>'DATA STATEMENTS'!E$64</f>
        <v>3.78</v>
      </c>
      <c r="F61" s="3">
        <f>'DATA STATEMENTS'!F$64</f>
        <v>3</v>
      </c>
      <c r="G61" s="3">
        <f>'DATA STATEMENTS'!G$64</f>
        <v>30</v>
      </c>
      <c r="H61" s="78"/>
      <c r="J61" s="190">
        <f>CHOOSE($N$5,'LONG TERM SOLVENCY SCHEDULE'!J$50,'LONG TERM SOLVENCY SCHEDULE'!Q$50,'LONG TERM SOLVENCY SCHEDULE'!X$50)</f>
        <v>9.5620000000000012</v>
      </c>
      <c r="K61" s="190">
        <f>CHOOSE($N$5,'LONG TERM SOLVENCY SCHEDULE'!K$50,'LONG TERM SOLVENCY SCHEDULE'!R$50,'LONG TERM SOLVENCY SCHEDULE'!Y$50)</f>
        <v>9.5620000000000012</v>
      </c>
      <c r="L61" s="190">
        <f>CHOOSE($N$5,'LONG TERM SOLVENCY SCHEDULE'!L$50,'LONG TERM SOLVENCY SCHEDULE'!S$50,'LONG TERM SOLVENCY SCHEDULE'!Z$50)</f>
        <v>9.5620000000000012</v>
      </c>
      <c r="M61" s="190">
        <f>CHOOSE($N$5,'LONG TERM SOLVENCY SCHEDULE'!M$50,'LONG TERM SOLVENCY SCHEDULE'!T$50,'LONG TERM SOLVENCY SCHEDULE'!AA$50)</f>
        <v>9.5620000000000012</v>
      </c>
      <c r="N61" s="190">
        <f>CHOOSE($N$5,'LONG TERM SOLVENCY SCHEDULE'!N$50,'LONG TERM SOLVENCY SCHEDULE'!U$50,'LONG TERM SOLVENCY SCHEDULE'!AB$50)</f>
        <v>9.5620000000000012</v>
      </c>
      <c r="O61" s="50"/>
      <c r="P61" s="49"/>
      <c r="Q61" s="49"/>
      <c r="R61" s="49"/>
      <c r="S61" s="49"/>
    </row>
    <row r="62" spans="2:19" ht="7.05" customHeight="1" x14ac:dyDescent="0.3">
      <c r="H62" s="78"/>
    </row>
    <row r="63" spans="2:19" ht="14.4" customHeight="1" x14ac:dyDescent="0.3">
      <c r="B63" s="4" t="s">
        <v>40</v>
      </c>
      <c r="C63" s="4">
        <f>SUM(C56:C61)</f>
        <v>21409</v>
      </c>
      <c r="D63" s="4">
        <f>SUM(D56:D61)</f>
        <v>13793.230000000001</v>
      </c>
      <c r="E63" s="4">
        <f>SUM(E56:E61)</f>
        <v>13999.789999999999</v>
      </c>
      <c r="F63" s="4">
        <f>SUM(F56:F61)</f>
        <v>13609</v>
      </c>
      <c r="G63" s="4">
        <f t="shared" ref="G63" si="16">SUM(G56:G61)</f>
        <v>27436</v>
      </c>
      <c r="H63" s="78"/>
      <c r="I63" s="49"/>
      <c r="J63" s="4">
        <f>SUM(J56:J61)</f>
        <v>16708.776000000002</v>
      </c>
      <c r="K63" s="4">
        <f t="shared" ref="K63:N63" si="17">SUM(K56:K61)</f>
        <v>18532.526000000002</v>
      </c>
      <c r="L63" s="4">
        <f t="shared" si="17"/>
        <v>22356.276000000002</v>
      </c>
      <c r="M63" s="4">
        <f t="shared" si="17"/>
        <v>25180.026000000002</v>
      </c>
      <c r="N63" s="4">
        <f t="shared" si="17"/>
        <v>26603.776000000002</v>
      </c>
      <c r="O63" s="49"/>
      <c r="P63" s="49"/>
      <c r="Q63" s="49"/>
      <c r="R63" s="49"/>
      <c r="S63" s="49"/>
    </row>
    <row r="64" spans="2:19" ht="14.4" customHeight="1" x14ac:dyDescent="0.3">
      <c r="H64" s="78"/>
    </row>
    <row r="65" spans="2:19" ht="14.4" customHeight="1" x14ac:dyDescent="0.3">
      <c r="B65" s="183" t="s">
        <v>44</v>
      </c>
      <c r="C65" s="183">
        <f t="shared" ref="C65:F65" si="18">SUM(C63,C52)</f>
        <v>41683</v>
      </c>
      <c r="D65" s="183">
        <f t="shared" si="18"/>
        <v>33947.590000000004</v>
      </c>
      <c r="E65" s="183">
        <f t="shared" si="18"/>
        <v>37430.280000000006</v>
      </c>
      <c r="F65" s="183">
        <f t="shared" si="18"/>
        <v>40511</v>
      </c>
      <c r="G65" s="183">
        <f t="shared" ref="G65" si="19">SUM(G63,G52)</f>
        <v>59797</v>
      </c>
      <c r="H65" s="78"/>
      <c r="J65" s="183">
        <f>J63+J52</f>
        <v>44940.620135113182</v>
      </c>
      <c r="K65" s="183">
        <f t="shared" ref="K65:N65" si="20">K63+K52</f>
        <v>50214.034062342835</v>
      </c>
      <c r="L65" s="183">
        <f t="shared" si="20"/>
        <v>59345.193463078278</v>
      </c>
      <c r="M65" s="183">
        <f t="shared" si="20"/>
        <v>67838.704019318335</v>
      </c>
      <c r="N65" s="183">
        <f t="shared" si="20"/>
        <v>69299.540148930289</v>
      </c>
      <c r="O65" s="49"/>
      <c r="P65" s="49"/>
      <c r="Q65" s="49"/>
      <c r="R65" s="49"/>
      <c r="S65" s="49"/>
    </row>
    <row r="66" spans="2:19" ht="7.05" customHeight="1" x14ac:dyDescent="0.3">
      <c r="H66" s="78"/>
    </row>
    <row r="67" spans="2:19" ht="14.4" customHeight="1" x14ac:dyDescent="0.3">
      <c r="B67" s="1" t="s">
        <v>41</v>
      </c>
      <c r="H67" s="78"/>
      <c r="O67" s="49"/>
      <c r="P67" s="49"/>
      <c r="Q67" s="49"/>
      <c r="R67" s="49"/>
      <c r="S67" s="49"/>
    </row>
    <row r="68" spans="2:19" ht="7.05" customHeight="1" x14ac:dyDescent="0.3">
      <c r="H68" s="78"/>
    </row>
    <row r="69" spans="2:19" ht="14.4" customHeight="1" x14ac:dyDescent="0.3">
      <c r="B69" s="56" t="s">
        <v>328</v>
      </c>
      <c r="C69" s="3">
        <f>'DATA STATEMENTS'!C$54</f>
        <v>288</v>
      </c>
      <c r="D69" s="3">
        <f>'DATA STATEMENTS'!D$54</f>
        <v>288.67</v>
      </c>
      <c r="E69" s="3">
        <f>'DATA STATEMENTS'!E$54</f>
        <v>288.69</v>
      </c>
      <c r="F69" s="3">
        <f>'DATA STATEMENTS'!F$54</f>
        <v>288</v>
      </c>
      <c r="G69" s="3">
        <f>'DATA STATEMENTS'!G$54</f>
        <v>294</v>
      </c>
      <c r="H69" s="78"/>
      <c r="J69" s="3">
        <f>CHOOSE($N$5,'EQUITY SCHEDULE'!C$25,'EQUITY SCHEDULE'!C$33,'EQUITY SCHEDULE'!C$41)</f>
        <v>294</v>
      </c>
      <c r="K69" s="3">
        <f>CHOOSE($N$5,'EQUITY SCHEDULE'!D$25,'EQUITY SCHEDULE'!D$33,'EQUITY SCHEDULE'!D$41)</f>
        <v>294</v>
      </c>
      <c r="L69" s="3">
        <f>CHOOSE($N$5,'EQUITY SCHEDULE'!E$25,'EQUITY SCHEDULE'!E$33,'EQUITY SCHEDULE'!E$41)</f>
        <v>294</v>
      </c>
      <c r="M69" s="3">
        <f>CHOOSE($N$5,'EQUITY SCHEDULE'!F$25,'EQUITY SCHEDULE'!F$33,'EQUITY SCHEDULE'!F$41)</f>
        <v>294</v>
      </c>
      <c r="N69" s="3">
        <f>CHOOSE($N$5,'EQUITY SCHEDULE'!G$25,'EQUITY SCHEDULE'!G$33,'EQUITY SCHEDULE'!G$41)</f>
        <v>294</v>
      </c>
      <c r="O69" s="49"/>
      <c r="P69" s="49"/>
      <c r="Q69" s="49"/>
      <c r="R69" s="49"/>
      <c r="S69" s="49"/>
    </row>
    <row r="70" spans="2:19" ht="14.4" customHeight="1" x14ac:dyDescent="0.3">
      <c r="B70" s="56" t="s">
        <v>329</v>
      </c>
      <c r="C70" s="3">
        <f>'DATA STATEMENTS'!C$55</f>
        <v>43886</v>
      </c>
      <c r="D70" s="3">
        <f>'DATA STATEMENTS'!D$55</f>
        <v>50146.6</v>
      </c>
      <c r="E70" s="3">
        <f>'DATA STATEMENTS'!E$55</f>
        <v>54035.85</v>
      </c>
      <c r="F70" s="3">
        <f>'DATA STATEMENTS'!F$55</f>
        <v>59938</v>
      </c>
      <c r="G70" s="3">
        <f>'DATA STATEMENTS'!G$55</f>
        <v>70411</v>
      </c>
      <c r="H70" s="78"/>
      <c r="J70" s="3">
        <f>CHOOSE($N$5,'EQUITY SCHEDULE'!K$25,'EQUITY SCHEDULE'!K$33,'EQUITY SCHEDULE'!K$41)</f>
        <v>79282.785999999993</v>
      </c>
      <c r="K70" s="3">
        <f>CHOOSE($N$5,'EQUITY SCHEDULE'!L$25,'EQUITY SCHEDULE'!L$33,'EQUITY SCHEDULE'!L$41)</f>
        <v>89272.417035999999</v>
      </c>
      <c r="L70" s="3">
        <f>CHOOSE($N$5,'EQUITY SCHEDULE'!M$25,'EQUITY SCHEDULE'!M$33,'EQUITY SCHEDULE'!M$41)</f>
        <v>100520.74158253599</v>
      </c>
      <c r="M70" s="3">
        <f>CHOOSE($N$5,'EQUITY SCHEDULE'!N$25,'EQUITY SCHEDULE'!N$33,'EQUITY SCHEDULE'!N$41)</f>
        <v>113186.35502193552</v>
      </c>
      <c r="N70" s="3">
        <f>CHOOSE($N$5,'EQUITY SCHEDULE'!O$25,'EQUITY SCHEDULE'!O$33,'EQUITY SCHEDULE'!O$41)</f>
        <v>127447.83575469939</v>
      </c>
      <c r="O70" s="49"/>
      <c r="P70" s="49"/>
      <c r="Q70" s="49"/>
      <c r="R70" s="49"/>
      <c r="S70" s="49"/>
    </row>
    <row r="71" spans="2:19" ht="7.05" customHeight="1" x14ac:dyDescent="0.3">
      <c r="H71" s="78"/>
    </row>
    <row r="72" spans="2:19" ht="14.4" customHeight="1" x14ac:dyDescent="0.3">
      <c r="B72" s="183" t="s">
        <v>42</v>
      </c>
      <c r="C72" s="183">
        <f t="shared" ref="C72:F72" si="21">SUM(C69:C70)</f>
        <v>44174</v>
      </c>
      <c r="D72" s="183">
        <f t="shared" si="21"/>
        <v>50435.27</v>
      </c>
      <c r="E72" s="183">
        <f t="shared" si="21"/>
        <v>54324.54</v>
      </c>
      <c r="F72" s="183">
        <f t="shared" si="21"/>
        <v>60226</v>
      </c>
      <c r="G72" s="183">
        <f t="shared" ref="G72" si="22">SUM(G69:G70)</f>
        <v>70705</v>
      </c>
      <c r="H72" s="78"/>
      <c r="J72" s="183">
        <f t="shared" ref="J72:N72" si="23">SUM(J69:J70)</f>
        <v>79576.785999999993</v>
      </c>
      <c r="K72" s="183">
        <f t="shared" si="23"/>
        <v>89566.417035999999</v>
      </c>
      <c r="L72" s="183">
        <f t="shared" si="23"/>
        <v>100814.74158253599</v>
      </c>
      <c r="M72" s="183">
        <f t="shared" si="23"/>
        <v>113480.35502193552</v>
      </c>
      <c r="N72" s="183">
        <f t="shared" si="23"/>
        <v>127741.83575469939</v>
      </c>
      <c r="O72" s="49"/>
      <c r="P72" s="49"/>
      <c r="Q72" s="49"/>
      <c r="R72" s="49"/>
      <c r="S72" s="49"/>
    </row>
    <row r="73" spans="2:19" ht="14.4" customHeight="1" x14ac:dyDescent="0.3">
      <c r="H73" s="78"/>
    </row>
    <row r="74" spans="2:19" ht="14.4" customHeight="1" x14ac:dyDescent="0.3">
      <c r="B74" s="183" t="s">
        <v>45</v>
      </c>
      <c r="C74" s="183">
        <f t="shared" ref="C74:F74" si="24">C72+C65</f>
        <v>85857</v>
      </c>
      <c r="D74" s="183">
        <f t="shared" si="24"/>
        <v>84382.86</v>
      </c>
      <c r="E74" s="183">
        <f t="shared" si="24"/>
        <v>91754.82</v>
      </c>
      <c r="F74" s="183">
        <f t="shared" si="24"/>
        <v>100737</v>
      </c>
      <c r="G74" s="183">
        <f t="shared" ref="G74" si="25">G72+G65</f>
        <v>130502</v>
      </c>
      <c r="H74" s="78"/>
      <c r="J74" s="183">
        <f>J65+J72</f>
        <v>124517.40613511318</v>
      </c>
      <c r="K74" s="183">
        <f t="shared" ref="K74:N74" si="26">K65+K72</f>
        <v>139780.45109834283</v>
      </c>
      <c r="L74" s="183">
        <f t="shared" si="26"/>
        <v>160159.93504561426</v>
      </c>
      <c r="M74" s="183">
        <f t="shared" si="26"/>
        <v>181319.05904125387</v>
      </c>
      <c r="N74" s="183">
        <f t="shared" si="26"/>
        <v>197041.3759036297</v>
      </c>
    </row>
    <row r="75" spans="2:19" ht="14.4" customHeight="1" x14ac:dyDescent="0.3"/>
    <row r="76" spans="2:19" ht="14.4" customHeight="1" x14ac:dyDescent="0.3">
      <c r="B76" s="112" t="s">
        <v>46</v>
      </c>
      <c r="C76" s="113" t="str">
        <f>IF(C74=C38,0,"FALSE")</f>
        <v>FALSE</v>
      </c>
      <c r="D76" s="113" t="str">
        <f>IF(C74=C38,0,"FALSE")</f>
        <v>FALSE</v>
      </c>
      <c r="E76" s="113" t="str">
        <f>IF(D74=D38,0,"FALSE")</f>
        <v>FALSE</v>
      </c>
      <c r="F76" s="113" t="str">
        <f>IF(E74=E38,0,"FALSE")</f>
        <v>FALSE</v>
      </c>
      <c r="G76" s="113" t="str">
        <f>IF(G74=G38,0,"FALSE")</f>
        <v>FALSE</v>
      </c>
      <c r="J76" s="113">
        <f>IF(J74=J40,0,"false")</f>
        <v>0</v>
      </c>
      <c r="K76" s="113">
        <f t="shared" ref="K76:N76" si="27">IF(K74=K40,0,"false")</f>
        <v>0</v>
      </c>
      <c r="L76" s="113">
        <f t="shared" si="27"/>
        <v>0</v>
      </c>
      <c r="M76" s="113">
        <f t="shared" si="27"/>
        <v>0</v>
      </c>
      <c r="N76" s="113">
        <f t="shared" si="27"/>
        <v>0</v>
      </c>
    </row>
    <row r="77" spans="2:19" ht="14.4" customHeight="1" x14ac:dyDescent="0.3"/>
    <row r="78" spans="2:19" ht="14.4" customHeight="1" x14ac:dyDescent="0.3">
      <c r="B78" s="107"/>
      <c r="C78" s="107"/>
      <c r="D78" s="107"/>
      <c r="E78" s="107"/>
      <c r="F78" s="107"/>
      <c r="G78" s="107"/>
      <c r="H78" s="107"/>
      <c r="I78" s="107"/>
      <c r="J78" s="107"/>
      <c r="K78" s="107"/>
      <c r="L78" s="107"/>
      <c r="M78" s="107"/>
      <c r="N78" s="107"/>
    </row>
    <row r="79" spans="2:19" ht="14.4" customHeight="1" x14ac:dyDescent="0.3"/>
    <row r="80" spans="2:19" ht="14.4" customHeight="1" x14ac:dyDescent="0.3">
      <c r="B80" s="529" t="s">
        <v>2673</v>
      </c>
      <c r="C80" s="529"/>
      <c r="D80" s="529"/>
      <c r="E80" s="529"/>
      <c r="F80" s="529"/>
      <c r="G80" s="529"/>
      <c r="H80" s="529"/>
      <c r="I80" s="529"/>
      <c r="J80" s="529"/>
      <c r="K80" s="529"/>
      <c r="L80" s="529"/>
      <c r="M80" s="529"/>
      <c r="N80" s="529"/>
    </row>
    <row r="81" ht="14.4" customHeight="1" x14ac:dyDescent="0.3"/>
    <row r="82" ht="14.4" customHeight="1" x14ac:dyDescent="0.3"/>
  </sheetData>
  <mergeCells count="3">
    <mergeCell ref="K5:M5"/>
    <mergeCell ref="J9:N9"/>
    <mergeCell ref="B80:N80"/>
  </mergeCells>
  <printOptions horizontalCentered="1" verticalCentered="1"/>
  <pageMargins left="0" right="0" top="0" bottom="0" header="0" footer="0"/>
  <pageSetup paperSize="9" scale="55" orientation="landscape" horizontalDpi="1200" verticalDpi="1200" r:id="rId1"/>
  <colBreaks count="1" manualBreakCount="1">
    <brk id="14" max="1048575" man="1"/>
  </col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S53"/>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3" customWidth="1"/>
    <col min="2" max="2" width="44.77734375" style="3" customWidth="1"/>
    <col min="3" max="7" width="16.77734375" style="3"/>
    <col min="8" max="9" width="2" style="3" customWidth="1"/>
    <col min="10" max="16384" width="16.77734375" style="3"/>
  </cols>
  <sheetData>
    <row r="1" spans="2:19" ht="14.4" customHeight="1" x14ac:dyDescent="0.4">
      <c r="B1" s="104" t="s">
        <v>342</v>
      </c>
      <c r="C1" s="105"/>
      <c r="D1" s="105"/>
      <c r="E1" s="105"/>
      <c r="F1" s="105"/>
      <c r="G1" s="105"/>
      <c r="H1" s="105"/>
      <c r="I1" s="105"/>
      <c r="J1" s="105"/>
      <c r="K1" s="105"/>
      <c r="L1" s="105"/>
      <c r="M1" s="105"/>
      <c r="N1" s="105"/>
    </row>
    <row r="2" spans="2:19" ht="23.4" x14ac:dyDescent="0.45">
      <c r="B2" s="106" t="s">
        <v>341</v>
      </c>
      <c r="C2" s="105"/>
      <c r="D2" s="105"/>
      <c r="E2" s="105"/>
      <c r="F2" s="105"/>
      <c r="G2" s="105"/>
      <c r="H2" s="105"/>
      <c r="I2" s="105"/>
      <c r="J2" s="105"/>
      <c r="K2" s="105"/>
      <c r="L2" s="105"/>
      <c r="M2" s="105"/>
      <c r="N2" s="105"/>
    </row>
    <row r="3" spans="2:19" x14ac:dyDescent="0.3">
      <c r="B3" s="105" t="s">
        <v>343</v>
      </c>
      <c r="C3" s="105"/>
      <c r="D3" s="105"/>
      <c r="E3" s="105"/>
      <c r="F3" s="105"/>
      <c r="G3" s="105"/>
      <c r="H3" s="105"/>
      <c r="I3" s="105"/>
      <c r="J3" s="105"/>
      <c r="K3" s="105"/>
      <c r="L3" s="105"/>
      <c r="M3" s="105"/>
      <c r="N3" s="105"/>
    </row>
    <row r="5" spans="2:19" x14ac:dyDescent="0.3">
      <c r="B5" s="107" t="s">
        <v>47</v>
      </c>
      <c r="C5" s="107"/>
      <c r="D5" s="107"/>
      <c r="E5" s="107"/>
      <c r="F5" s="107"/>
      <c r="G5" s="107"/>
      <c r="H5" s="78"/>
      <c r="J5" s="107" t="s">
        <v>459</v>
      </c>
      <c r="K5" s="528" t="s">
        <v>460</v>
      </c>
      <c r="L5" s="528"/>
      <c r="M5" s="528"/>
      <c r="N5" s="201">
        <v>2</v>
      </c>
      <c r="O5" s="1"/>
    </row>
    <row r="6" spans="2:19" x14ac:dyDescent="0.3">
      <c r="H6" s="78"/>
    </row>
    <row r="7" spans="2:19" x14ac:dyDescent="0.3">
      <c r="B7" s="107" t="s">
        <v>1</v>
      </c>
      <c r="C7" s="110">
        <v>44390</v>
      </c>
      <c r="D7" s="110">
        <f t="shared" ref="D7:G7" si="0">EDATE(C7,12)</f>
        <v>44755</v>
      </c>
      <c r="E7" s="110">
        <f t="shared" si="0"/>
        <v>45120</v>
      </c>
      <c r="F7" s="110">
        <f t="shared" si="0"/>
        <v>45486</v>
      </c>
      <c r="G7" s="110">
        <f t="shared" si="0"/>
        <v>45851</v>
      </c>
      <c r="H7" s="78"/>
      <c r="J7" s="279">
        <v>46112</v>
      </c>
      <c r="K7" s="279">
        <f>EDATE(J7,12)</f>
        <v>46477</v>
      </c>
      <c r="L7" s="279">
        <f t="shared" ref="L7:N7" si="1">EDATE(K7,12)</f>
        <v>46843</v>
      </c>
      <c r="M7" s="279">
        <f t="shared" si="1"/>
        <v>47208</v>
      </c>
      <c r="N7" s="279">
        <f t="shared" si="1"/>
        <v>47573</v>
      </c>
    </row>
    <row r="8" spans="2:19" ht="7.05" customHeight="1" x14ac:dyDescent="0.3">
      <c r="H8" s="78"/>
    </row>
    <row r="9" spans="2:19" x14ac:dyDescent="0.3">
      <c r="B9" s="1" t="s">
        <v>48</v>
      </c>
      <c r="H9" s="78"/>
    </row>
    <row r="10" spans="2:19" ht="7.05" customHeight="1" x14ac:dyDescent="0.3">
      <c r="H10" s="78"/>
    </row>
    <row r="11" spans="2:19" x14ac:dyDescent="0.3">
      <c r="B11" s="56" t="s">
        <v>354</v>
      </c>
      <c r="C11" s="3">
        <f>'INCOME STATEMENT'!C$38</f>
        <v>8096</v>
      </c>
      <c r="D11" s="3">
        <f>'INCOME STATEMENT'!D$38</f>
        <v>8362.6999999999971</v>
      </c>
      <c r="E11" s="3">
        <f>'INCOME STATEMENT'!E$38</f>
        <v>7412.2200000000021</v>
      </c>
      <c r="F11" s="3">
        <f>'INCOME STATEMENT'!F$38</f>
        <v>9475</v>
      </c>
      <c r="G11" s="3">
        <f>'INCOME STATEMENT'!G$38</f>
        <v>7641</v>
      </c>
      <c r="H11" s="78"/>
      <c r="J11" s="190">
        <f>CHOOSE($N$5,'TAX SCHEDULE'!J$34,'TAX SCHEDULE'!Q$34,'TAX SCHEDULE'!X$34)</f>
        <v>8750.4128595047041</v>
      </c>
      <c r="K11" s="190">
        <f>CHOOSE($N$5,'TAX SCHEDULE'!K$34,'TAX SCHEDULE'!R$34,'TAX SCHEDULE'!Y$34)</f>
        <v>9984.2732392848266</v>
      </c>
      <c r="L11" s="190">
        <f>CHOOSE($N$5,'TAX SCHEDULE'!L$34,'TAX SCHEDULE'!S$34,'TAX SCHEDULE'!Z$34)</f>
        <v>10426.485590009463</v>
      </c>
      <c r="M11" s="190">
        <f>CHOOSE($N$5,'TAX SCHEDULE'!M$34,'TAX SCHEDULE'!T$34,'TAX SCHEDULE'!AA$34)</f>
        <v>10805.108140820517</v>
      </c>
      <c r="N11" s="190">
        <f>CHOOSE($N$5,'TAX SCHEDULE'!N$34,'TAX SCHEDULE'!U$34,'TAX SCHEDULE'!AB$34)</f>
        <v>11594.741426119172</v>
      </c>
      <c r="O11" s="50"/>
      <c r="P11" s="50"/>
      <c r="Q11" s="50"/>
      <c r="R11" s="50"/>
      <c r="S11" s="50"/>
    </row>
    <row r="12" spans="2:19" x14ac:dyDescent="0.3">
      <c r="B12" s="56" t="s">
        <v>305</v>
      </c>
      <c r="C12" s="3">
        <f>'DATA STATEMENTS'!C$82</f>
        <v>2700</v>
      </c>
      <c r="D12" s="3">
        <f>'DATA STATEMENTS'!D$82</f>
        <v>2714.75</v>
      </c>
      <c r="E12" s="3">
        <f>'DATA STATEMENTS'!E$82</f>
        <v>2887.99</v>
      </c>
      <c r="F12" s="3">
        <f>'DATA STATEMENTS'!F$82</f>
        <v>3145</v>
      </c>
      <c r="G12" s="3">
        <f>'DATA STATEMENTS'!G$82</f>
        <v>4014</v>
      </c>
      <c r="H12" s="78"/>
      <c r="J12" s="207">
        <f>CHOOSE($N$5,'DEPRECIATION SCHEDULE'!C$25,'DEPRECIATION SCHEDULE'!C$35,'DEPRECIATION SCHEDULE'!C$45)</f>
        <v>4238.7303600000005</v>
      </c>
      <c r="K12" s="207">
        <f>CHOOSE($N$5,'DEPRECIATION SCHEDULE'!D$25,'DEPRECIATION SCHEDULE'!D$35,'DEPRECIATION SCHEDULE'!D$45)</f>
        <v>4575.3440688000001</v>
      </c>
      <c r="L12" s="207">
        <f>CHOOSE($N$5,'DEPRECIATION SCHEDULE'!E$25,'DEPRECIATION SCHEDULE'!E$35,'DEPRECIATION SCHEDULE'!E$45)</f>
        <v>4938.8868743040002</v>
      </c>
      <c r="M12" s="207">
        <f>CHOOSE($N$5,'DEPRECIATION SCHEDULE'!F$25,'DEPRECIATION SCHEDULE'!F$35,'DEPRECIATION SCHEDULE'!F$45)</f>
        <v>5331.5131042483208</v>
      </c>
      <c r="N12" s="207">
        <f>CHOOSE($N$5,'DEPRECIATION SCHEDULE'!G$25,'DEPRECIATION SCHEDULE'!G$35,'DEPRECIATION SCHEDULE'!G$45)</f>
        <v>5755.5494325881855</v>
      </c>
    </row>
    <row r="13" spans="2:19" ht="14.4" customHeight="1" x14ac:dyDescent="0.3">
      <c r="B13" s="56" t="s">
        <v>2493</v>
      </c>
      <c r="C13" s="3">
        <f>'DATA STATEMENTS'!C$91</f>
        <v>-100</v>
      </c>
      <c r="D13" s="3">
        <f>'DATA STATEMENTS'!D$91</f>
        <v>-163.69999999999999</v>
      </c>
      <c r="E13" s="3">
        <f>'DATA STATEMENTS'!E$91</f>
        <v>-272.45</v>
      </c>
      <c r="F13" s="3">
        <f>'DATA STATEMENTS'!F$91</f>
        <v>-241</v>
      </c>
      <c r="G13" s="3">
        <f>'DATA STATEMENTS'!G$91</f>
        <v>-293</v>
      </c>
      <c r="H13" s="78"/>
      <c r="J13" s="190">
        <f>-CHOOSE($N$5,'OTHER INCOME SCHEDULE'!J$51,'OTHER INCOME SCHEDULE'!Q$51,'OTHER INCOME SCHEDULE'!X$51)</f>
        <v>-268</v>
      </c>
      <c r="K13" s="190">
        <f>-CHOOSE($N$5,'OTHER INCOME SCHEDULE'!K$51,'OTHER INCOME SCHEDULE'!R$51,'OTHER INCOME SCHEDULE'!Y$51)</f>
        <v>-268</v>
      </c>
      <c r="L13" s="190">
        <f>-CHOOSE($N$5,'OTHER INCOME SCHEDULE'!L$51,'OTHER INCOME SCHEDULE'!S$51,'OTHER INCOME SCHEDULE'!Z$51)</f>
        <v>-268</v>
      </c>
      <c r="M13" s="190">
        <f>-CHOOSE($N$5,'OTHER INCOME SCHEDULE'!M$51,'OTHER INCOME SCHEDULE'!T$51,'OTHER INCOME SCHEDULE'!AA$51)</f>
        <v>-268</v>
      </c>
      <c r="N13" s="190">
        <f>-CHOOSE($N$5,'OTHER INCOME SCHEDULE'!N$51,'OTHER INCOME SCHEDULE'!U$51,'OTHER INCOME SCHEDULE'!AB$51)</f>
        <v>-268</v>
      </c>
      <c r="O13" s="49"/>
      <c r="P13" s="49"/>
      <c r="Q13" s="49"/>
      <c r="R13" s="49"/>
      <c r="S13" s="49"/>
    </row>
    <row r="14" spans="2:19" ht="14.4" customHeight="1" x14ac:dyDescent="0.3">
      <c r="B14" s="56" t="s">
        <v>304</v>
      </c>
      <c r="C14" s="3">
        <f>'DATA STATEMENTS'!C$92</f>
        <v>1485</v>
      </c>
      <c r="D14" s="3">
        <f>'DATA STATEMENTS'!D$92</f>
        <v>944.71</v>
      </c>
      <c r="E14" s="3">
        <f>'DATA STATEMENTS'!E$92</f>
        <v>822.72</v>
      </c>
      <c r="F14" s="3">
        <f>'DATA STATEMENTS'!F$92</f>
        <v>968</v>
      </c>
      <c r="G14" s="3">
        <f>'DATA STATEMENTS'!G$92</f>
        <v>1650</v>
      </c>
      <c r="H14" s="78"/>
      <c r="J14" s="3">
        <f>CHOOSE($N$5,'FINANCE COST SCHEDULE'!J$49,'FINANCE COST SCHEDULE'!Q$49,'FINANCE COST SCHEDULE'!X$49)</f>
        <v>1422.5400044952921</v>
      </c>
      <c r="K14" s="3">
        <f>CHOOSE($N$5,'FINANCE COST SCHEDULE'!K$49,'FINANCE COST SCHEDULE'!R$49,'FINANCE COST SCHEDULE'!Y$49)</f>
        <v>996.55252583517745</v>
      </c>
      <c r="L14" s="3">
        <f>CHOOSE($N$5,'FINANCE COST SCHEDULE'!L$49,'FINANCE COST SCHEDULE'!S$49,'FINANCE COST SCHEDULE'!Z$49)</f>
        <v>1426.8429083201418</v>
      </c>
      <c r="M14" s="3">
        <f>CHOOSE($N$5,'FINANCE COST SCHEDULE'!M$49,'FINANCE COST SCHEDULE'!T$49,'FINANCE COST SCHEDULE'!AA$49)</f>
        <v>1990.5233093754453</v>
      </c>
      <c r="N14" s="3">
        <f>CHOOSE($N$5,'FINANCE COST SCHEDULE'!N$49,'FINANCE COST SCHEDULE'!U$49,'FINANCE COST SCHEDULE'!AB$49)</f>
        <v>2218.5772120924762</v>
      </c>
      <c r="O14" s="49"/>
      <c r="P14" s="49"/>
      <c r="Q14" s="49"/>
      <c r="R14" s="49"/>
      <c r="S14" s="49"/>
    </row>
    <row r="15" spans="2:19" ht="7.05" customHeight="1" x14ac:dyDescent="0.3">
      <c r="B15" s="56"/>
      <c r="H15" s="78"/>
    </row>
    <row r="16" spans="2:19" ht="13.95" customHeight="1" x14ac:dyDescent="0.3">
      <c r="B16" s="336" t="s">
        <v>509</v>
      </c>
      <c r="C16" s="22">
        <f>SUM(C11:C14)</f>
        <v>12181</v>
      </c>
      <c r="D16" s="22">
        <f t="shared" ref="D16:G16" si="2">SUM(D11:D14)</f>
        <v>11858.459999999995</v>
      </c>
      <c r="E16" s="22">
        <f t="shared" si="2"/>
        <v>10850.480000000001</v>
      </c>
      <c r="F16" s="22">
        <f t="shared" si="2"/>
        <v>13347</v>
      </c>
      <c r="G16" s="22">
        <f t="shared" si="2"/>
        <v>13012</v>
      </c>
      <c r="H16" s="78"/>
      <c r="J16" s="22">
        <f>SUM(J11:J14)</f>
        <v>14143.683223999997</v>
      </c>
      <c r="K16" s="22">
        <f t="shared" ref="K16:N16" si="3">SUM(K11:K14)</f>
        <v>15288.169833920005</v>
      </c>
      <c r="L16" s="22">
        <f t="shared" si="3"/>
        <v>16524.215372633604</v>
      </c>
      <c r="M16" s="22">
        <f t="shared" si="3"/>
        <v>17859.144554444283</v>
      </c>
      <c r="N16" s="22">
        <f t="shared" si="3"/>
        <v>19300.868070799836</v>
      </c>
    </row>
    <row r="17" spans="2:19" ht="7.05" customHeight="1" x14ac:dyDescent="0.3">
      <c r="B17" s="337"/>
      <c r="H17" s="78"/>
    </row>
    <row r="18" spans="2:19" ht="14.4" customHeight="1" x14ac:dyDescent="0.3">
      <c r="B18" s="277" t="s">
        <v>2495</v>
      </c>
      <c r="H18" s="78"/>
    </row>
    <row r="19" spans="2:19" ht="7.05" customHeight="1" x14ac:dyDescent="0.3">
      <c r="H19" s="78"/>
    </row>
    <row r="20" spans="2:19" ht="14.4" customHeight="1" x14ac:dyDescent="0.3">
      <c r="B20" s="56" t="s">
        <v>2496</v>
      </c>
      <c r="C20" s="3">
        <f>'DATA STATEMENTS'!C$97</f>
        <v>2870</v>
      </c>
      <c r="D20" s="3">
        <f>'DATA STATEMENTS'!D$97</f>
        <v>2076.9</v>
      </c>
      <c r="E20" s="3">
        <f>'DATA STATEMENTS'!E$97</f>
        <v>1868.6</v>
      </c>
      <c r="F20" s="3">
        <f>'DATA STATEMENTS'!F$97</f>
        <v>1959</v>
      </c>
      <c r="G20" s="3">
        <f>'DATA STATEMENTS'!G$97</f>
        <v>-475</v>
      </c>
      <c r="H20" s="78"/>
      <c r="J20" s="3">
        <f>CHOOSE($N$5,'CFS - WC'!J$15,'CFS - WC'!Q$15,'CFS - WC'!X$15)</f>
        <v>264.39908243287573</v>
      </c>
      <c r="K20" s="3">
        <f>CHOOSE($N$5,'CFS - WC'!K$15,'CFS - WC'!R$15,'CFS - WC'!Y$15)</f>
        <v>1243.0766680302477</v>
      </c>
      <c r="L20" s="3">
        <f>CHOOSE($N$5,'CFS - WC'!L$15,'CFS - WC'!S$15,'CFS - WC'!Z$15)</f>
        <v>1300.6828014726671</v>
      </c>
      <c r="M20" s="3">
        <f>CHOOSE($N$5,'CFS - WC'!M$15,'CFS - WC'!T$15,'CFS - WC'!AA$15)</f>
        <v>1362.8974255904814</v>
      </c>
      <c r="N20" s="3">
        <f>CHOOSE($N$5,'CFS - WC'!N$15,'CFS - WC'!U$15,'CFS - WC'!AB$15)</f>
        <v>1430.0892196377135</v>
      </c>
    </row>
    <row r="21" spans="2:19" ht="14.4" customHeight="1" x14ac:dyDescent="0.3">
      <c r="B21" s="56" t="s">
        <v>2497</v>
      </c>
      <c r="C21" s="3">
        <f>'DATA STATEMENTS'!C$99</f>
        <v>-201</v>
      </c>
      <c r="D21" s="3">
        <f>'DATA STATEMENTS'!D$99</f>
        <v>-495.26</v>
      </c>
      <c r="E21" s="3">
        <f>'DATA STATEMENTS'!E$99</f>
        <v>-752.33</v>
      </c>
      <c r="F21" s="3">
        <f>'DATA STATEMENTS'!F$99</f>
        <v>-420</v>
      </c>
      <c r="G21" s="3">
        <f>'DATA STATEMENTS'!G$99</f>
        <v>-607</v>
      </c>
      <c r="H21" s="78"/>
      <c r="J21" s="3">
        <f>CHOOSE($N$5,'CFS - WC'!J$16,'CFS - WC'!Q$16,'CFS - WC'!X$16)</f>
        <v>-1012.5568460273971</v>
      </c>
      <c r="K21" s="3">
        <f>CHOOSE($N$5,'CFS - WC'!K$16,'CFS - WC'!R$16,'CFS - WC'!Y$16)</f>
        <v>387.33632245479475</v>
      </c>
      <c r="L21" s="3">
        <f>CHOOSE($N$5,'CFS - WC'!L$16,'CFS - WC'!S$16,'CFS - WC'!Z$16)</f>
        <v>418.32322825117808</v>
      </c>
      <c r="M21" s="3">
        <f>CHOOSE($N$5,'CFS - WC'!M$16,'CFS - WC'!T$16,'CFS - WC'!AA$16)</f>
        <v>451.78908651127222</v>
      </c>
      <c r="N21" s="3">
        <f>CHOOSE($N$5,'CFS - WC'!N$16,'CFS - WC'!U$16,'CFS - WC'!AB$16)</f>
        <v>487.93221343217374</v>
      </c>
    </row>
    <row r="22" spans="2:19" ht="14.4" customHeight="1" x14ac:dyDescent="0.3">
      <c r="B22" s="56" t="s">
        <v>2498</v>
      </c>
      <c r="C22" s="3">
        <f>'DATA STATEMENTS'!C$100</f>
        <v>112</v>
      </c>
      <c r="D22" s="3">
        <f>'DATA STATEMENTS'!D$100</f>
        <v>-1578.96</v>
      </c>
      <c r="E22" s="3">
        <f>'DATA STATEMENTS'!E$100</f>
        <v>-991.91</v>
      </c>
      <c r="F22" s="3">
        <f>'DATA STATEMENTS'!F$100</f>
        <v>-1711</v>
      </c>
      <c r="G22" s="3">
        <f>'DATA STATEMENTS'!G$100</f>
        <v>-316</v>
      </c>
      <c r="H22" s="78"/>
      <c r="J22" s="3">
        <f>CHOOSE($N$5,'CFS - WC'!J$17,'CFS - WC'!Q$17,'CFS - WC'!X$17)</f>
        <v>-940.53857735890415</v>
      </c>
      <c r="K22" s="3">
        <f>CHOOSE($N$5,'CFS - WC'!K$17,'CFS - WC'!R$17,'CFS - WC'!Y$17)</f>
        <v>684.66306140580855</v>
      </c>
      <c r="L22" s="3">
        <f>CHOOSE($N$5,'CFS - WC'!L$17,'CFS - WC'!S$17,'CFS - WC'!Z$17)</f>
        <v>739.43610631827323</v>
      </c>
      <c r="M22" s="3">
        <f>CHOOSE($N$5,'CFS - WC'!M$17,'CFS - WC'!T$17,'CFS - WC'!AA$17)</f>
        <v>798.59099482373676</v>
      </c>
      <c r="N22" s="3">
        <f>CHOOSE($N$5,'CFS - WC'!N$17,'CFS - WC'!U$17,'CFS - WC'!AB$17)</f>
        <v>862.4782744096301</v>
      </c>
    </row>
    <row r="23" spans="2:19" ht="14.4" customHeight="1" x14ac:dyDescent="0.3">
      <c r="B23" s="56" t="s">
        <v>2499</v>
      </c>
      <c r="C23" s="3">
        <f>'DATA STATEMENTS'!C$101</f>
        <v>-638</v>
      </c>
      <c r="D23" s="3">
        <f>'DATA STATEMENTS'!D$101</f>
        <v>-473.76</v>
      </c>
      <c r="E23" s="3">
        <f>'DATA STATEMENTS'!E$101</f>
        <v>-479.3</v>
      </c>
      <c r="F23" s="3">
        <f>'DATA STATEMENTS'!F$101</f>
        <v>-278</v>
      </c>
      <c r="G23" s="3">
        <f>'DATA STATEMENTS'!G$101</f>
        <v>762</v>
      </c>
      <c r="H23" s="78"/>
      <c r="J23" s="3">
        <f>CHOOSE($N$5,'CFS - WC'!J$18,'CFS - WC'!Q$18,'CFS - WC'!X$18)</f>
        <v>464.55400000000009</v>
      </c>
      <c r="K23" s="3">
        <f>CHOOSE($N$5,'CFS - WC'!K$18,'CFS - WC'!R$18,'CFS - WC'!Y$18)</f>
        <v>0</v>
      </c>
      <c r="L23" s="3">
        <f>CHOOSE($N$5,'CFS - WC'!L$18,'CFS - WC'!S$18,'CFS - WC'!Z$18)</f>
        <v>0</v>
      </c>
      <c r="M23" s="3">
        <f>CHOOSE($N$5,'CFS - WC'!M$18,'CFS - WC'!T$18,'CFS - WC'!AA$18)</f>
        <v>0</v>
      </c>
      <c r="N23" s="3">
        <f>CHOOSE($N$5,'CFS - WC'!N$18,'CFS - WC'!U$18,'CFS - WC'!AB$18)</f>
        <v>0</v>
      </c>
    </row>
    <row r="24" spans="2:19" ht="14.4" customHeight="1" x14ac:dyDescent="0.3">
      <c r="B24" s="338" t="s">
        <v>355</v>
      </c>
      <c r="C24" s="173">
        <f>C16+C20+C21+C22+C23</f>
        <v>14324</v>
      </c>
      <c r="D24" s="173">
        <f t="shared" ref="D24:G24" si="4">D16+D20+D21+D22+D23</f>
        <v>11387.379999999996</v>
      </c>
      <c r="E24" s="173">
        <f t="shared" si="4"/>
        <v>10495.540000000003</v>
      </c>
      <c r="F24" s="173">
        <f t="shared" si="4"/>
        <v>12897</v>
      </c>
      <c r="G24" s="173">
        <f t="shared" si="4"/>
        <v>12376</v>
      </c>
      <c r="H24" s="78"/>
      <c r="J24" s="173">
        <f>SUM(J16,J20,J21,J22,J23)</f>
        <v>12919.540883046571</v>
      </c>
      <c r="K24" s="173">
        <f t="shared" ref="K24:N24" si="5">SUM(K16,K20,K21,K22,K23)</f>
        <v>17603.245885810855</v>
      </c>
      <c r="L24" s="173">
        <f t="shared" si="5"/>
        <v>18982.657508675722</v>
      </c>
      <c r="M24" s="173">
        <f t="shared" si="5"/>
        <v>20472.422061369776</v>
      </c>
      <c r="N24" s="173">
        <f t="shared" si="5"/>
        <v>22081.367778279353</v>
      </c>
    </row>
    <row r="25" spans="2:19" ht="14.4" customHeight="1" x14ac:dyDescent="0.3">
      <c r="B25" s="56" t="s">
        <v>356</v>
      </c>
      <c r="C25" s="3">
        <f>'DATA STATEMENTS'!C$103</f>
        <v>-1290</v>
      </c>
      <c r="D25" s="3">
        <f>'DATA STATEMENTS'!D$103</f>
        <v>-1554.89</v>
      </c>
      <c r="E25" s="3">
        <f>'DATA STATEMENTS'!E$103</f>
        <v>-1124.31</v>
      </c>
      <c r="F25" s="3">
        <f>'DATA STATEMENTS'!F$103</f>
        <v>-1650</v>
      </c>
      <c r="G25" s="3">
        <f>'DATA STATEMENTS'!G$103</f>
        <v>-1300</v>
      </c>
      <c r="H25" s="78"/>
      <c r="J25" s="3">
        <f>CHOOSE($N$5,'CFS - WC'!J$22,'CFS - WC'!Q$22,'CFS - WC'!X$22)</f>
        <v>-1383.8400000000001</v>
      </c>
      <c r="K25" s="3">
        <f>CHOOSE($N$5,'CFS - WC'!K$22,'CFS - WC'!R$22,'CFS - WC'!Y$22)</f>
        <v>-1383.8400000000001</v>
      </c>
      <c r="L25" s="3">
        <f>CHOOSE($N$5,'CFS - WC'!L$22,'CFS - WC'!S$22,'CFS - WC'!Z$22)</f>
        <v>-1383.8400000000001</v>
      </c>
      <c r="M25" s="3">
        <f>CHOOSE($N$5,'CFS - WC'!M$22,'CFS - WC'!T$22,'CFS - WC'!AA$22)</f>
        <v>-1383.8400000000001</v>
      </c>
      <c r="N25" s="3">
        <f>CHOOSE($N$5,'CFS - WC'!N$22,'CFS - WC'!U$22,'CFS - WC'!AB$22)</f>
        <v>-1383.8400000000001</v>
      </c>
    </row>
    <row r="26" spans="2:19" ht="7.05" customHeight="1" x14ac:dyDescent="0.3">
      <c r="H26" s="78"/>
    </row>
    <row r="27" spans="2:19" ht="14.4" customHeight="1" x14ac:dyDescent="0.3">
      <c r="B27" s="4" t="s">
        <v>2520</v>
      </c>
      <c r="C27" s="4">
        <f>SUM(C24:C25)</f>
        <v>13034</v>
      </c>
      <c r="D27" s="4">
        <f t="shared" ref="D27:G27" si="6">SUM(D24:D25)</f>
        <v>9832.4899999999961</v>
      </c>
      <c r="E27" s="4">
        <f t="shared" si="6"/>
        <v>9371.2300000000032</v>
      </c>
      <c r="F27" s="4">
        <f t="shared" si="6"/>
        <v>11247</v>
      </c>
      <c r="G27" s="4">
        <f t="shared" si="6"/>
        <v>11076</v>
      </c>
      <c r="H27" s="78"/>
      <c r="J27" s="4">
        <f>SUM(J24:J25)</f>
        <v>11535.700883046571</v>
      </c>
      <c r="K27" s="4">
        <f t="shared" ref="K27:N27" si="7">SUM(K24:K25)</f>
        <v>16219.405885810855</v>
      </c>
      <c r="L27" s="4">
        <f t="shared" si="7"/>
        <v>17598.817508675722</v>
      </c>
      <c r="M27" s="4">
        <f t="shared" si="7"/>
        <v>19088.582061369776</v>
      </c>
      <c r="N27" s="4">
        <f t="shared" si="7"/>
        <v>20697.527778279353</v>
      </c>
    </row>
    <row r="28" spans="2:19" ht="7.05" customHeight="1" x14ac:dyDescent="0.3">
      <c r="H28" s="78"/>
    </row>
    <row r="29" spans="2:19" ht="14.4" customHeight="1" x14ac:dyDescent="0.3">
      <c r="B29" s="1" t="s">
        <v>49</v>
      </c>
      <c r="H29" s="78"/>
    </row>
    <row r="30" spans="2:19" ht="7.05" customHeight="1" x14ac:dyDescent="0.3">
      <c r="B30" s="1"/>
      <c r="H30" s="78"/>
    </row>
    <row r="31" spans="2:19" ht="14.4" customHeight="1" x14ac:dyDescent="0.3">
      <c r="B31" s="56" t="s">
        <v>358</v>
      </c>
      <c r="C31" s="3">
        <f>'DATA STATEMENTS'!C$107</f>
        <v>-1805</v>
      </c>
      <c r="D31" s="3">
        <f>'DATA STATEMENTS'!D$107</f>
        <v>-5613.41</v>
      </c>
      <c r="E31" s="3">
        <f>'DATA STATEMENTS'!E$107</f>
        <v>-6200.11</v>
      </c>
      <c r="F31" s="3">
        <f>'DATA STATEMENTS'!F$107</f>
        <v>-9005</v>
      </c>
      <c r="G31" s="3">
        <f>'DATA STATEMENTS'!G$107</f>
        <v>-9129</v>
      </c>
      <c r="H31" s="78"/>
      <c r="J31" s="3">
        <f>-CHOOSE($N$5,'DEPRECIATION SCHEDULE'!C$23,'DEPRECIATION SCHEDULE'!C$33,'DEPRECIATION SCHEDULE'!C$43)</f>
        <v>-8121.4073697599997</v>
      </c>
      <c r="K31" s="3">
        <f>-CHOOSE($N$5,'DEPRECIATION SCHEDULE'!D$23,'DEPRECIATION SCHEDULE'!D$33,'DEPRECIATION SCHEDULE'!D$43)</f>
        <v>-9681.4280495808016</v>
      </c>
      <c r="L31" s="3">
        <f>-CHOOSE($N$5,'DEPRECIATION SCHEDULE'!E$23,'DEPRECIATION SCHEDULE'!E$33,'DEPRECIATION SCHEDULE'!E$43)</f>
        <v>-12426.239375748864</v>
      </c>
      <c r="M31" s="3">
        <f>-CHOOSE($N$5,'DEPRECIATION SCHEDULE'!F$23,'DEPRECIATION SCHEDULE'!F$33,'DEPRECIATION SCHEDULE'!F$43)</f>
        <v>-13414.086970288774</v>
      </c>
      <c r="N31" s="3">
        <f>-CHOOSE($N$5,'DEPRECIATION SCHEDULE'!G$23,'DEPRECIATION SCHEDULE'!G$33,'DEPRECIATION SCHEDULE'!G$43)</f>
        <v>-11511.098865176371</v>
      </c>
      <c r="O31" s="49"/>
      <c r="P31" s="49"/>
      <c r="Q31" s="49"/>
      <c r="R31" s="49"/>
      <c r="S31" s="49"/>
    </row>
    <row r="32" spans="2:19" ht="14.4" customHeight="1" x14ac:dyDescent="0.3">
      <c r="B32" s="56" t="s">
        <v>2500</v>
      </c>
      <c r="C32" s="3">
        <f>'DATA STATEMENTS'!C$108</f>
        <v>82</v>
      </c>
      <c r="D32" s="3">
        <f>'DATA STATEMENTS'!D$108</f>
        <v>63</v>
      </c>
      <c r="E32" s="3">
        <f>'DATA STATEMENTS'!E$108</f>
        <v>94.53</v>
      </c>
      <c r="F32" s="3">
        <f>'DATA STATEMENTS'!F$108</f>
        <v>121</v>
      </c>
      <c r="G32" s="3">
        <f>'DATA STATEMENTS'!G$108</f>
        <v>178</v>
      </c>
      <c r="H32" s="78"/>
      <c r="J32" s="3">
        <f>CHOOSE($N$5,'CFS - WC'!J$26,'CFS - WC'!Q$26,'CFS - WC'!X$26)</f>
        <v>107.70599999999999</v>
      </c>
      <c r="K32" s="3">
        <f>CHOOSE($N$5,'CFS - WC'!K$26,'CFS - WC'!R$26,'CFS - WC'!Y$26)</f>
        <v>107.70599999999999</v>
      </c>
      <c r="L32" s="3">
        <f>CHOOSE($N$5,'CFS - WC'!L$26,'CFS - WC'!S$26,'CFS - WC'!Z$26)</f>
        <v>107.70599999999999</v>
      </c>
      <c r="M32" s="3">
        <f>CHOOSE($N$5,'CFS - WC'!M$26,'CFS - WC'!T$26,'CFS - WC'!AA$26)</f>
        <v>107.70599999999999</v>
      </c>
      <c r="N32" s="3">
        <f>CHOOSE($N$5,'CFS - WC'!N$26,'CFS - WC'!U$26,'CFS - WC'!AB$26)</f>
        <v>107.70599999999999</v>
      </c>
      <c r="O32" s="49"/>
      <c r="P32" s="49"/>
      <c r="Q32" s="49"/>
      <c r="R32" s="49"/>
      <c r="S32" s="49"/>
    </row>
    <row r="33" spans="2:19" ht="14.4" customHeight="1" x14ac:dyDescent="0.3">
      <c r="B33" s="56" t="s">
        <v>359</v>
      </c>
      <c r="C33" s="3">
        <f>'DATA STATEMENTS'!C$111</f>
        <v>-12668</v>
      </c>
      <c r="D33" s="3">
        <f>'DATA STATEMENTS'!D$111</f>
        <v>-6395</v>
      </c>
      <c r="E33" s="3">
        <f>'DATA STATEMENTS'!E$111</f>
        <v>-7189.85</v>
      </c>
      <c r="F33" s="3">
        <f>'DATA STATEMENTS'!F$111</f>
        <v>-7203</v>
      </c>
      <c r="G33" s="3">
        <f>'DATA STATEMENTS'!G$111</f>
        <v>-15005</v>
      </c>
      <c r="H33" s="78"/>
      <c r="J33" s="3">
        <f>CHOOSE($N$5,'CFS - WC'!J$27,'CFS - WC'!Q$27,'CFS - WC'!X$27)</f>
        <v>-8000</v>
      </c>
      <c r="K33" s="3">
        <f>CHOOSE($N$5,'CFS - WC'!K$27,'CFS - WC'!R$27,'CFS - WC'!Y$27)</f>
        <v>-10500</v>
      </c>
      <c r="L33" s="3">
        <f>CHOOSE($N$5,'CFS - WC'!L$27,'CFS - WC'!S$27,'CFS - WC'!Z$27)</f>
        <v>-8000</v>
      </c>
      <c r="M33" s="3">
        <f>CHOOSE($N$5,'CFS - WC'!M$27,'CFS - WC'!T$27,'CFS - WC'!AA$27)</f>
        <v>-8000</v>
      </c>
      <c r="N33" s="3">
        <f>CHOOSE($N$5,'CFS - WC'!N$27,'CFS - WC'!U$27,'CFS - WC'!AB$27)</f>
        <v>-10500</v>
      </c>
    </row>
    <row r="34" spans="2:19" ht="14.4" customHeight="1" x14ac:dyDescent="0.3">
      <c r="B34" s="56" t="s">
        <v>2503</v>
      </c>
      <c r="C34" s="3">
        <f>'DATA STATEMENTS'!C$112</f>
        <v>5427</v>
      </c>
      <c r="D34" s="3">
        <f>'DATA STATEMENTS'!D$112</f>
        <v>13965</v>
      </c>
      <c r="E34" s="3">
        <f>'DATA STATEMENTS'!E$112</f>
        <v>6626</v>
      </c>
      <c r="F34" s="3">
        <f>'DATA STATEMENTS'!F$112</f>
        <v>7163</v>
      </c>
      <c r="G34" s="3">
        <f>'DATA STATEMENTS'!G$112</f>
        <v>17972</v>
      </c>
      <c r="H34" s="78"/>
      <c r="J34" s="3">
        <f>CHOOSE($N$5,'CFS - WC'!J$29,'CFS - WC'!Q$29,'CFS - WC'!X$29)</f>
        <v>10230.6</v>
      </c>
      <c r="K34" s="3">
        <f>CHOOSE($N$5,'CFS - WC'!K$29,'CFS - WC'!R$29,'CFS - WC'!Y$29)</f>
        <v>10230.6</v>
      </c>
      <c r="L34" s="3">
        <f>CHOOSE($N$5,'CFS - WC'!L$29,'CFS - WC'!S$29,'CFS - WC'!Z$29)</f>
        <v>10230.6</v>
      </c>
      <c r="M34" s="3">
        <f>CHOOSE($N$5,'CFS - WC'!M$29,'CFS - WC'!T$29,'CFS - WC'!AA$29)</f>
        <v>10230.6</v>
      </c>
      <c r="N34" s="3">
        <f>CHOOSE($N$5,'CFS - WC'!N$29,'CFS - WC'!U$29,'CFS - WC'!AB$29)</f>
        <v>10230.6</v>
      </c>
    </row>
    <row r="35" spans="2:19" ht="14.4" customHeight="1" x14ac:dyDescent="0.3">
      <c r="B35" s="429" t="s">
        <v>2748</v>
      </c>
      <c r="C35" s="3">
        <f>'DATA STATEMENTS'!C$115</f>
        <v>-3</v>
      </c>
      <c r="D35" s="3">
        <f>'DATA STATEMENTS'!D$115</f>
        <v>-2</v>
      </c>
      <c r="E35" s="3">
        <f>'DATA STATEMENTS'!E$115</f>
        <v>-846</v>
      </c>
      <c r="F35" s="3">
        <f>'DATA STATEMENTS'!F$115</f>
        <v>-66.849999999999994</v>
      </c>
      <c r="G35" s="3">
        <f>'DATA STATEMENTS'!G$115</f>
        <v>-9209</v>
      </c>
      <c r="H35" s="78"/>
      <c r="J35" s="3">
        <f>CHOOSE($N$5,'CFS - WC'!J$28,'CFS - WC'!Q$28,'CFS - WC'!X$28)</f>
        <v>-2025.3700000000001</v>
      </c>
      <c r="K35" s="3">
        <f>CHOOSE($N$5,'CFS - WC'!K$28,'CFS - WC'!R$28,'CFS - WC'!Y$28)</f>
        <v>-2025.3700000000001</v>
      </c>
      <c r="L35" s="3">
        <f>CHOOSE($N$5,'CFS - WC'!L$28,'CFS - WC'!S$28,'CFS - WC'!Z$28)</f>
        <v>-2025.3700000000001</v>
      </c>
      <c r="M35" s="3">
        <f>CHOOSE($N$5,'CFS - WC'!M$28,'CFS - WC'!T$28,'CFS - WC'!AA$28)</f>
        <v>-2025.3700000000001</v>
      </c>
      <c r="N35" s="3">
        <f>CHOOSE($N$5,'CFS - WC'!N$28,'CFS - WC'!U$28,'CFS - WC'!AB$28)</f>
        <v>-2025.3700000000001</v>
      </c>
    </row>
    <row r="36" spans="2:19" ht="14.4" customHeight="1" x14ac:dyDescent="0.3">
      <c r="B36" s="56" t="s">
        <v>2493</v>
      </c>
      <c r="C36" s="3">
        <f>-'CASH FLOW STAEMENT'!C$13</f>
        <v>100</v>
      </c>
      <c r="D36" s="3">
        <f>-'CASH FLOW STAEMENT'!D$13</f>
        <v>163.69999999999999</v>
      </c>
      <c r="E36" s="3">
        <f>-'CASH FLOW STAEMENT'!E$13</f>
        <v>272.45</v>
      </c>
      <c r="F36" s="3">
        <f>-'CASH FLOW STAEMENT'!F$13</f>
        <v>241</v>
      </c>
      <c r="G36" s="3">
        <f>-'CASH FLOW STAEMENT'!G$13</f>
        <v>293</v>
      </c>
      <c r="H36" s="78"/>
      <c r="J36" s="3">
        <f>CHOOSE('CASH FLOW STAEMENT'!$N$5,'OTHER INCOME SCHEDULE'!J$51,'OTHER INCOME SCHEDULE'!Q$51,'OTHER INCOME SCHEDULE'!X$51)</f>
        <v>268</v>
      </c>
      <c r="K36" s="3">
        <f>CHOOSE('CASH FLOW STAEMENT'!$N$5,'OTHER INCOME SCHEDULE'!K$51,'OTHER INCOME SCHEDULE'!R$51,'OTHER INCOME SCHEDULE'!Y$51)</f>
        <v>268</v>
      </c>
      <c r="L36" s="3">
        <f>CHOOSE('CASH FLOW STAEMENT'!$N$5,'OTHER INCOME SCHEDULE'!L$51,'OTHER INCOME SCHEDULE'!S$51,'OTHER INCOME SCHEDULE'!Z$51)</f>
        <v>268</v>
      </c>
      <c r="M36" s="3">
        <f>CHOOSE('CASH FLOW STAEMENT'!$N$5,'OTHER INCOME SCHEDULE'!M$51,'OTHER INCOME SCHEDULE'!T$51,'OTHER INCOME SCHEDULE'!AA$51)</f>
        <v>268</v>
      </c>
      <c r="N36" s="3">
        <f>CHOOSE('CASH FLOW STAEMENT'!$N$5,'OTHER INCOME SCHEDULE'!N$51,'OTHER INCOME SCHEDULE'!U$51,'OTHER INCOME SCHEDULE'!AB$51)</f>
        <v>268</v>
      </c>
    </row>
    <row r="37" spans="2:19" ht="7.05" customHeight="1" x14ac:dyDescent="0.3">
      <c r="B37" s="56"/>
      <c r="H37" s="78"/>
    </row>
    <row r="38" spans="2:19" ht="14.4" customHeight="1" x14ac:dyDescent="0.3">
      <c r="B38" s="4" t="s">
        <v>2521</v>
      </c>
      <c r="C38" s="4">
        <f>SUM(C31:C36)</f>
        <v>-8867</v>
      </c>
      <c r="D38" s="4">
        <f t="shared" ref="D38:G38" si="8">SUM(D31:D36)</f>
        <v>2181.29</v>
      </c>
      <c r="E38" s="4">
        <f t="shared" si="8"/>
        <v>-7242.9800000000005</v>
      </c>
      <c r="F38" s="4">
        <f t="shared" si="8"/>
        <v>-8749.85</v>
      </c>
      <c r="G38" s="4">
        <f t="shared" si="8"/>
        <v>-14900</v>
      </c>
      <c r="H38" s="78"/>
      <c r="J38" s="4">
        <f t="shared" ref="J38:N38" si="9">SUM(J31:J36)</f>
        <v>-7540.4713697599991</v>
      </c>
      <c r="K38" s="4">
        <f t="shared" si="9"/>
        <v>-11600.4920495808</v>
      </c>
      <c r="L38" s="4">
        <f t="shared" si="9"/>
        <v>-11845.303375748863</v>
      </c>
      <c r="M38" s="4">
        <f t="shared" si="9"/>
        <v>-12833.150970288774</v>
      </c>
      <c r="N38" s="4">
        <f t="shared" si="9"/>
        <v>-13430.162865176371</v>
      </c>
    </row>
    <row r="39" spans="2:19" ht="7.05" customHeight="1" x14ac:dyDescent="0.3">
      <c r="B39" s="56"/>
      <c r="H39" s="78"/>
    </row>
    <row r="40" spans="2:19" ht="14.4" customHeight="1" x14ac:dyDescent="0.3">
      <c r="B40" s="1" t="s">
        <v>51</v>
      </c>
      <c r="C40" s="1"/>
      <c r="D40" s="1"/>
      <c r="E40" s="1"/>
      <c r="F40" s="1"/>
      <c r="H40" s="78"/>
      <c r="J40" s="1"/>
      <c r="K40" s="1"/>
      <c r="L40" s="1"/>
      <c r="M40" s="1"/>
      <c r="N40" s="1"/>
      <c r="O40" s="49"/>
      <c r="P40" s="49"/>
      <c r="Q40" s="49"/>
      <c r="R40" s="49"/>
      <c r="S40" s="49"/>
    </row>
    <row r="41" spans="2:19" ht="7.05" customHeight="1" x14ac:dyDescent="0.3">
      <c r="H41" s="78"/>
      <c r="O41" s="49"/>
      <c r="P41" s="49"/>
      <c r="Q41" s="49"/>
      <c r="R41" s="49"/>
      <c r="S41" s="49"/>
    </row>
    <row r="42" spans="2:19" ht="14.4" customHeight="1" x14ac:dyDescent="0.3">
      <c r="B42" s="56" t="s">
        <v>2644</v>
      </c>
      <c r="C42" s="3">
        <f>'DATA STATEMENTS'!C$126+'DATA STATEMENTS'!C$127</f>
        <v>-1169</v>
      </c>
      <c r="D42" s="3">
        <f>'DATA STATEMENTS'!D$126+'DATA STATEMENTS'!D$127</f>
        <v>-7392</v>
      </c>
      <c r="E42" s="3">
        <f>'DATA STATEMENTS'!E$126+'DATA STATEMENTS'!E$127</f>
        <v>-246</v>
      </c>
      <c r="F42" s="3">
        <f>'DATA STATEMENTS'!F$126+'DATA STATEMENTS'!F$127</f>
        <v>-629</v>
      </c>
      <c r="G42" s="3">
        <f>'DATA STATEMENTS'!G$126+'DATA STATEMENTS'!G$127</f>
        <v>6791</v>
      </c>
      <c r="H42" s="78"/>
      <c r="J42" s="3">
        <f>CHOOSE($N$5,'CFS - WC'!J$33,'CFS - WC'!Q$33,'CFS - WC'!X$33)</f>
        <v>3700</v>
      </c>
      <c r="K42" s="3">
        <f>CHOOSE($N$5,'CFS - WC'!K$33,'CFS - WC'!R$33,'CFS - WC'!Y$33)</f>
        <v>3700</v>
      </c>
      <c r="L42" s="3">
        <f>CHOOSE($N$5,'CFS - WC'!L$33,'CFS - WC'!S$33,'CFS - WC'!Z$33)</f>
        <v>3700</v>
      </c>
      <c r="M42" s="3">
        <f>CHOOSE($N$5,'CFS - WC'!M$33,'CFS - WC'!T$33,'CFS - WC'!AA$33)</f>
        <v>3700</v>
      </c>
      <c r="N42" s="3">
        <f>CHOOSE($N$5,'CFS - WC'!N$33,'CFS - WC'!U$33,'CFS - WC'!AB$33)</f>
        <v>3700</v>
      </c>
      <c r="O42" s="49"/>
      <c r="P42" s="49"/>
      <c r="Q42" s="49"/>
      <c r="R42" s="49"/>
      <c r="S42" s="49"/>
    </row>
    <row r="43" spans="2:19" ht="14.4" customHeight="1" x14ac:dyDescent="0.3">
      <c r="B43" s="56" t="s">
        <v>2514</v>
      </c>
      <c r="C43" s="3">
        <f>'DATA STATEMENTS'!C$128</f>
        <v>277</v>
      </c>
      <c r="D43" s="3">
        <f>'DATA STATEMENTS'!D$128</f>
        <v>32</v>
      </c>
      <c r="E43" s="3">
        <f>'DATA STATEMENTS'!E$128</f>
        <v>-114</v>
      </c>
      <c r="F43" s="3">
        <f>'DATA STATEMENTS'!F$128</f>
        <v>958</v>
      </c>
      <c r="G43" s="3">
        <f>'DATA STATEMENTS'!G$128</f>
        <v>2068</v>
      </c>
      <c r="H43" s="209"/>
      <c r="I43" s="49"/>
      <c r="J43" s="190">
        <f>CHOOSE($N$5,'CFS - WC'!J$34,'CFS - WC'!Q$34,'CFS - WC'!X$34)</f>
        <v>-5000</v>
      </c>
      <c r="K43" s="190">
        <f>CHOOSE($N$5,'CFS - WC'!K$34,'CFS - WC'!R$34,'CFS - WC'!Y$34)</f>
        <v>-5000</v>
      </c>
      <c r="L43" s="190">
        <f>CHOOSE($N$5,'CFS - WC'!L$34,'CFS - WC'!S$34,'CFS - WC'!Z$34)</f>
        <v>-5000</v>
      </c>
      <c r="M43" s="190">
        <f>CHOOSE($N$5,'CFS - WC'!M$34,'CFS - WC'!T$34,'CFS - WC'!AA$34)</f>
        <v>-5000</v>
      </c>
      <c r="N43" s="190">
        <f>CHOOSE($N$5,'CFS - WC'!N$34,'CFS - WC'!U$34,'CFS - WC'!AB$34)</f>
        <v>-5000</v>
      </c>
      <c r="O43" s="49"/>
      <c r="P43" s="49"/>
      <c r="Q43" s="49"/>
      <c r="R43" s="49"/>
      <c r="S43" s="49"/>
    </row>
    <row r="44" spans="2:19" ht="14.4" customHeight="1" x14ac:dyDescent="0.3">
      <c r="B44" s="56" t="s">
        <v>2517</v>
      </c>
      <c r="C44" s="3">
        <f>'DATA STATEMENTS'!C$131</f>
        <v>-1212</v>
      </c>
      <c r="D44" s="3">
        <f>'DATA STATEMENTS'!D$131</f>
        <v>-838</v>
      </c>
      <c r="E44" s="3">
        <f>'DATA STATEMENTS'!E$131</f>
        <v>-650</v>
      </c>
      <c r="F44" s="3">
        <f>'DATA STATEMENTS'!F$131</f>
        <v>-853</v>
      </c>
      <c r="G44" s="3">
        <f>'DATA STATEMENTS'!G$131</f>
        <v>-1478</v>
      </c>
      <c r="H44" s="78"/>
      <c r="J44" s="3">
        <f>-CHOOSE($N$5,'FINANCE COST SCHEDULE'!J$49,'FINANCE COST SCHEDULE'!Q$49,'FINANCE COST SCHEDULE'!X$49)</f>
        <v>-1422.5400044952921</v>
      </c>
      <c r="K44" s="3">
        <f>-CHOOSE($N$5,'FINANCE COST SCHEDULE'!K$49,'FINANCE COST SCHEDULE'!R$49,'FINANCE COST SCHEDULE'!Y$49)</f>
        <v>-996.55252583517745</v>
      </c>
      <c r="L44" s="3">
        <f>-CHOOSE($N$5,'FINANCE COST SCHEDULE'!L$49,'FINANCE COST SCHEDULE'!S$49,'FINANCE COST SCHEDULE'!Z$49)</f>
        <v>-1426.8429083201418</v>
      </c>
      <c r="M44" s="3">
        <f>-CHOOSE($N$5,'FINANCE COST SCHEDULE'!M$49,'FINANCE COST SCHEDULE'!T$49,'FINANCE COST SCHEDULE'!AA$49)</f>
        <v>-1990.5233093754453</v>
      </c>
      <c r="N44" s="3">
        <f>-CHOOSE($N$5,'FINANCE COST SCHEDULE'!N$49,'FINANCE COST SCHEDULE'!U$49,'FINANCE COST SCHEDULE'!AB$49)</f>
        <v>-2218.5772120924762</v>
      </c>
      <c r="O44" s="49"/>
      <c r="P44" s="49"/>
      <c r="Q44" s="49"/>
      <c r="R44" s="49"/>
      <c r="S44" s="49"/>
    </row>
    <row r="45" spans="2:19" ht="14.4" customHeight="1" x14ac:dyDescent="0.3">
      <c r="B45" s="56" t="s">
        <v>2519</v>
      </c>
      <c r="C45" s="3">
        <f>'DATA STATEMENTS'!C$132</f>
        <v>-374</v>
      </c>
      <c r="D45" s="3">
        <f>'DATA STATEMENTS'!D$132</f>
        <v>-1065</v>
      </c>
      <c r="E45" s="3">
        <f>'DATA STATEMENTS'!E$132</f>
        <v>-1091</v>
      </c>
      <c r="F45" s="3">
        <f>'DATA STATEMENTS'!F$132</f>
        <v>-1094</v>
      </c>
      <c r="G45" s="3">
        <f>'DATA STATEMENTS'!G$132</f>
        <v>-2011</v>
      </c>
      <c r="H45" s="78"/>
      <c r="J45" s="3">
        <f>CHOOSE($N$5,'CFS - WC'!J$35,'CFS - WC'!Q$35,'CFS - WC'!X$35)</f>
        <v>-1198.36904110917</v>
      </c>
      <c r="K45" s="3">
        <f>CHOOSE($N$5,'CFS - WC'!K$35,'CFS - WC'!R$35,'CFS - WC'!Y$35)</f>
        <v>-1367.34622012006</v>
      </c>
      <c r="L45" s="3">
        <f>CHOOSE($N$5,'CFS - WC'!L$35,'CFS - WC'!S$35,'CFS - WC'!Z$35)</f>
        <v>-1427.9072015518</v>
      </c>
      <c r="M45" s="3">
        <f>CHOOSE($N$5,'CFS - WC'!M$35,'CFS - WC'!T$35,'CFS - WC'!AA$35)</f>
        <v>-1479.75955988537</v>
      </c>
      <c r="N45" s="3">
        <f>CHOOSE($N$5,'CFS - WC'!N$35,'CFS - WC'!U$35,'CFS - WC'!AB$35)</f>
        <v>-1587.89983830702</v>
      </c>
    </row>
    <row r="46" spans="2:19" ht="7.05" customHeight="1" x14ac:dyDescent="0.3">
      <c r="B46" s="56"/>
      <c r="H46" s="78"/>
    </row>
    <row r="47" spans="2:19" ht="14.4" customHeight="1" x14ac:dyDescent="0.3">
      <c r="B47" s="4" t="s">
        <v>2522</v>
      </c>
      <c r="C47" s="4">
        <f>SUM(C42:C45)</f>
        <v>-2478</v>
      </c>
      <c r="D47" s="4">
        <f t="shared" ref="D47:G47" si="10">SUM(D42:D45)</f>
        <v>-9263</v>
      </c>
      <c r="E47" s="4">
        <f t="shared" si="10"/>
        <v>-2101</v>
      </c>
      <c r="F47" s="4">
        <f t="shared" si="10"/>
        <v>-1618</v>
      </c>
      <c r="G47" s="4">
        <f t="shared" si="10"/>
        <v>5370</v>
      </c>
      <c r="H47" s="78"/>
      <c r="J47" s="4">
        <f>SUM(J42:J45)</f>
        <v>-3920.9090456044623</v>
      </c>
      <c r="K47" s="4">
        <f t="shared" ref="K47:N47" si="11">SUM(K42:K45)</f>
        <v>-3663.8987459552372</v>
      </c>
      <c r="L47" s="4">
        <f t="shared" si="11"/>
        <v>-4154.7501098719422</v>
      </c>
      <c r="M47" s="4">
        <f t="shared" si="11"/>
        <v>-4770.2828692608146</v>
      </c>
      <c r="N47" s="4">
        <f t="shared" si="11"/>
        <v>-5106.477050399496</v>
      </c>
    </row>
    <row r="48" spans="2:19" ht="14.4" customHeight="1" x14ac:dyDescent="0.3">
      <c r="H48" s="78"/>
    </row>
    <row r="49" spans="2:14" ht="14.4" customHeight="1" x14ac:dyDescent="0.3">
      <c r="B49" s="183" t="s">
        <v>2646</v>
      </c>
      <c r="C49" s="183">
        <f>C27+C38+C47</f>
        <v>1689</v>
      </c>
      <c r="D49" s="183">
        <f t="shared" ref="D49:G49" si="12">D27+D38+D47</f>
        <v>2750.7799999999952</v>
      </c>
      <c r="E49" s="183">
        <f t="shared" si="12"/>
        <v>27.250000000002728</v>
      </c>
      <c r="F49" s="183">
        <f t="shared" si="12"/>
        <v>879.14999999999964</v>
      </c>
      <c r="G49" s="183">
        <f t="shared" si="12"/>
        <v>1546</v>
      </c>
      <c r="H49" s="198"/>
      <c r="I49" s="1"/>
      <c r="J49" s="183">
        <f>J27+J38+J47</f>
        <v>74.320467682109665</v>
      </c>
      <c r="K49" s="183">
        <f t="shared" ref="K49:N49" si="13">K27+K38+K47</f>
        <v>955.01509027481734</v>
      </c>
      <c r="L49" s="183">
        <f t="shared" si="13"/>
        <v>1598.7640230549168</v>
      </c>
      <c r="M49" s="183">
        <f t="shared" si="13"/>
        <v>1485.1482218201872</v>
      </c>
      <c r="N49" s="183">
        <f t="shared" si="13"/>
        <v>2160.8878627034856</v>
      </c>
    </row>
    <row r="50" spans="2:14" ht="14.4" customHeight="1" x14ac:dyDescent="0.3"/>
    <row r="51" spans="2:14" x14ac:dyDescent="0.3">
      <c r="B51" s="107"/>
      <c r="C51" s="107"/>
      <c r="D51" s="107"/>
      <c r="E51" s="107"/>
      <c r="F51" s="107"/>
      <c r="G51" s="107"/>
      <c r="H51" s="105"/>
      <c r="I51" s="105"/>
      <c r="J51" s="105"/>
      <c r="K51" s="105"/>
      <c r="L51" s="105"/>
      <c r="M51" s="105"/>
      <c r="N51" s="105"/>
    </row>
    <row r="53" spans="2:14" x14ac:dyDescent="0.3">
      <c r="B53" s="529" t="s">
        <v>2673</v>
      </c>
      <c r="C53" s="529"/>
      <c r="D53" s="529"/>
      <c r="E53" s="529"/>
      <c r="F53" s="529"/>
      <c r="G53" s="529"/>
      <c r="H53" s="529"/>
      <c r="I53" s="529"/>
      <c r="J53" s="529"/>
      <c r="K53" s="529"/>
      <c r="L53" s="529"/>
      <c r="M53" s="529"/>
      <c r="N53" s="529"/>
    </row>
  </sheetData>
  <mergeCells count="2">
    <mergeCell ref="K5:M5"/>
    <mergeCell ref="B53:N53"/>
  </mergeCells>
  <printOptions horizontalCentered="1" verticalCentered="1"/>
  <pageMargins left="0" right="0" top="0" bottom="0" header="0" footer="0"/>
  <pageSetup paperSize="9" scale="65" orientation="landscape" horizontalDpi="1200" verticalDpi="1200" r:id="rId1"/>
  <colBreaks count="1" manualBreakCount="1">
    <brk id="14" max="1048575"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G75"/>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3" customWidth="1"/>
    <col min="2" max="2" width="44.77734375" style="3" customWidth="1"/>
    <col min="3" max="16384" width="16.77734375" style="3"/>
  </cols>
  <sheetData>
    <row r="1" spans="2:7" ht="15.6" x14ac:dyDescent="0.4">
      <c r="B1" s="104" t="s">
        <v>342</v>
      </c>
      <c r="C1" s="105"/>
      <c r="D1" s="105"/>
      <c r="E1" s="105"/>
      <c r="F1" s="105"/>
      <c r="G1" s="105"/>
    </row>
    <row r="2" spans="2:7" ht="23.4" x14ac:dyDescent="0.45">
      <c r="B2" s="106" t="s">
        <v>341</v>
      </c>
      <c r="C2" s="105"/>
      <c r="D2" s="105"/>
      <c r="E2" s="105"/>
      <c r="F2" s="105"/>
      <c r="G2" s="105"/>
    </row>
    <row r="3" spans="2:7" x14ac:dyDescent="0.3">
      <c r="B3" s="105" t="s">
        <v>343</v>
      </c>
      <c r="C3" s="105"/>
      <c r="D3" s="105"/>
      <c r="E3" s="105"/>
      <c r="F3" s="105"/>
      <c r="G3" s="105"/>
    </row>
    <row r="5" spans="2:7" x14ac:dyDescent="0.3">
      <c r="B5" s="107" t="s">
        <v>54</v>
      </c>
      <c r="C5" s="107"/>
      <c r="D5" s="107"/>
      <c r="E5" s="107"/>
      <c r="F5" s="107"/>
      <c r="G5" s="107"/>
    </row>
    <row r="7" spans="2:7" x14ac:dyDescent="0.3">
      <c r="B7" s="107" t="s">
        <v>57</v>
      </c>
      <c r="C7" s="110">
        <v>44440</v>
      </c>
      <c r="D7" s="110">
        <f>EDATE(C7,12)</f>
        <v>44805</v>
      </c>
      <c r="E7" s="110">
        <f t="shared" ref="E7:G7" si="0">EDATE(D7,12)</f>
        <v>45170</v>
      </c>
      <c r="F7" s="110">
        <f t="shared" si="0"/>
        <v>45536</v>
      </c>
      <c r="G7" s="110">
        <f t="shared" si="0"/>
        <v>45901</v>
      </c>
    </row>
    <row r="8" spans="2:7" ht="14.4" customHeight="1" x14ac:dyDescent="0.3"/>
    <row r="9" spans="2:7" x14ac:dyDescent="0.3">
      <c r="B9" s="107" t="s">
        <v>52</v>
      </c>
      <c r="C9" s="107"/>
      <c r="D9" s="107"/>
      <c r="E9" s="107"/>
      <c r="F9" s="107"/>
      <c r="G9" s="107"/>
    </row>
    <row r="10" spans="2:7" ht="13.95" customHeight="1" x14ac:dyDescent="0.3"/>
    <row r="11" spans="2:7" x14ac:dyDescent="0.3">
      <c r="B11" s="183" t="str">
        <f>'INCOME STATEMENT'!$B$14</f>
        <v>Total Income</v>
      </c>
      <c r="C11" s="184">
        <f>'INCOME STATEMENT'!C14/'INCOME STATEMENT'!C14</f>
        <v>1</v>
      </c>
      <c r="D11" s="184">
        <f>'INCOME STATEMENT'!D14/'INCOME STATEMENT'!D14</f>
        <v>1</v>
      </c>
      <c r="E11" s="184">
        <f>'INCOME STATEMENT'!E14/'INCOME STATEMENT'!E14</f>
        <v>1</v>
      </c>
      <c r="F11" s="184">
        <f>'INCOME STATEMENT'!F14/'INCOME STATEMENT'!F14</f>
        <v>1</v>
      </c>
      <c r="G11" s="184">
        <f>'INCOME STATEMENT'!G14/'INCOME STATEMENT'!G14</f>
        <v>1</v>
      </c>
    </row>
    <row r="12" spans="2:7" ht="7.05" customHeight="1" x14ac:dyDescent="0.3">
      <c r="C12" s="49"/>
      <c r="D12" s="49"/>
      <c r="E12" s="49"/>
      <c r="F12" s="49"/>
      <c r="G12" s="49"/>
    </row>
    <row r="13" spans="2:7" x14ac:dyDescent="0.3">
      <c r="B13" s="56" t="str">
        <f>'INCOME STATEMENT'!$B$20</f>
        <v>Total Direct Expenses</v>
      </c>
      <c r="C13" s="49">
        <f>-'INCOME STATEMENT'!C20/'INCOME STATEMENT'!C14</f>
        <v>0.56002111793044285</v>
      </c>
      <c r="D13" s="49">
        <f>-'INCOME STATEMENT'!D20/'INCOME STATEMENT'!D14</f>
        <v>0.59906972084846644</v>
      </c>
      <c r="E13" s="49">
        <f>-'INCOME STATEMENT'!E20/'INCOME STATEMENT'!E14</f>
        <v>0.66227507747510084</v>
      </c>
      <c r="F13" s="49">
        <f>-'INCOME STATEMENT'!F20/'INCOME STATEMENT'!F14</f>
        <v>0.64404054526389376</v>
      </c>
      <c r="G13" s="49">
        <f>-'INCOME STATEMENT'!G20/'INCOME STATEMENT'!G14</f>
        <v>0.6464230302872267</v>
      </c>
    </row>
    <row r="14" spans="2:7" x14ac:dyDescent="0.3">
      <c r="B14" s="56" t="str">
        <f>'INCOME STATEMENT'!$B$22</f>
        <v>Gross Profit</v>
      </c>
      <c r="C14" s="49">
        <f>'INCOME STATEMENT'!C22/'INCOME STATEMENT'!C14</f>
        <v>0.43997888206955721</v>
      </c>
      <c r="D14" s="49">
        <f>'INCOME STATEMENT'!D22/'INCOME STATEMENT'!D14</f>
        <v>0.40093027915153356</v>
      </c>
      <c r="E14" s="49">
        <f>'INCOME STATEMENT'!E22/'INCOME STATEMENT'!E14</f>
        <v>0.33772492252489922</v>
      </c>
      <c r="F14" s="49">
        <f>'INCOME STATEMENT'!F22/'INCOME STATEMENT'!F14</f>
        <v>0.35595945473610624</v>
      </c>
      <c r="G14" s="49">
        <f>'INCOME STATEMENT'!G22/'INCOME STATEMENT'!G14</f>
        <v>0.3535769697127733</v>
      </c>
    </row>
    <row r="15" spans="2:7" x14ac:dyDescent="0.3">
      <c r="B15" s="56" t="str">
        <f>'INCOME STATEMENT'!$B$28</f>
        <v>Total Indirect Expenses</v>
      </c>
      <c r="C15" s="49">
        <f>-'INCOME STATEMENT'!C28/'INCOME STATEMENT'!C14</f>
        <v>0.16982335731098352</v>
      </c>
      <c r="D15" s="49">
        <f>-'INCOME STATEMENT'!D28/'INCOME STATEMENT'!D14</f>
        <v>0.17455256065908142</v>
      </c>
      <c r="E15" s="49">
        <f>-'INCOME STATEMENT'!E28/'INCOME STATEMENT'!E14</f>
        <v>0.16322859304212881</v>
      </c>
      <c r="F15" s="49">
        <f>-'INCOME STATEMENT'!F28/'INCOME STATEMENT'!F14</f>
        <v>0.16598392170569731</v>
      </c>
      <c r="G15" s="49">
        <f>-'INCOME STATEMENT'!G28/'INCOME STATEMENT'!G14</f>
        <v>0.18010665067341164</v>
      </c>
    </row>
    <row r="16" spans="2:7" x14ac:dyDescent="0.3">
      <c r="B16" s="56" t="str">
        <f>'INCOME STATEMENT'!$B$30</f>
        <v>EBITDA</v>
      </c>
      <c r="C16" s="49">
        <f>'INCOME STATEMENT'!C30/'INCOME STATEMENT'!C14</f>
        <v>0.27015552475857368</v>
      </c>
      <c r="D16" s="49">
        <f>'INCOME STATEMENT'!D30/'INCOME STATEMENT'!D14</f>
        <v>0.22637771849245214</v>
      </c>
      <c r="E16" s="49">
        <f>'INCOME STATEMENT'!E30/'INCOME STATEMENT'!E14</f>
        <v>0.17449632948277038</v>
      </c>
      <c r="F16" s="49">
        <f>'INCOME STATEMENT'!F30/'INCOME STATEMENT'!F14</f>
        <v>0.18997553303040896</v>
      </c>
      <c r="G16" s="49">
        <f>'INCOME STATEMENT'!G30/'INCOME STATEMENT'!G14</f>
        <v>0.17347031903936166</v>
      </c>
    </row>
    <row r="17" spans="2:7" x14ac:dyDescent="0.3">
      <c r="B17" s="56" t="str">
        <f>'INCOME STATEMENT'!$B$32</f>
        <v>Depreciation</v>
      </c>
      <c r="C17" s="49">
        <f>-'INCOME STATEMENT'!C32/'INCOME STATEMENT'!C14</f>
        <v>5.9394179370421699E-2</v>
      </c>
      <c r="D17" s="49">
        <f>-'INCOME STATEMENT'!D32/'INCOME STATEMENT'!D14</f>
        <v>5.1118843142778383E-2</v>
      </c>
      <c r="E17" s="49">
        <f>-'INCOME STATEMENT'!E32/'INCOME STATEMENT'!E14</f>
        <v>4.5306736137235952E-2</v>
      </c>
      <c r="F17" s="49">
        <f>-'INCOME STATEMENT'!F32/'INCOME STATEMENT'!F14</f>
        <v>4.3970639636490741E-2</v>
      </c>
      <c r="G17" s="49">
        <f>-'INCOME STATEMENT'!G32/'INCOME STATEMENT'!G14</f>
        <v>5.2334450253588703E-2</v>
      </c>
    </row>
    <row r="18" spans="2:7" x14ac:dyDescent="0.3">
      <c r="B18" s="56" t="str">
        <f>'INCOME STATEMENT'!$B$34</f>
        <v>EBIT</v>
      </c>
      <c r="C18" s="49">
        <f>'INCOME STATEMENT'!C34/'INCOME STATEMENT'!C14</f>
        <v>0.21076134538815197</v>
      </c>
      <c r="D18" s="49">
        <f>'INCOME STATEMENT'!D34/'INCOME STATEMENT'!D14</f>
        <v>0.17525887534967374</v>
      </c>
      <c r="E18" s="49">
        <f>'INCOME STATEMENT'!E34/'INCOME STATEMENT'!E14</f>
        <v>0.12918959334553443</v>
      </c>
      <c r="F18" s="49">
        <f>'INCOME STATEMENT'!F34/'INCOME STATEMENT'!F14</f>
        <v>0.1460048933939182</v>
      </c>
      <c r="G18" s="49">
        <f>'INCOME STATEMENT'!G34/'INCOME STATEMENT'!G14</f>
        <v>0.12113586878577295</v>
      </c>
    </row>
    <row r="19" spans="2:7" x14ac:dyDescent="0.3">
      <c r="B19" s="56" t="str">
        <f>'INCOME STATEMENT'!$B$36</f>
        <v>Interest</v>
      </c>
      <c r="C19" s="49">
        <f>-'INCOME STATEMENT'!C36/'INCOME STATEMENT'!C14</f>
        <v>3.2666798653731934E-2</v>
      </c>
      <c r="D19" s="49">
        <f>-'INCOME STATEMENT'!D36/'INCOME STATEMENT'!D14</f>
        <v>1.7788924322834208E-2</v>
      </c>
      <c r="E19" s="49">
        <f>-'INCOME STATEMENT'!E36/'INCOME STATEMENT'!E14</f>
        <v>1.2906816836217149E-2</v>
      </c>
      <c r="F19" s="49">
        <f>-'INCOME STATEMENT'!F36/'INCOME STATEMENT'!F14</f>
        <v>1.3533729465221951E-2</v>
      </c>
      <c r="G19" s="49">
        <f>-'INCOME STATEMENT'!G36/'INCOME STATEMENT'!G14</f>
        <v>2.1512666397215087E-2</v>
      </c>
    </row>
    <row r="20" spans="2:7" x14ac:dyDescent="0.3">
      <c r="B20" s="56" t="str">
        <f>'INCOME STATEMENT'!$B$38</f>
        <v>EBT</v>
      </c>
      <c r="C20" s="49">
        <f>'INCOME STATEMENT'!C38/'INCOME STATEMENT'!C14</f>
        <v>0.17809454673442002</v>
      </c>
      <c r="D20" s="49">
        <f>'INCOME STATEMENT'!D38/'INCOME STATEMENT'!D14</f>
        <v>0.15746995102683953</v>
      </c>
      <c r="E20" s="49">
        <f>'INCOME STATEMENT'!E38/'INCOME STATEMENT'!E14</f>
        <v>0.11628277650931727</v>
      </c>
      <c r="F20" s="49">
        <f>'INCOME STATEMENT'!F38/'INCOME STATEMENT'!F14</f>
        <v>0.13247116392869626</v>
      </c>
      <c r="G20" s="49">
        <f>'INCOME STATEMENT'!G38/'INCOME STATEMENT'!G14</f>
        <v>9.9623202388557874E-2</v>
      </c>
    </row>
    <row r="21" spans="2:7" x14ac:dyDescent="0.3">
      <c r="B21" s="56" t="str">
        <f>'INCOME STATEMENT'!$B$40</f>
        <v>Tax</v>
      </c>
      <c r="C21" s="49">
        <f>-'INCOME STATEMENT'!C40/'INCOME STATEMENT'!C14</f>
        <v>5.5830528608196393E-2</v>
      </c>
      <c r="D21" s="49">
        <f>-'INCOME STATEMENT'!D40/'INCOME STATEMENT'!D14</f>
        <v>2.240887391859097E-2</v>
      </c>
      <c r="E21" s="49">
        <f>-'INCOME STATEMENT'!E40/'INCOME STATEMENT'!E14</f>
        <v>3.6754589440795592E-2</v>
      </c>
      <c r="F21" s="49">
        <f>-'INCOME STATEMENT'!F40/'INCOME STATEMENT'!F14</f>
        <v>3.3806361412093672E-2</v>
      </c>
      <c r="G21" s="49">
        <f>-'INCOME STATEMENT'!G40/'INCOME STATEMENT'!G14</f>
        <v>1.9400513696397607E-2</v>
      </c>
    </row>
    <row r="22" spans="2:7" x14ac:dyDescent="0.3">
      <c r="B22" s="56" t="str">
        <f>'INCOME STATEMENT'!$B$42</f>
        <v>Net Profit</v>
      </c>
      <c r="C22" s="49">
        <f>'INCOME STATEMENT'!C42/'INCOME STATEMENT'!C14</f>
        <v>0.12226401812622363</v>
      </c>
      <c r="D22" s="49">
        <f>'INCOME STATEMENT'!D42/'INCOME STATEMENT'!D14</f>
        <v>0.13506107710824858</v>
      </c>
      <c r="E22" s="49">
        <f>'INCOME STATEMENT'!E42/'INCOME STATEMENT'!E14</f>
        <v>7.9528187068521689E-2</v>
      </c>
      <c r="F22" s="49">
        <f>'INCOME STATEMENT'!F42/'INCOME STATEMENT'!F14</f>
        <v>9.866480251660259E-2</v>
      </c>
      <c r="G22" s="49">
        <f>'INCOME STATEMENT'!G42/'INCOME STATEMENT'!G14</f>
        <v>8.022268869216026E-2</v>
      </c>
    </row>
    <row r="23" spans="2:7" ht="14.4" customHeight="1" x14ac:dyDescent="0.3">
      <c r="B23" s="56" t="str">
        <f>'INCOME STATEMENT'!$B$50</f>
        <v>Retained Earnings</v>
      </c>
      <c r="C23" s="49">
        <f>'INCOME STATEMENT'!C50/'INCOME STATEMENT'!C14</f>
        <v>0.11403682439120966</v>
      </c>
      <c r="D23" s="49">
        <f>'INCOME STATEMENT'!D50/'INCOME STATEMENT'!D14</f>
        <v>0.11500708762595407</v>
      </c>
      <c r="E23" s="49">
        <f>'INCOME STATEMENT'!E50/'INCOME STATEMENT'!E14</f>
        <v>6.2412598328351387E-2</v>
      </c>
      <c r="F23" s="49">
        <f>'INCOME STATEMENT'!F50/'INCOME STATEMENT'!F14</f>
        <v>8.3369451240824885E-2</v>
      </c>
      <c r="G23" s="49">
        <f>'INCOME STATEMENT'!G50/'INCOME STATEMENT'!G14</f>
        <v>5.4003311646827208E-2</v>
      </c>
    </row>
    <row r="24" spans="2:7" ht="7.05" customHeight="1" x14ac:dyDescent="0.3">
      <c r="C24" s="49"/>
      <c r="D24" s="49"/>
      <c r="E24" s="49"/>
      <c r="F24" s="49"/>
      <c r="G24" s="49"/>
    </row>
    <row r="25" spans="2:7" x14ac:dyDescent="0.3">
      <c r="B25" s="107" t="s">
        <v>53</v>
      </c>
      <c r="C25" s="124"/>
      <c r="D25" s="124"/>
      <c r="E25" s="124"/>
      <c r="F25" s="124"/>
      <c r="G25" s="124"/>
    </row>
    <row r="26" spans="2:7" ht="13.95" customHeight="1" x14ac:dyDescent="0.3">
      <c r="C26" s="49"/>
      <c r="D26" s="49"/>
      <c r="E26" s="49"/>
      <c r="F26" s="49"/>
      <c r="G26" s="49"/>
    </row>
    <row r="27" spans="2:7" x14ac:dyDescent="0.3">
      <c r="B27" s="183" t="str">
        <f>'BALANCE SHEET'!$B$38</f>
        <v>Total Assets</v>
      </c>
      <c r="C27" s="184">
        <f>'BALANCE SHEET'!C38/'BALANCE SHEET'!C38</f>
        <v>1</v>
      </c>
      <c r="D27" s="184">
        <f>'BALANCE SHEET'!D38/'BALANCE SHEET'!D38</f>
        <v>1</v>
      </c>
      <c r="E27" s="184">
        <f>'BALANCE SHEET'!E38/'BALANCE SHEET'!E38</f>
        <v>1</v>
      </c>
      <c r="F27" s="184">
        <f>'BALANCE SHEET'!F38/'BALANCE SHEET'!F38</f>
        <v>1</v>
      </c>
      <c r="G27" s="184">
        <f>'BALANCE SHEET'!G38/'BALANCE SHEET'!G38</f>
        <v>1</v>
      </c>
    </row>
    <row r="28" spans="2:7" ht="7.05" customHeight="1" x14ac:dyDescent="0.3">
      <c r="C28" s="49"/>
      <c r="D28" s="49"/>
      <c r="E28" s="49"/>
      <c r="F28" s="49"/>
      <c r="G28" s="49"/>
    </row>
    <row r="29" spans="2:7" x14ac:dyDescent="0.3">
      <c r="B29" s="56" t="s">
        <v>21</v>
      </c>
      <c r="C29" s="49">
        <f>'BALANCE SHEET'!C$13/'BALANCE SHEET'!C$38</f>
        <v>4.6563115799234958E-2</v>
      </c>
      <c r="D29" s="49">
        <f>'BALANCE SHEET'!D$13/'BALANCE SHEET'!D$38</f>
        <v>6.6591208420064482E-2</v>
      </c>
      <c r="E29" s="49">
        <f>'BALANCE SHEET'!E$13/'BALANCE SHEET'!E$38</f>
        <v>7.2981389598295116E-2</v>
      </c>
      <c r="F29" s="49">
        <f>'BALANCE SHEET'!F$13/'BALANCE SHEET'!F$38</f>
        <v>8.3834083199967796E-2</v>
      </c>
      <c r="G29" s="49">
        <f>'BALANCE SHEET'!G$13/'BALANCE SHEET'!G$38</f>
        <v>7.229097837016428E-2</v>
      </c>
    </row>
    <row r="30" spans="2:7" ht="13.95" customHeight="1" x14ac:dyDescent="0.3">
      <c r="B30" s="56" t="s">
        <v>2481</v>
      </c>
      <c r="C30" s="49">
        <f>'BALANCE SHEET'!C$14/'BALANCE SHEET'!C$38</f>
        <v>0.12626637301495305</v>
      </c>
      <c r="D30" s="49">
        <f>'BALANCE SHEET'!D$14/'BALANCE SHEET'!D$38</f>
        <v>5.9067122335779827E-2</v>
      </c>
      <c r="E30" s="49">
        <f>'BALANCE SHEET'!E$14/'BALANCE SHEET'!E$38</f>
        <v>6.4424399678970762E-2</v>
      </c>
      <c r="F30" s="49">
        <f>'BALANCE SHEET'!F$14/'BALANCE SHEET'!F$38</f>
        <v>5.5208301879195981E-2</v>
      </c>
      <c r="G30" s="49">
        <f>'BALANCE SHEET'!G$14/'BALANCE SHEET'!G$38</f>
        <v>2.1614715243704213E-2</v>
      </c>
    </row>
    <row r="31" spans="2:7" ht="13.95" customHeight="1" x14ac:dyDescent="0.3">
      <c r="B31" s="56" t="s">
        <v>465</v>
      </c>
      <c r="C31" s="49">
        <f>'BALANCE SHEET'!C$15/'BALANCE SHEET'!C$38</f>
        <v>2.2012287005911672E-2</v>
      </c>
      <c r="D31" s="49">
        <f>'BALANCE SHEET'!D$15/'BALANCE SHEET'!D$38</f>
        <v>2.2277478402942988E-2</v>
      </c>
      <c r="E31" s="49">
        <f>'BALANCE SHEET'!E$15/'BALANCE SHEET'!E$38</f>
        <v>1.5826507341209241E-2</v>
      </c>
      <c r="F31" s="49">
        <f>'BALANCE SHEET'!F$15/'BALANCE SHEET'!F$38</f>
        <v>2.3250898330162757E-2</v>
      </c>
      <c r="G31" s="49">
        <f>'BALANCE SHEET'!G$15/'BALANCE SHEET'!G$38</f>
        <v>9.8131865639482577E-3</v>
      </c>
    </row>
    <row r="32" spans="2:7" ht="13.95" customHeight="1" x14ac:dyDescent="0.3">
      <c r="B32" s="56" t="s">
        <v>22</v>
      </c>
      <c r="C32" s="49">
        <f>'BALANCE SHEET'!C$16/'BALANCE SHEET'!C$38</f>
        <v>2.9801785093311696E-2</v>
      </c>
      <c r="D32" s="49">
        <f>'BALANCE SHEET'!D$16/'BALANCE SHEET'!D$38</f>
        <v>3.655424847739721E-2</v>
      </c>
      <c r="E32" s="49">
        <f>'BALANCE SHEET'!E$16/'BALANCE SHEET'!E$38</f>
        <v>4.2684172642732672E-2</v>
      </c>
      <c r="F32" s="49">
        <f>'BALANCE SHEET'!F$16/'BALANCE SHEET'!F$38</f>
        <v>4.3059455868587129E-2</v>
      </c>
      <c r="G32" s="49">
        <f>'BALANCE SHEET'!G$16/'BALANCE SHEET'!G$38</f>
        <v>4.4529791110674295E-2</v>
      </c>
    </row>
    <row r="33" spans="2:7" ht="13.95" customHeight="1" x14ac:dyDescent="0.3">
      <c r="B33" s="56" t="s">
        <v>23</v>
      </c>
      <c r="C33" s="49">
        <f>'BALANCE SHEET'!C$17/'BALANCE SHEET'!C$38</f>
        <v>2.0516981569491132E-3</v>
      </c>
      <c r="D33" s="49">
        <f>'BALANCE SHEET'!D$17/'BALANCE SHEET'!D$38</f>
        <v>1.4345079979116685E-3</v>
      </c>
      <c r="E33" s="49">
        <f>'BALANCE SHEET'!E$17/'BALANCE SHEET'!E$38</f>
        <v>4.0881446234280923E-3</v>
      </c>
      <c r="F33" s="49">
        <f>'BALANCE SHEET'!F$17/'BALANCE SHEET'!F$38</f>
        <v>5.5661241457056294E-3</v>
      </c>
      <c r="G33" s="49">
        <f>'BALANCE SHEET'!G$17/'BALANCE SHEET'!G$38</f>
        <v>3.5306302968904748E-3</v>
      </c>
    </row>
    <row r="34" spans="2:7" ht="13.95" customHeight="1" x14ac:dyDescent="0.3">
      <c r="B34" s="56" t="s">
        <v>324</v>
      </c>
      <c r="C34" s="49">
        <f>'BALANCE SHEET'!C$18/'BALANCE SHEET'!C$38</f>
        <v>2.1212472470151848E-2</v>
      </c>
      <c r="D34" s="49">
        <f>'BALANCE SHEET'!D$18/'BALANCE SHEET'!D$38</f>
        <v>2.8399783360016635E-3</v>
      </c>
      <c r="E34" s="49">
        <f>'BALANCE SHEET'!E$18/'BALANCE SHEET'!E$38</f>
        <v>8.6010315453941676E-3</v>
      </c>
      <c r="F34" s="49">
        <f>'BALANCE SHEET'!F$18/'BALANCE SHEET'!F$38</f>
        <v>2.3049591851113729E-3</v>
      </c>
      <c r="G34" s="49">
        <f>'BALANCE SHEET'!G$18/'BALANCE SHEET'!G$38</f>
        <v>9.1176448352246527E-3</v>
      </c>
    </row>
    <row r="35" spans="2:7" ht="13.95" customHeight="1" x14ac:dyDescent="0.3">
      <c r="B35" s="56" t="s">
        <v>24</v>
      </c>
      <c r="C35" s="49">
        <f>'BALANCE SHEET'!C$19/'BALANCE SHEET'!C$38</f>
        <v>1.321432711255361E-3</v>
      </c>
      <c r="D35" s="49">
        <f>'BALANCE SHEET'!D$19/'BALANCE SHEET'!D$38</f>
        <v>8.1638666547818533E-5</v>
      </c>
      <c r="E35" s="49">
        <f>'BALANCE SHEET'!E$19/'BALANCE SHEET'!E$38</f>
        <v>7.3954610192424378E-4</v>
      </c>
      <c r="F35" s="49">
        <f>'BALANCE SHEET'!F$19/'BALANCE SHEET'!F$38</f>
        <v>9.0587915572062683E-5</v>
      </c>
      <c r="G35" s="49">
        <f>'BALANCE SHEET'!G$19/'BALANCE SHEET'!G$38</f>
        <v>7.5602361817783185E-5</v>
      </c>
    </row>
    <row r="36" spans="2:7" ht="13.95" customHeight="1" x14ac:dyDescent="0.3">
      <c r="B36" s="56" t="s">
        <v>25</v>
      </c>
      <c r="C36" s="49">
        <f>'BALANCE SHEET'!C$20/'BALANCE SHEET'!C$38</f>
        <v>1.7943665237046481E-2</v>
      </c>
      <c r="D36" s="49">
        <f>'BALANCE SHEET'!D$20/'BALANCE SHEET'!D$38</f>
        <v>1.9206983890406159E-2</v>
      </c>
      <c r="E36" s="49">
        <f>'BALANCE SHEET'!E$20/'BALANCE SHEET'!E$38</f>
        <v>2.0070177406071851E-2</v>
      </c>
      <c r="F36" s="49">
        <f>'BALANCE SHEET'!F$20/'BALANCE SHEET'!F$38</f>
        <v>1.9607251059375348E-2</v>
      </c>
      <c r="G36" s="49">
        <f>'BALANCE SHEET'!G$20/'BALANCE SHEET'!G$38</f>
        <v>1.6987850700455883E-2</v>
      </c>
    </row>
    <row r="37" spans="2:7" ht="7.05" customHeight="1" x14ac:dyDescent="0.3"/>
    <row r="38" spans="2:7" ht="13.95" customHeight="1" x14ac:dyDescent="0.3">
      <c r="B38" s="380" t="str">
        <f>'BALANCE SHEET'!$B$22</f>
        <v>Total Current Assets</v>
      </c>
      <c r="C38" s="386">
        <f>'BALANCE SHEET'!C22/'BALANCE SHEET'!C38</f>
        <v>0.26717282948881421</v>
      </c>
      <c r="D38" s="386">
        <f>'BALANCE SHEET'!D22/'BALANCE SHEET'!D38</f>
        <v>0.20805316652705186</v>
      </c>
      <c r="E38" s="386">
        <f>'BALANCE SHEET'!E22/'BALANCE SHEET'!E38</f>
        <v>0.22941536893802614</v>
      </c>
      <c r="F38" s="386">
        <f>'BALANCE SHEET'!F22/'BALANCE SHEET'!F38</f>
        <v>0.23292166158367808</v>
      </c>
      <c r="G38" s="386">
        <f>'BALANCE SHEET'!G22/'BALANCE SHEET'!G38</f>
        <v>0.17796039948287984</v>
      </c>
    </row>
    <row r="39" spans="2:7" ht="7.05" customHeight="1" x14ac:dyDescent="0.3">
      <c r="B39" s="56"/>
      <c r="C39" s="49"/>
      <c r="D39" s="49"/>
      <c r="E39" s="49"/>
      <c r="F39" s="49"/>
      <c r="G39" s="49"/>
    </row>
    <row r="40" spans="2:7" x14ac:dyDescent="0.3">
      <c r="B40" s="56" t="s">
        <v>345</v>
      </c>
      <c r="C40" s="49">
        <f>'BALANCE SHEET'!C$26/'BALANCE SHEET'!C$38</f>
        <v>0.49021676133070591</v>
      </c>
      <c r="D40" s="49">
        <f>'BALANCE SHEET'!D$26/'BALANCE SHEET'!D$38</f>
        <v>0.50687603454101038</v>
      </c>
      <c r="E40" s="49">
        <f>'BALANCE SHEET'!E$26/'BALANCE SHEET'!E$38</f>
        <v>0.51304940134846844</v>
      </c>
      <c r="F40" s="49">
        <f>'BALANCE SHEET'!F$26/'BALANCE SHEET'!F$38</f>
        <v>0.50453442844057939</v>
      </c>
      <c r="G40" s="49">
        <f>'BALANCE SHEET'!G$26/'BALANCE SHEET'!G$38</f>
        <v>0.57469135335787891</v>
      </c>
    </row>
    <row r="41" spans="2:7" ht="13.95" customHeight="1" x14ac:dyDescent="0.3">
      <c r="B41" s="56" t="s">
        <v>31</v>
      </c>
      <c r="C41" s="49">
        <f>'BALANCE SHEET'!C$27/'BALANCE SHEET'!C$38</f>
        <v>1.9473745218500059E-2</v>
      </c>
      <c r="D41" s="49">
        <f>'BALANCE SHEET'!D$27/'BALANCE SHEET'!D$38</f>
        <v>5.6852524747167066E-2</v>
      </c>
      <c r="E41" s="49">
        <f>'BALANCE SHEET'!E$27/'BALANCE SHEET'!E$38</f>
        <v>4.4537342718136572E-2</v>
      </c>
      <c r="F41" s="49">
        <f>'BALANCE SHEET'!F$27/'BALANCE SHEET'!F$38</f>
        <v>6.8263027045525462E-2</v>
      </c>
      <c r="G41" s="49">
        <f>'BALANCE SHEET'!G$27/'BALANCE SHEET'!G$38</f>
        <v>4.6782741492844233E-2</v>
      </c>
    </row>
    <row r="42" spans="2:7" ht="13.95" customHeight="1" x14ac:dyDescent="0.3">
      <c r="B42" s="56" t="s">
        <v>318</v>
      </c>
      <c r="C42" s="49">
        <f>'BALANCE SHEET'!C$28/'BALANCE SHEET'!C$38</f>
        <v>1.5463081024689927E-2</v>
      </c>
      <c r="D42" s="49">
        <f>'BALANCE SHEET'!D$28/'BALANCE SHEET'!D$38</f>
        <v>1.402614174828847E-2</v>
      </c>
      <c r="E42" s="49">
        <f>'BALANCE SHEET'!E$28/'BALANCE SHEET'!E$38</f>
        <v>1.3139195490843922E-2</v>
      </c>
      <c r="F42" s="49">
        <f>'BALANCE SHEET'!F$28/'BALANCE SHEET'!F$38</f>
        <v>9.2198367404454917E-3</v>
      </c>
      <c r="G42" s="49">
        <f>'BALANCE SHEET'!G$28/'BALANCE SHEET'!G$38</f>
        <v>6.3127972117848962E-3</v>
      </c>
    </row>
    <row r="43" spans="2:7" ht="13.95" customHeight="1" x14ac:dyDescent="0.3">
      <c r="B43" s="56" t="s">
        <v>2480</v>
      </c>
      <c r="C43" s="49">
        <f>'BALANCE SHEET'!C$29/'BALANCE SHEET'!C$38</f>
        <v>7.2087631853483256E-2</v>
      </c>
      <c r="D43" s="49">
        <f>'BALANCE SHEET'!D$29/'BALANCE SHEET'!D$38</f>
        <v>7.4381750735253771E-2</v>
      </c>
      <c r="E43" s="49">
        <f>'BALANCE SHEET'!E$29/'BALANCE SHEET'!E$38</f>
        <v>6.9862381508433422E-2</v>
      </c>
      <c r="F43" s="49">
        <f>'BALANCE SHEET'!F$29/'BALANCE SHEET'!F$38</f>
        <v>6.3864480478304189E-2</v>
      </c>
      <c r="G43" s="49">
        <f>'BALANCE SHEET'!G$29/'BALANCE SHEET'!G$38</f>
        <v>5.8070174112239269E-2</v>
      </c>
    </row>
    <row r="44" spans="2:7" ht="13.95" customHeight="1" x14ac:dyDescent="0.3">
      <c r="B44" s="56" t="s">
        <v>28</v>
      </c>
      <c r="C44" s="49">
        <f>'BALANCE SHEET'!C$30/'BALANCE SHEET'!C$38</f>
        <v>6.4576330126347517E-2</v>
      </c>
      <c r="D44" s="49">
        <f>'BALANCE SHEET'!D$30/'BALANCE SHEET'!D$38</f>
        <v>7.3879423021699336E-2</v>
      </c>
      <c r="E44" s="49">
        <f>'BALANCE SHEET'!E$30/'BALANCE SHEET'!E$38</f>
        <v>6.6636415183830747E-2</v>
      </c>
      <c r="F44" s="49">
        <f>'BALANCE SHEET'!F$30/'BALANCE SHEET'!F$38</f>
        <v>5.553039224567443E-2</v>
      </c>
      <c r="G44" s="49">
        <f>'BALANCE SHEET'!G$30/'BALANCE SHEET'!G$38</f>
        <v>7.6176939767598345E-2</v>
      </c>
    </row>
    <row r="45" spans="2:7" ht="13.95" customHeight="1" x14ac:dyDescent="0.3">
      <c r="B45" s="56" t="s">
        <v>2481</v>
      </c>
      <c r="C45" s="49">
        <f>'BALANCE SHEET'!C$31/'BALANCE SHEET'!C$38</f>
        <v>1.4547351338819984E-2</v>
      </c>
      <c r="D45" s="49">
        <f>'BALANCE SHEET'!D$31/'BALANCE SHEET'!D$38</f>
        <v>1.5973807078786428E-2</v>
      </c>
      <c r="E45" s="49">
        <f>'BALANCE SHEET'!E$31/'BALANCE SHEET'!E$38</f>
        <v>6.4499458089315315E-3</v>
      </c>
      <c r="F45" s="49">
        <f>'BALANCE SHEET'!F$31/'BALANCE SHEET'!F$38</f>
        <v>1.8067256494650279E-2</v>
      </c>
      <c r="G45" s="49">
        <f>'BALANCE SHEET'!G$31/'BALANCE SHEET'!G$38</f>
        <v>1.5097791655011303E-2</v>
      </c>
    </row>
    <row r="46" spans="2:7" ht="13.95" customHeight="1" x14ac:dyDescent="0.3">
      <c r="B46" s="56" t="s">
        <v>2482</v>
      </c>
      <c r="C46" s="49">
        <f>'BALANCE SHEET'!C$32/'BALANCE SHEET'!C$38</f>
        <v>1.9357830068389939E-3</v>
      </c>
      <c r="D46" s="49">
        <f>'BALANCE SHEET'!D$32/'BALANCE SHEET'!D$38</f>
        <v>1.1412752364337896E-4</v>
      </c>
      <c r="E46" s="49">
        <f>'BALANCE SHEET'!E$32/'BALANCE SHEET'!E$38</f>
        <v>1.0177037402599295E-4</v>
      </c>
      <c r="F46" s="49">
        <f>'BALANCE SHEET'!F$32/'BALANCE SHEET'!F$38</f>
        <v>8.0522591619611278E-5</v>
      </c>
      <c r="G46" s="49">
        <f>'BALANCE SHEET'!G$32/'BALANCE SHEET'!G$38</f>
        <v>1.209637789084531E-4</v>
      </c>
    </row>
    <row r="47" spans="2:7" ht="13.95" customHeight="1" x14ac:dyDescent="0.3">
      <c r="B47" s="56" t="s">
        <v>346</v>
      </c>
      <c r="C47" s="49">
        <f>'BALANCE SHEET'!C$33/'BALANCE SHEET'!C$38</f>
        <v>2.3148255476990842E-2</v>
      </c>
      <c r="D47" s="49">
        <f>'BALANCE SHEET'!D$33/'BALANCE SHEET'!D$38</f>
        <v>1.3209517069205191E-2</v>
      </c>
      <c r="E47" s="49">
        <f>'BALANCE SHEET'!E$33/'BALANCE SHEET'!E$38</f>
        <v>2.0763695041652451E-2</v>
      </c>
      <c r="F47" s="49">
        <f>'BALANCE SHEET'!F$33/'BALANCE SHEET'!F$38</f>
        <v>1.4665176998721705E-2</v>
      </c>
      <c r="G47" s="49">
        <f>'BALANCE SHEET'!G$33/'BALANCE SHEET'!G$38</f>
        <v>2.2174172721155808E-2</v>
      </c>
    </row>
    <row r="48" spans="2:7" ht="13.95" customHeight="1" x14ac:dyDescent="0.3">
      <c r="B48" s="56" t="s">
        <v>29</v>
      </c>
      <c r="C48" s="49">
        <f>'BALANCE SHEET'!C$34/'BALANCE SHEET'!C$38</f>
        <v>3.1378231134809323E-2</v>
      </c>
      <c r="D48" s="49">
        <f>'BALANCE SHEET'!D$34/'BALANCE SHEET'!D$38</f>
        <v>3.663350700789407E-2</v>
      </c>
      <c r="E48" s="49">
        <f>'BALANCE SHEET'!E$34/'BALANCE SHEET'!E$38</f>
        <v>3.6044483587650729E-2</v>
      </c>
      <c r="F48" s="49">
        <f>'BALANCE SHEET'!F$34/'BALANCE SHEET'!F$38</f>
        <v>3.2853217380801401E-2</v>
      </c>
      <c r="G48" s="49">
        <f>'BALANCE SHEET'!G$34/'BALANCE SHEET'!G$38</f>
        <v>2.2612666419698953E-2</v>
      </c>
    </row>
    <row r="49" spans="2:7" ht="7.05" customHeight="1" x14ac:dyDescent="0.3">
      <c r="C49" s="21"/>
      <c r="D49" s="21"/>
      <c r="E49" s="21"/>
      <c r="F49" s="21"/>
      <c r="G49" s="21"/>
    </row>
    <row r="50" spans="2:7" ht="13.95" customHeight="1" x14ac:dyDescent="0.3">
      <c r="B50" s="380" t="str">
        <f>'BALANCE SHEET'!$B$36</f>
        <v>Total Non Current Assets</v>
      </c>
      <c r="C50" s="386">
        <f>'BALANCE SHEET'!C36/'BALANCE SHEET'!C38</f>
        <v>0.73282717051118584</v>
      </c>
      <c r="D50" s="386">
        <f>'BALANCE SHEET'!D36/'BALANCE SHEET'!D38</f>
        <v>0.79194683347294814</v>
      </c>
      <c r="E50" s="386">
        <f>'BALANCE SHEET'!E36/'BALANCE SHEET'!E38</f>
        <v>0.77058463106197383</v>
      </c>
      <c r="F50" s="386">
        <f>'BALANCE SHEET'!F36/'BALANCE SHEET'!F38</f>
        <v>0.76707833841632189</v>
      </c>
      <c r="G50" s="386">
        <f>'BALANCE SHEET'!G36/'BALANCE SHEET'!G38</f>
        <v>0.82203960051712011</v>
      </c>
    </row>
    <row r="51" spans="2:7" ht="7.05" customHeight="1" x14ac:dyDescent="0.3">
      <c r="B51" s="56"/>
      <c r="C51" s="21"/>
      <c r="D51" s="21"/>
      <c r="E51" s="21"/>
      <c r="F51" s="21"/>
      <c r="G51" s="21"/>
    </row>
    <row r="52" spans="2:7" x14ac:dyDescent="0.3">
      <c r="B52" s="56" t="s">
        <v>39</v>
      </c>
      <c r="C52" s="49">
        <f>'BALANCE SHEET'!C$44/'BALANCE SHEET'!C$38</f>
        <v>4.909006607163556E-2</v>
      </c>
      <c r="D52" s="49">
        <f>'BALANCE SHEET'!D$44/'BALANCE SHEET'!D$38</f>
        <v>5.8311429139601044E-2</v>
      </c>
      <c r="E52" s="49">
        <f>'BALANCE SHEET'!E$44/'BALANCE SHEET'!E$38</f>
        <v>5.0160762973156352E-2</v>
      </c>
      <c r="F52" s="49">
        <f>'BALANCE SHEET'!F$44/'BALANCE SHEET'!F$38</f>
        <v>5.0225966522732535E-2</v>
      </c>
      <c r="G52" s="49">
        <f>'BALANCE SHEET'!G$44/'BALANCE SHEET'!G$38</f>
        <v>5.4811712317892808E-2</v>
      </c>
    </row>
    <row r="53" spans="2:7" ht="13.95" customHeight="1" x14ac:dyDescent="0.3">
      <c r="B53" s="56" t="s">
        <v>348</v>
      </c>
      <c r="C53" s="190">
        <v>0</v>
      </c>
      <c r="D53" s="49">
        <f>'BALANCE SHEET'!D$45/'BALANCE SHEET'!D$38</f>
        <v>1.4014241068033687E-3</v>
      </c>
      <c r="E53" s="49">
        <f>'BALANCE SHEET'!E$45/'BALANCE SHEET'!E$38</f>
        <v>1.6149700025751659E-3</v>
      </c>
      <c r="F53" s="49">
        <f>'BALANCE SHEET'!F$45/'BALANCE SHEET'!F$38</f>
        <v>1.6305824802971285E-3</v>
      </c>
      <c r="G53" s="49">
        <f>'BALANCE SHEET'!G$45/'BALANCE SHEET'!G$38</f>
        <v>1.5271677087192203E-3</v>
      </c>
    </row>
    <row r="54" spans="2:7" ht="13.95" customHeight="1" x14ac:dyDescent="0.3">
      <c r="B54" s="56" t="s">
        <v>34</v>
      </c>
      <c r="C54" s="49">
        <f>'BALANCE SHEET'!C$46/'BALANCE SHEET'!C$38</f>
        <v>5.3657122985974269E-2</v>
      </c>
      <c r="D54" s="49">
        <f>'BALANCE SHEET'!D$46/'BALANCE SHEET'!D$38</f>
        <v>6.9761787653544058E-2</v>
      </c>
      <c r="E54" s="49">
        <f>'BALANCE SHEET'!E$46/'BALANCE SHEET'!E$38</f>
        <v>7.9561914965223121E-2</v>
      </c>
      <c r="F54" s="49">
        <f>'BALANCE SHEET'!F$46/'BALANCE SHEET'!F$38</f>
        <v>8.533381646888305E-2</v>
      </c>
      <c r="G54" s="49">
        <f>'BALANCE SHEET'!G$46/'BALANCE SHEET'!G$38</f>
        <v>7.0506762631264597E-2</v>
      </c>
    </row>
    <row r="55" spans="2:7" ht="13.95" customHeight="1" x14ac:dyDescent="0.3">
      <c r="B55" s="56" t="s">
        <v>336</v>
      </c>
      <c r="C55" s="49">
        <f>'BALANCE SHEET'!C$47/'BALANCE SHEET'!C$38</f>
        <v>6.4657470731424596E-2</v>
      </c>
      <c r="D55" s="49">
        <f>'BALANCE SHEET'!D$47/'BALANCE SHEET'!D$38</f>
        <v>4.2944199733400953E-2</v>
      </c>
      <c r="E55" s="49">
        <f>'BALANCE SHEET'!E$47/'BALANCE SHEET'!E$38</f>
        <v>5.2800942557025908E-2</v>
      </c>
      <c r="F55" s="49">
        <f>'BALANCE SHEET'!F$47/'BALANCE SHEET'!F$38</f>
        <v>5.3607915370756209E-2</v>
      </c>
      <c r="G55" s="49">
        <f>'BALANCE SHEET'!G$47/'BALANCE SHEET'!G$38</f>
        <v>4.9534667463011543E-2</v>
      </c>
    </row>
    <row r="56" spans="2:7" ht="13.95" customHeight="1" x14ac:dyDescent="0.3">
      <c r="B56" s="56" t="s">
        <v>332</v>
      </c>
      <c r="C56" s="49">
        <f>'BALANCE SHEET'!C$48/'BALANCE SHEET'!C$38</f>
        <v>6.0391793207372202E-3</v>
      </c>
      <c r="D56" s="49">
        <f>'BALANCE SHEET'!D$48/'BALANCE SHEET'!D$38</f>
        <v>2.9511306895813466E-3</v>
      </c>
      <c r="E56" s="49">
        <f>'BALANCE SHEET'!E$48/'BALANCE SHEET'!E$38</f>
        <v>2.2564986509906442E-3</v>
      </c>
      <c r="F56" s="49">
        <f>'BALANCE SHEET'!F$48/'BALANCE SHEET'!F$38</f>
        <v>2.5867882557800122E-3</v>
      </c>
      <c r="G56" s="49">
        <f>'BALANCE SHEET'!G$48/'BALANCE SHEET'!G$38</f>
        <v>2.6460826636224115E-3</v>
      </c>
    </row>
    <row r="57" spans="2:7" ht="13.95" customHeight="1" x14ac:dyDescent="0.3">
      <c r="B57" s="56" t="s">
        <v>337</v>
      </c>
      <c r="C57" s="49">
        <f>'BALANCE SHEET'!C$49/'BALANCE SHEET'!C$38</f>
        <v>8.2415671728294886E-3</v>
      </c>
      <c r="D57" s="49">
        <f>'BALANCE SHEET'!D$49/'BALANCE SHEET'!D$38</f>
        <v>6.2751096915450773E-3</v>
      </c>
      <c r="E57" s="49">
        <f>'BALANCE SHEET'!E$49/'BALANCE SHEET'!E$38</f>
        <v>1.5082546038676497E-2</v>
      </c>
      <c r="F57" s="49">
        <f>'BALANCE SHEET'!F$49/'BALANCE SHEET'!F$38</f>
        <v>1.9959537397711145E-2</v>
      </c>
      <c r="G57" s="49">
        <f>'BALANCE SHEET'!G$49/'BALANCE SHEET'!G$38</f>
        <v>1.5037309765557077E-2</v>
      </c>
    </row>
    <row r="58" spans="2:7" ht="13.95" customHeight="1" x14ac:dyDescent="0.3">
      <c r="B58" s="56" t="s">
        <v>338</v>
      </c>
      <c r="C58" s="49">
        <f>'BALANCE SHEET'!C$50/'BALANCE SHEET'!C$38</f>
        <v>5.3320969050654921E-2</v>
      </c>
      <c r="D58" s="49">
        <f>'BALANCE SHEET'!D$50/'BALANCE SHEET'!D$38</f>
        <v>5.8205513085333456E-2</v>
      </c>
      <c r="E58" s="49">
        <f>'BALANCE SHEET'!E$50/'BALANCE SHEET'!E$38</f>
        <v>5.7148149076157902E-2</v>
      </c>
      <c r="F58" s="49">
        <f>'BALANCE SHEET'!F$50/'BALANCE SHEET'!F$38</f>
        <v>5.743273847268774E-2</v>
      </c>
      <c r="G58" s="49">
        <f>'BALANCE SHEET'!G$50/'BALANCE SHEET'!G$38</f>
        <v>5.0593100528460506E-2</v>
      </c>
    </row>
    <row r="59" spans="2:7" ht="7.05" customHeight="1" x14ac:dyDescent="0.3">
      <c r="B59" s="56"/>
      <c r="C59" s="49"/>
      <c r="D59" s="49"/>
      <c r="E59" s="49"/>
      <c r="F59" s="49"/>
      <c r="G59" s="49"/>
    </row>
    <row r="60" spans="2:7" ht="13.95" customHeight="1" x14ac:dyDescent="0.3">
      <c r="B60" s="380" t="str">
        <f>'BALANCE SHEET'!$B$52</f>
        <v>Total Current Liabilities</v>
      </c>
      <c r="C60" s="386">
        <f>'BALANCE SHEET'!C52/'BALANCE SHEET'!C38</f>
        <v>0.23500637533325605</v>
      </c>
      <c r="D60" s="386">
        <f>'BALANCE SHEET'!D52/'BALANCE SHEET'!D38</f>
        <v>0.2398505940998093</v>
      </c>
      <c r="E60" s="386">
        <f>'BALANCE SHEET'!E52/'BALANCE SHEET'!E38</f>
        <v>0.25862578426380567</v>
      </c>
      <c r="F60" s="386">
        <f>'BALANCE SHEET'!F52/'BALANCE SHEET'!F38</f>
        <v>0.27077734496884781</v>
      </c>
      <c r="G60" s="386">
        <f>'BALANCE SHEET'!G52/'BALANCE SHEET'!G38</f>
        <v>0.24465680307852816</v>
      </c>
    </row>
    <row r="61" spans="2:7" ht="7.05" customHeight="1" x14ac:dyDescent="0.3">
      <c r="B61" s="387"/>
      <c r="C61" s="229"/>
      <c r="D61" s="229"/>
      <c r="E61" s="229"/>
      <c r="F61" s="229"/>
      <c r="G61" s="229"/>
    </row>
    <row r="62" spans="2:7" x14ac:dyDescent="0.3">
      <c r="B62" s="56" t="s">
        <v>37</v>
      </c>
      <c r="C62" s="49">
        <f>'BALANCE SHEET'!C$56/'BALANCE SHEET'!C$38</f>
        <v>0.15704184536918975</v>
      </c>
      <c r="D62" s="49">
        <f>'BALANCE SHEET'!D$56/'BALANCE SHEET'!D$38</f>
        <v>6.3109307391119779E-2</v>
      </c>
      <c r="E62" s="49">
        <f>'BALANCE SHEET'!E$56/'BALANCE SHEET'!E$38</f>
        <v>5.9124061728478186E-2</v>
      </c>
      <c r="F62" s="49">
        <f>'BALANCE SHEET'!F$56/'BALANCE SHEET'!F$38</f>
        <v>5.3416674215659633E-2</v>
      </c>
      <c r="G62" s="49">
        <f>'BALANCE SHEET'!G$56/'BALANCE SHEET'!G$38</f>
        <v>0.11930052694846187</v>
      </c>
    </row>
    <row r="63" spans="2:7" ht="13.95" customHeight="1" x14ac:dyDescent="0.3">
      <c r="B63" s="56" t="s">
        <v>2483</v>
      </c>
      <c r="C63" s="190">
        <v>0</v>
      </c>
      <c r="D63" s="49">
        <f>'BALANCE SHEET'!D$57/'BALANCE SHEET'!D$52</f>
        <v>4.8535403753827956E-2</v>
      </c>
      <c r="E63" s="49">
        <f>'BALANCE SHEET'!E$57/'BALANCE SHEET'!E$52</f>
        <v>4.3133967748860552E-2</v>
      </c>
      <c r="F63" s="49">
        <f>'BALANCE SHEET'!F$57/'BALANCE SHEET'!F$52</f>
        <v>3.5015983941714374E-2</v>
      </c>
      <c r="G63" s="49">
        <f>'BALANCE SHEET'!G$57/'BALANCE SHEET'!G$52</f>
        <v>2.6822409690677049E-2</v>
      </c>
    </row>
    <row r="64" spans="2:7" ht="13.95" customHeight="1" x14ac:dyDescent="0.3">
      <c r="B64" s="56" t="s">
        <v>336</v>
      </c>
      <c r="C64" s="49">
        <f>'BALANCE SHEET'!C$58/'BALANCE SHEET'!C$38</f>
        <v>1.6819288280978322E-2</v>
      </c>
      <c r="D64" s="49">
        <f>'BALANCE SHEET'!D$58/'BALANCE SHEET'!D$38</f>
        <v>3.6116184437218614E-3</v>
      </c>
      <c r="E64" s="49">
        <f>'BALANCE SHEET'!E$58/'BALANCE SHEET'!E$38</f>
        <v>3.5303944065589567E-3</v>
      </c>
      <c r="F64" s="49">
        <f>'BALANCE SHEET'!F$58/'BALANCE SHEET'!F$38</f>
        <v>2.4156777485883382E-3</v>
      </c>
      <c r="G64" s="49">
        <f>'BALANCE SHEET'!G$58/'BALANCE SHEET'!G$38</f>
        <v>2.1697877841703773E-3</v>
      </c>
    </row>
    <row r="65" spans="2:7" ht="13.95" customHeight="1" x14ac:dyDescent="0.3">
      <c r="B65" s="56" t="s">
        <v>347</v>
      </c>
      <c r="C65" s="49">
        <f>'BALANCE SHEET'!C$59/'BALANCE SHEET'!C$38</f>
        <v>4.2309029790193577E-3</v>
      </c>
      <c r="D65" s="49">
        <f>'BALANCE SHEET'!D$59/'BALANCE SHEET'!D$38</f>
        <v>7.3527162886157732E-3</v>
      </c>
      <c r="E65" s="49">
        <f>'BALANCE SHEET'!E$59/'BALANCE SHEET'!E$38</f>
        <v>6.8900309295840635E-3</v>
      </c>
      <c r="F65" s="49">
        <f>'BALANCE SHEET'!F$59/'BALANCE SHEET'!F$38</f>
        <v>6.7437670481424444E-3</v>
      </c>
      <c r="G65" s="49">
        <f>'BALANCE SHEET'!G$59/'BALANCE SHEET'!G$38</f>
        <v>6.7437306741462604E-3</v>
      </c>
    </row>
    <row r="66" spans="2:7" ht="13.95" customHeight="1" x14ac:dyDescent="0.3">
      <c r="B66" s="56" t="s">
        <v>333</v>
      </c>
      <c r="C66" s="49">
        <f>'BALANCE SHEET'!C$60/'BALANCE SHEET'!C$38</f>
        <v>7.0012750666512108E-2</v>
      </c>
      <c r="D66" s="49">
        <f>'BALANCE SHEET'!D$60/'BALANCE SHEET'!D$38</f>
        <v>7.8362171260071389E-2</v>
      </c>
      <c r="E66" s="49">
        <f>'BALANCE SHEET'!E$60/'BALANCE SHEET'!E$38</f>
        <v>7.3787936369453383E-2</v>
      </c>
      <c r="F66" s="49">
        <f>'BALANCE SHEET'!F$60/'BALANCE SHEET'!F$38</f>
        <v>6.4891143521454239E-2</v>
      </c>
      <c r="G66" s="49">
        <f>'BALANCE SHEET'!G$60/'BALANCE SHEET'!G$38</f>
        <v>7.2419502385254519E-2</v>
      </c>
    </row>
    <row r="67" spans="2:7" ht="13.95" customHeight="1" x14ac:dyDescent="0.3">
      <c r="B67" s="56" t="s">
        <v>2484</v>
      </c>
      <c r="C67" s="49">
        <f>'BALANCE SHEET'!C$61/'BALANCE SHEET'!C$38</f>
        <v>5.7957575055059697E-5</v>
      </c>
      <c r="D67" s="49">
        <f>'BALANCE SHEET'!D$61/'BALANCE SHEET'!D$38</f>
        <v>7.176110193634777E-5</v>
      </c>
      <c r="E67" s="49">
        <f>'BALANCE SHEET'!E$61/'BALANCE SHEET'!E$38</f>
        <v>4.1723645750352855E-5</v>
      </c>
      <c r="F67" s="49">
        <f>'BALANCE SHEET'!F$61/'BALANCE SHEET'!F$38</f>
        <v>3.0195971857354228E-5</v>
      </c>
      <c r="G67" s="49">
        <f>'BALANCE SHEET'!G$61/'BALANCE SHEET'!G$38</f>
        <v>2.2680708545334957E-4</v>
      </c>
    </row>
    <row r="68" spans="2:7" ht="7.05" customHeight="1" x14ac:dyDescent="0.3">
      <c r="B68" s="56"/>
      <c r="C68" s="49"/>
      <c r="D68" s="49"/>
      <c r="E68" s="49"/>
      <c r="F68" s="49"/>
      <c r="G68" s="49"/>
    </row>
    <row r="69" spans="2:7" ht="13.95" customHeight="1" x14ac:dyDescent="0.3">
      <c r="B69" s="380" t="str">
        <f>'BALANCE SHEET'!$B$63</f>
        <v>Total Non Current Liabilities</v>
      </c>
      <c r="C69" s="386">
        <f>'BALANCE SHEET'!C63/'BALANCE SHEET'!C38</f>
        <v>0.2481627448707546</v>
      </c>
      <c r="D69" s="386">
        <f>'BALANCE SHEET'!D63/'BALANCE SHEET'!D38</f>
        <v>0.16414881991069491</v>
      </c>
      <c r="E69" s="386">
        <f>'BALANCE SHEET'!E63/'BALANCE SHEET'!E38</f>
        <v>0.15452970331728369</v>
      </c>
      <c r="F69" s="386">
        <f>'BALANCE SHEET'!F63/'BALANCE SHEET'!F38</f>
        <v>0.13697899366891123</v>
      </c>
      <c r="G69" s="386">
        <f>'BALANCE SHEET'!G63/'BALANCE SHEET'!G38</f>
        <v>0.20742263988326995</v>
      </c>
    </row>
    <row r="70" spans="2:7" ht="13.95" customHeight="1" x14ac:dyDescent="0.3">
      <c r="B70" s="56"/>
      <c r="C70" s="49"/>
      <c r="D70" s="49"/>
      <c r="E70" s="49"/>
      <c r="F70" s="49"/>
      <c r="G70" s="49"/>
    </row>
    <row r="71" spans="2:7" x14ac:dyDescent="0.3">
      <c r="B71" s="380" t="str">
        <f>'BALANCE SHEET'!$B$65</f>
        <v>Total Liabilities</v>
      </c>
      <c r="C71" s="386">
        <f>'BALANCE SHEET'!C65/'BALANCE SHEET'!C38</f>
        <v>0.48316912020401065</v>
      </c>
      <c r="D71" s="386">
        <f>'BALANCE SHEET'!D65/'BALANCE SHEET'!D38</f>
        <v>0.40399941401050427</v>
      </c>
      <c r="E71" s="386">
        <f>'BALANCE SHEET'!E65/'BALANCE SHEET'!E38</f>
        <v>0.41315548758108939</v>
      </c>
      <c r="F71" s="386">
        <f>'BALANCE SHEET'!F65/'BALANCE SHEET'!F38</f>
        <v>0.40775633863775906</v>
      </c>
      <c r="G71" s="386">
        <f>'BALANCE SHEET'!G65/'BALANCE SHEET'!G38</f>
        <v>0.45207944296179814</v>
      </c>
    </row>
    <row r="72" spans="2:7" x14ac:dyDescent="0.3">
      <c r="B72" s="56"/>
      <c r="C72" s="49"/>
      <c r="D72" s="49"/>
      <c r="E72" s="49"/>
      <c r="F72" s="49"/>
      <c r="G72" s="49"/>
    </row>
    <row r="73" spans="2:7" x14ac:dyDescent="0.3">
      <c r="B73" s="380" t="str">
        <f>'BALANCE SHEET'!$B$72</f>
        <v>Total Equity</v>
      </c>
      <c r="C73" s="386">
        <f>'BALANCE SHEET'!C72/'BALANCE SHEET'!C38</f>
        <v>0.51204358409644135</v>
      </c>
      <c r="D73" s="386">
        <f>'BALANCE SHEET'!D72/'BALANCE SHEET'!D38</f>
        <v>0.60021402183370187</v>
      </c>
      <c r="E73" s="386">
        <f>'BALANCE SHEET'!E72/'BALANCE SHEET'!E38</f>
        <v>0.59963435516160679</v>
      </c>
      <c r="F73" s="386">
        <f>'BALANCE SHEET'!F72/'BALANCE SHEET'!F38</f>
        <v>0.60619420036033855</v>
      </c>
      <c r="G73" s="386">
        <f>'BALANCE SHEET'!G72/'BALANCE SHEET'!G38</f>
        <v>0.53454649923263597</v>
      </c>
    </row>
    <row r="75" spans="2:7" x14ac:dyDescent="0.3">
      <c r="B75" s="107"/>
      <c r="C75" s="107"/>
      <c r="D75" s="107"/>
      <c r="E75" s="107"/>
      <c r="F75" s="107"/>
      <c r="G75" s="107"/>
    </row>
  </sheetData>
  <printOptions horizontalCentered="1" verticalCentered="1"/>
  <pageMargins left="0" right="0" top="0" bottom="0" header="0" footer="0"/>
  <pageSetup paperSize="9" scale="57" orientation="landscape" horizontalDpi="1200" verticalDpi="1200" r:id="rId1"/>
  <colBreaks count="1" manualBreakCount="1">
    <brk id="7" max="1048575" man="1"/>
  </col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workbookViewId="0"/>
  </sheetViews>
  <sheetFormatPr defaultRowHeight="14.4" x14ac:dyDescent="0.3"/>
  <cols>
    <col min="1" max="16384" width="8.88671875" style="53"/>
  </cols>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G36"/>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3" customWidth="1"/>
    <col min="2" max="2" width="44.77734375" style="3" customWidth="1"/>
    <col min="3" max="16384" width="16.77734375" style="3"/>
  </cols>
  <sheetData>
    <row r="1" spans="2:7" ht="15.6" x14ac:dyDescent="0.4">
      <c r="B1" s="104" t="s">
        <v>342</v>
      </c>
      <c r="C1" s="105"/>
      <c r="D1" s="105"/>
      <c r="E1" s="105"/>
      <c r="F1" s="105"/>
      <c r="G1" s="105"/>
    </row>
    <row r="2" spans="2:7" ht="23.4" x14ac:dyDescent="0.45">
      <c r="B2" s="106" t="s">
        <v>341</v>
      </c>
      <c r="C2" s="105"/>
      <c r="D2" s="105"/>
      <c r="E2" s="105"/>
      <c r="F2" s="105"/>
      <c r="G2" s="105"/>
    </row>
    <row r="3" spans="2:7" x14ac:dyDescent="0.3">
      <c r="B3" s="105" t="s">
        <v>343</v>
      </c>
      <c r="C3" s="105"/>
      <c r="D3" s="105"/>
      <c r="E3" s="105"/>
      <c r="F3" s="105"/>
      <c r="G3" s="105"/>
    </row>
    <row r="5" spans="2:7" x14ac:dyDescent="0.3">
      <c r="B5" s="107" t="s">
        <v>56</v>
      </c>
      <c r="C5" s="107"/>
      <c r="D5" s="107"/>
      <c r="E5" s="107"/>
      <c r="F5" s="107"/>
      <c r="G5" s="107"/>
    </row>
    <row r="7" spans="2:7" x14ac:dyDescent="0.3">
      <c r="B7" s="107" t="s">
        <v>1</v>
      </c>
      <c r="C7" s="110">
        <v>44440</v>
      </c>
      <c r="D7" s="110">
        <f>EDATE(C7,12)</f>
        <v>44805</v>
      </c>
      <c r="E7" s="110">
        <f t="shared" ref="E7:G7" si="0">EDATE(D7,12)</f>
        <v>45170</v>
      </c>
      <c r="F7" s="110">
        <f t="shared" si="0"/>
        <v>45536</v>
      </c>
      <c r="G7" s="110">
        <f t="shared" si="0"/>
        <v>45901</v>
      </c>
    </row>
    <row r="8" spans="2:7" ht="13.95" customHeight="1" x14ac:dyDescent="0.3"/>
    <row r="9" spans="2:7" x14ac:dyDescent="0.3">
      <c r="B9" s="183" t="str">
        <f>'COMMON SIZE STATEMENT'!$B$11</f>
        <v>Total Income</v>
      </c>
      <c r="C9" s="183">
        <v>0</v>
      </c>
      <c r="D9" s="377">
        <f>('INCOME STATEMENT'!D14/'INCOME STATEMENT'!C14)-1</f>
        <v>0.16823159330385629</v>
      </c>
      <c r="E9" s="377">
        <f>('INCOME STATEMENT'!E14/'INCOME STATEMENT'!D14)-1</f>
        <v>0.20028418291949945</v>
      </c>
      <c r="F9" s="377">
        <f>('INCOME STATEMENT'!F14/'INCOME STATEMENT'!E14)-1</f>
        <v>0.12208293734251208</v>
      </c>
      <c r="G9" s="377">
        <f>('INCOME STATEMENT'!G14/'INCOME STATEMENT'!F14)-1</f>
        <v>7.2338343236630465E-2</v>
      </c>
    </row>
    <row r="10" spans="2:7" ht="7.05" customHeight="1" x14ac:dyDescent="0.3">
      <c r="D10" s="378"/>
      <c r="E10" s="378"/>
      <c r="F10" s="378"/>
      <c r="G10" s="378"/>
    </row>
    <row r="11" spans="2:7" x14ac:dyDescent="0.3">
      <c r="B11" s="56" t="str">
        <f>'COMMON SIZE STATEMENT'!$B$13</f>
        <v>Total Direct Expenses</v>
      </c>
      <c r="C11" s="3">
        <v>0</v>
      </c>
      <c r="D11" s="378">
        <f>('INCOME STATEMENT'!D20/'INCOME STATEMENT'!C20)-1</f>
        <v>0.2496888993636579</v>
      </c>
      <c r="E11" s="378">
        <f>('INCOME STATEMENT'!E20/'INCOME STATEMENT'!D20)-1</f>
        <v>0.32692117890602357</v>
      </c>
      <c r="F11" s="378">
        <f>('INCOME STATEMENT'!F20/'INCOME STATEMENT'!E20)-1</f>
        <v>9.1188437216335849E-2</v>
      </c>
      <c r="G11" s="378">
        <f>('INCOME STATEMENT'!G20/'INCOME STATEMENT'!F20)-1</f>
        <v>7.6305220883534197E-2</v>
      </c>
    </row>
    <row r="12" spans="2:7" x14ac:dyDescent="0.3">
      <c r="B12" s="56" t="str">
        <f>'COMMON SIZE STATEMENT'!$B$14</f>
        <v>Gross Profit</v>
      </c>
      <c r="C12" s="3">
        <v>0</v>
      </c>
      <c r="D12" s="378">
        <f>('INCOME STATEMENT'!D22/'INCOME STATEMENT'!C22)-1</f>
        <v>6.4549772511374393E-2</v>
      </c>
      <c r="E12" s="378">
        <f>('INCOME STATEMENT'!E22/'INCOME STATEMENT'!D22)-1</f>
        <v>1.1063278987566427E-2</v>
      </c>
      <c r="F12" s="378">
        <f>('INCOME STATEMENT'!F22/'INCOME STATEMENT'!E22)-1</f>
        <v>0.18266673231876052</v>
      </c>
      <c r="G12" s="378">
        <f>('INCOME STATEMENT'!G22/'INCOME STATEMENT'!F22)-1</f>
        <v>6.5161036920659887E-2</v>
      </c>
    </row>
    <row r="13" spans="2:7" x14ac:dyDescent="0.3">
      <c r="B13" s="56" t="str">
        <f>'COMMON SIZE STATEMENT'!$B$15</f>
        <v>Total Indirect Expenses</v>
      </c>
      <c r="C13" s="3">
        <v>0</v>
      </c>
      <c r="D13" s="378">
        <f>('INCOME STATEMENT'!D28/'INCOME STATEMENT'!C28)-1</f>
        <v>0.20076424870466325</v>
      </c>
      <c r="E13" s="378">
        <f>('INCOME STATEMENT'!E28/'INCOME STATEMENT'!D28)-1</f>
        <v>0.12241663879869269</v>
      </c>
      <c r="F13" s="378">
        <f>('INCOME STATEMENT'!F28/'INCOME STATEMENT'!E28)-1</f>
        <v>0.14102390364345307</v>
      </c>
      <c r="G13" s="378">
        <f>('INCOME STATEMENT'!G28/'INCOME STATEMENT'!F28)-1</f>
        <v>0.16357816711590289</v>
      </c>
    </row>
    <row r="14" spans="2:7" x14ac:dyDescent="0.3">
      <c r="B14" s="56" t="str">
        <f>'COMMON SIZE STATEMENT'!$B$16</f>
        <v>EBITDA</v>
      </c>
      <c r="C14" s="3">
        <v>0</v>
      </c>
      <c r="D14" s="378">
        <f>('INCOME STATEMENT'!D30/'INCOME STATEMENT'!C30)-1</f>
        <v>-2.1076459571696238E-2</v>
      </c>
      <c r="E14" s="378">
        <f>('INCOME STATEMENT'!E30/'INCOME STATEMENT'!D30)-1</f>
        <v>-7.4797706901255312E-2</v>
      </c>
      <c r="F14" s="378">
        <f>('INCOME STATEMENT'!F30/'INCOME STATEMENT'!E30)-1</f>
        <v>0.22162056220797921</v>
      </c>
      <c r="G14" s="378">
        <f>('INCOME STATEMENT'!G30/'INCOME STATEMENT'!F30)-1</f>
        <v>-2.0827200471003837E-2</v>
      </c>
    </row>
    <row r="15" spans="2:7" x14ac:dyDescent="0.3">
      <c r="B15" s="56" t="str">
        <f>'COMMON SIZE STATEMENT'!$B$17</f>
        <v>Depreciation</v>
      </c>
      <c r="C15" s="3">
        <v>0</v>
      </c>
      <c r="D15" s="378">
        <f>('INCOME STATEMENT'!D32/'INCOME STATEMENT'!C32)-1</f>
        <v>5.4629629629630028E-3</v>
      </c>
      <c r="E15" s="378">
        <f>('INCOME STATEMENT'!E32/'INCOME STATEMENT'!D32)-1</f>
        <v>6.3814347545814387E-2</v>
      </c>
      <c r="F15" s="378">
        <f>('INCOME STATEMENT'!F32/'INCOME STATEMENT'!E32)-1</f>
        <v>8.8992690417903253E-2</v>
      </c>
      <c r="G15" s="378">
        <f>('INCOME STATEMENT'!G32/'INCOME STATEMENT'!F32)-1</f>
        <v>0.27631160572337032</v>
      </c>
    </row>
    <row r="16" spans="2:7" x14ac:dyDescent="0.3">
      <c r="B16" s="56" t="str">
        <f>'INCOME STATEMENT'!$B$34</f>
        <v>EBIT</v>
      </c>
      <c r="C16" s="3">
        <v>0</v>
      </c>
      <c r="D16" s="378">
        <f>('INCOME STATEMENT'!D34/'INCOME STATEMENT'!C34)-1</f>
        <v>-2.8555474376370071E-2</v>
      </c>
      <c r="E16" s="378">
        <f>('INCOME STATEMENT'!E34/'INCOME STATEMENT'!D34)-1</f>
        <v>-0.11522754450486183</v>
      </c>
      <c r="F16" s="378">
        <f>('INCOME STATEMENT'!F34/'INCOME STATEMENT'!E34)-1</f>
        <v>0.26813310115192057</v>
      </c>
      <c r="G16" s="378">
        <f>('INCOME STATEMENT'!G34/'INCOME STATEMENT'!F34)-1</f>
        <v>-0.11031312841137608</v>
      </c>
    </row>
    <row r="17" spans="2:7" x14ac:dyDescent="0.3">
      <c r="B17" s="56" t="str">
        <f>'COMMON SIZE STATEMENT'!$B$19</f>
        <v>Interest</v>
      </c>
      <c r="C17" s="3">
        <v>0</v>
      </c>
      <c r="D17" s="378">
        <f>('INCOME STATEMENT'!D36/'INCOME STATEMENT'!C36)-1</f>
        <v>-0.36383164983164984</v>
      </c>
      <c r="E17" s="378">
        <f>('INCOME STATEMENT'!E36/'INCOME STATEMENT'!D36)-1</f>
        <v>-0.12912957415503168</v>
      </c>
      <c r="F17" s="378">
        <f>('INCOME STATEMENT'!F36/'INCOME STATEMENT'!E36)-1</f>
        <v>0.17658498638662001</v>
      </c>
      <c r="G17" s="378">
        <f>('INCOME STATEMENT'!G36/'INCOME STATEMENT'!F36)-1</f>
        <v>0.70454545454545459</v>
      </c>
    </row>
    <row r="18" spans="2:7" x14ac:dyDescent="0.3">
      <c r="B18" s="56" t="str">
        <f>'COMMON SIZE STATEMENT'!$B$20</f>
        <v>EBT</v>
      </c>
      <c r="C18" s="3">
        <v>0</v>
      </c>
      <c r="D18" s="378">
        <f>('INCOME STATEMENT'!D38/'INCOME STATEMENT'!C38)-1</f>
        <v>3.2942193675888909E-2</v>
      </c>
      <c r="E18" s="378">
        <f>('INCOME STATEMENT'!E38/'INCOME STATEMENT'!D38)-1</f>
        <v>-0.11365707247659196</v>
      </c>
      <c r="F18" s="378">
        <f>('INCOME STATEMENT'!F38/'INCOME STATEMENT'!E38)-1</f>
        <v>0.27829449206850265</v>
      </c>
      <c r="G18" s="378">
        <f>('INCOME STATEMENT'!G38/'INCOME STATEMENT'!F38)-1</f>
        <v>-0.19356200527704481</v>
      </c>
    </row>
    <row r="19" spans="2:7" x14ac:dyDescent="0.3">
      <c r="B19" s="56" t="str">
        <f>'COMMON SIZE STATEMENT'!$B$21</f>
        <v>Tax</v>
      </c>
      <c r="C19" s="3">
        <v>0</v>
      </c>
      <c r="D19" s="378">
        <f>('INCOME STATEMENT'!D40/'INCOME STATEMENT'!C40)-1</f>
        <v>-0.53110323089046496</v>
      </c>
      <c r="E19" s="378">
        <f>('INCOME STATEMENT'!E40/'INCOME STATEMENT'!D40)-1</f>
        <v>0.96868225131505969</v>
      </c>
      <c r="F19" s="378">
        <f>('INCOME STATEMENT'!F40/'INCOME STATEMENT'!E40)-1</f>
        <v>3.2076317305845592E-2</v>
      </c>
      <c r="G19" s="378">
        <f>('INCOME STATEMENT'!G40/'INCOME STATEMENT'!F40)-1</f>
        <v>-0.38461538461538458</v>
      </c>
    </row>
    <row r="20" spans="2:7" x14ac:dyDescent="0.3">
      <c r="B20" s="56" t="str">
        <f>'COMMON SIZE STATEMENT'!$B$22</f>
        <v>Net Profit</v>
      </c>
      <c r="C20" s="3">
        <v>0</v>
      </c>
      <c r="D20" s="378">
        <f>('INCOME STATEMENT'!D42/'INCOME STATEMENT'!C42)-1</f>
        <v>0.29050737675422766</v>
      </c>
      <c r="E20" s="378">
        <f>('INCOME STATEMENT'!E42/'INCOME STATEMENT'!D42)-1</f>
        <v>-0.29323512681523056</v>
      </c>
      <c r="F20" s="378">
        <f>('INCOME STATEMENT'!F42/'INCOME STATEMENT'!E42)-1</f>
        <v>0.39208619611509832</v>
      </c>
      <c r="G20" s="378">
        <f>('INCOME STATEMENT'!G42/'INCOME STATEMENT'!F42)-1</f>
        <v>-0.12809975910443527</v>
      </c>
    </row>
    <row r="21" spans="2:7" x14ac:dyDescent="0.3">
      <c r="B21" s="56" t="s">
        <v>225</v>
      </c>
      <c r="C21" s="3">
        <v>0</v>
      </c>
      <c r="D21" s="378">
        <f>('INCOME STATEMENT'!D45/'INCOME STATEMENT'!C45)-1</f>
        <v>0.3150583637035862</v>
      </c>
      <c r="E21" s="378">
        <f>('INCOME STATEMENT'!E45/'INCOME STATEMENT'!D45)-1</f>
        <v>-0.29496345087958875</v>
      </c>
      <c r="F21" s="378">
        <f>('INCOME STATEMENT'!F45/'INCOME STATEMENT'!E45)-1</f>
        <v>0.38355930272302619</v>
      </c>
      <c r="G21" s="378">
        <f>('INCOME STATEMENT'!G45/'INCOME STATEMENT'!F45)-1</f>
        <v>-0.15539177337670362</v>
      </c>
    </row>
    <row r="22" spans="2:7" x14ac:dyDescent="0.3">
      <c r="B22" s="56" t="s">
        <v>177</v>
      </c>
      <c r="C22" s="3">
        <v>0</v>
      </c>
      <c r="D22" s="378">
        <f>('INCOME STATEMENT'!D47/'INCOME STATEMENT'!C47)-1</f>
        <v>1.9017670298201685</v>
      </c>
      <c r="E22" s="378">
        <f>('INCOME STATEMENT'!E47/'INCOME STATEMENT'!D47)-1</f>
        <v>2.1908043831464719E-2</v>
      </c>
      <c r="F22" s="378">
        <f>('INCOME STATEMENT'!F47/'INCOME STATEMENT'!E47)-1</f>
        <v>-3.3923347289961381E-3</v>
      </c>
      <c r="G22" s="378">
        <f>('INCOME STATEMENT'!G47/'INCOME STATEMENT'!F47)-1</f>
        <v>0.7806692464295284</v>
      </c>
    </row>
    <row r="23" spans="2:7" x14ac:dyDescent="0.3">
      <c r="B23" s="56" t="str">
        <f>'COMMON SIZE STATEMENT'!$B$23</f>
        <v>Retained Earnings</v>
      </c>
      <c r="C23" s="3">
        <v>0</v>
      </c>
      <c r="D23" s="378">
        <f>('INCOME STATEMENT'!D50/'INCOME STATEMENT'!C50)-1</f>
        <v>0.1781712962962958</v>
      </c>
      <c r="E23" s="378">
        <f>('INCOME STATEMENT'!E50/'INCOME STATEMENT'!D50)-1</f>
        <v>-0.34862401844247459</v>
      </c>
      <c r="F23" s="378">
        <f>('INCOME STATEMENT'!F50/'INCOME STATEMENT'!E50)-1</f>
        <v>0.49885505873008196</v>
      </c>
      <c r="G23" s="378">
        <f>('INCOME STATEMENT'!G50/'INCOME STATEMENT'!F50)-1</f>
        <v>-0.3053831963776622</v>
      </c>
    </row>
    <row r="24" spans="2:7" ht="7.05" customHeight="1" x14ac:dyDescent="0.3">
      <c r="D24" s="378"/>
      <c r="E24" s="378"/>
      <c r="F24" s="378"/>
      <c r="G24" s="378"/>
    </row>
    <row r="25" spans="2:7" x14ac:dyDescent="0.3">
      <c r="B25" s="183" t="str">
        <f>'COMMON SIZE STATEMENT'!$B$27</f>
        <v>Total Assets</v>
      </c>
      <c r="C25" s="183">
        <v>0</v>
      </c>
      <c r="D25" s="377">
        <f>('BALANCE SHEET'!D38/'BALANCE SHEET'!C38)-1</f>
        <v>-2.597878752752969E-2</v>
      </c>
      <c r="E25" s="377">
        <f>('BALANCE SHEET'!E38/'BALANCE SHEET'!D38)-1</f>
        <v>7.8155337437243011E-2</v>
      </c>
      <c r="F25" s="377">
        <f>('BALANCE SHEET'!F38/'BALANCE SHEET'!E38)-1</f>
        <v>9.6636489138441029E-2</v>
      </c>
      <c r="G25" s="377">
        <f>('BALANCE SHEET'!G38/'BALANCE SHEET'!F38)-1</f>
        <v>0.33135046451470052</v>
      </c>
    </row>
    <row r="26" spans="2:7" ht="7.05" customHeight="1" x14ac:dyDescent="0.3">
      <c r="D26" s="378"/>
      <c r="E26" s="378"/>
      <c r="F26" s="378"/>
      <c r="G26" s="378"/>
    </row>
    <row r="27" spans="2:7" x14ac:dyDescent="0.3">
      <c r="B27" s="56" t="str">
        <f>'COMMON SIZE STATEMENT'!$B$38</f>
        <v>Total Current Assets</v>
      </c>
      <c r="C27" s="3">
        <v>0</v>
      </c>
      <c r="D27" s="378">
        <f>('BALANCE SHEET'!D22/'BALANCE SHEET'!C22)-1</f>
        <v>-0.24150895917393367</v>
      </c>
      <c r="E27" s="378">
        <f>('BALANCE SHEET'!E22/'BALANCE SHEET'!D22)-1</f>
        <v>0.18885671696088524</v>
      </c>
      <c r="F27" s="378">
        <f>('BALANCE SHEET'!F22/'BALANCE SHEET'!E22)-1</f>
        <v>0.11339704216772994</v>
      </c>
      <c r="G27" s="378">
        <f>('BALANCE SHEET'!G22/'BALANCE SHEET'!F22)-1</f>
        <v>1.7198911023724062E-2</v>
      </c>
    </row>
    <row r="28" spans="2:7" x14ac:dyDescent="0.3">
      <c r="B28" s="56" t="str">
        <f>'COMMON SIZE STATEMENT'!$B$50</f>
        <v>Total Non Current Assets</v>
      </c>
      <c r="C28" s="3">
        <v>0</v>
      </c>
      <c r="D28" s="378">
        <f>('BALANCE SHEET'!D36/'BALANCE SHEET'!C36)-1</f>
        <v>5.2598820012337733E-2</v>
      </c>
      <c r="E28" s="378">
        <f>('BALANCE SHEET'!E36/'BALANCE SHEET'!D36)-1</f>
        <v>4.9072864251758386E-2</v>
      </c>
      <c r="F28" s="378">
        <f>('BALANCE SHEET'!F36/'BALANCE SHEET'!E36)-1</f>
        <v>9.16466044433355E-2</v>
      </c>
      <c r="G28" s="378">
        <f>('BALANCE SHEET'!G36/'BALANCE SHEET'!F36)-1</f>
        <v>0.4267418973887942</v>
      </c>
    </row>
    <row r="29" spans="2:7" x14ac:dyDescent="0.3">
      <c r="B29" s="56" t="str">
        <f>'COMMON SIZE STATEMENT'!$B$60</f>
        <v>Total Current Liabilities</v>
      </c>
      <c r="C29" s="3">
        <v>0</v>
      </c>
      <c r="D29" s="378">
        <f>('BALANCE SHEET'!D52/'BALANCE SHEET'!C52)-1</f>
        <v>-5.9011541876294871E-3</v>
      </c>
      <c r="E29" s="378">
        <f>('BALANCE SHEET'!E52/'BALANCE SHEET'!D52)-1</f>
        <v>0.16255192424864906</v>
      </c>
      <c r="F29" s="378">
        <f>('BALANCE SHEET'!F52/'BALANCE SHEET'!E52)-1</f>
        <v>0.14816207428867223</v>
      </c>
      <c r="G29" s="378">
        <f>('BALANCE SHEET'!G52/'BALANCE SHEET'!F52)-1</f>
        <v>0.20292171585755714</v>
      </c>
    </row>
    <row r="30" spans="2:7" x14ac:dyDescent="0.3">
      <c r="B30" s="56" t="str">
        <f>'COMMON SIZE STATEMENT'!$B$69</f>
        <v>Total Non Current Liabilities</v>
      </c>
      <c r="C30" s="3">
        <v>0</v>
      </c>
      <c r="D30" s="378">
        <f>('BALANCE SHEET'!D63/'BALANCE SHEET'!C63)-1</f>
        <v>-0.35572749778130686</v>
      </c>
      <c r="E30" s="378">
        <f>('BALANCE SHEET'!E63/'BALANCE SHEET'!D63)-1</f>
        <v>1.4975462600130385E-2</v>
      </c>
      <c r="F30" s="378">
        <f>('BALANCE SHEET'!F63/'BALANCE SHEET'!E63)-1</f>
        <v>-2.7913990138423439E-2</v>
      </c>
      <c r="G30" s="378">
        <f>('BALANCE SHEET'!G63/'BALANCE SHEET'!F63)-1</f>
        <v>1.0160188110809023</v>
      </c>
    </row>
    <row r="31" spans="2:7" ht="7.05" customHeight="1" x14ac:dyDescent="0.3">
      <c r="D31" s="378"/>
      <c r="E31" s="378"/>
      <c r="F31" s="378"/>
      <c r="G31" s="378"/>
    </row>
    <row r="32" spans="2:7" x14ac:dyDescent="0.3">
      <c r="B32" s="183" t="str">
        <f>'COMMON SIZE STATEMENT'!$B$71</f>
        <v>Total Liabilities</v>
      </c>
      <c r="C32" s="183">
        <v>0</v>
      </c>
      <c r="D32" s="377">
        <f>('BALANCE SHEET'!D65/'BALANCE SHEET'!C65)-1</f>
        <v>-0.18557709377923848</v>
      </c>
      <c r="E32" s="377">
        <f>('BALANCE SHEET'!E65/'BALANCE SHEET'!D65)-1</f>
        <v>0.10259019859730834</v>
      </c>
      <c r="F32" s="377">
        <f>('BALANCE SHEET'!F65/'BALANCE SHEET'!E65)-1</f>
        <v>8.2305555822718812E-2</v>
      </c>
      <c r="G32" s="377">
        <f>('BALANCE SHEET'!G65/'BALANCE SHEET'!F65)-1</f>
        <v>0.47606822838241469</v>
      </c>
    </row>
    <row r="33" spans="2:7" x14ac:dyDescent="0.3">
      <c r="D33" s="378"/>
      <c r="E33" s="378"/>
      <c r="F33" s="378"/>
      <c r="G33" s="378"/>
    </row>
    <row r="34" spans="2:7" x14ac:dyDescent="0.3">
      <c r="B34" s="183" t="str">
        <f>'COMMON SIZE STATEMENT'!$B$73</f>
        <v>Total Equity</v>
      </c>
      <c r="C34" s="183">
        <v>0</v>
      </c>
      <c r="D34" s="377">
        <f>('BALANCE SHEET'!D72/'BALANCE SHEET'!C72)-1</f>
        <v>0.14174106940734355</v>
      </c>
      <c r="E34" s="377">
        <f>('BALANCE SHEET'!E72/'BALANCE SHEET'!D72)-1</f>
        <v>7.7114090992275841E-2</v>
      </c>
      <c r="F34" s="377">
        <f>('BALANCE SHEET'!F72/'BALANCE SHEET'!E72)-1</f>
        <v>0.1086334095051702</v>
      </c>
      <c r="G34" s="377">
        <f>('BALANCE SHEET'!G72/'BALANCE SHEET'!F72)-1</f>
        <v>0.17399462026367352</v>
      </c>
    </row>
    <row r="36" spans="2:7" x14ac:dyDescent="0.3">
      <c r="B36" s="105"/>
      <c r="C36" s="105"/>
      <c r="D36" s="105"/>
      <c r="E36" s="105"/>
      <c r="F36" s="105"/>
      <c r="G36" s="105"/>
    </row>
  </sheetData>
  <printOptions horizontalCentered="1" verticalCentered="1"/>
  <pageMargins left="0" right="0" top="0" bottom="0" header="0" footer="0"/>
  <pageSetup paperSize="9" scale="110" orientation="landscape" horizontalDpi="1200" verticalDpi="12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workbookViewId="0"/>
  </sheetViews>
  <sheetFormatPr defaultRowHeight="14.4" x14ac:dyDescent="0.3"/>
  <cols>
    <col min="1" max="16384" width="8.88671875" style="53"/>
  </cols>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N104"/>
  <sheetViews>
    <sheetView zoomScale="70" zoomScaleNormal="70" workbookViewId="0">
      <pane xSplit="2" ySplit="7" topLeftCell="C70" activePane="bottomRight" state="frozen"/>
      <selection pane="topRight" activeCell="C1" sqref="C1"/>
      <selection pane="bottomLeft" activeCell="A8" sqref="A8"/>
      <selection pane="bottomRight" activeCell="B110" sqref="B110"/>
    </sheetView>
  </sheetViews>
  <sheetFormatPr defaultColWidth="16.77734375" defaultRowHeight="14.4" x14ac:dyDescent="0.3"/>
  <cols>
    <col min="1" max="1" width="2" style="190" customWidth="1"/>
    <col min="2" max="2" width="44.77734375" style="190" customWidth="1"/>
    <col min="3" max="7" width="16.77734375" style="190"/>
    <col min="8" max="9" width="2" style="190" customWidth="1"/>
    <col min="10" max="16384" width="16.77734375" style="190"/>
  </cols>
  <sheetData>
    <row r="1" spans="2:14" ht="15.6" x14ac:dyDescent="0.4">
      <c r="B1" s="188" t="s">
        <v>342</v>
      </c>
      <c r="C1" s="189"/>
      <c r="D1" s="189"/>
      <c r="E1" s="189"/>
      <c r="F1" s="189"/>
      <c r="G1" s="189"/>
      <c r="H1" s="189"/>
      <c r="I1" s="189"/>
      <c r="J1" s="189"/>
      <c r="K1" s="189"/>
      <c r="L1" s="189"/>
      <c r="M1" s="189"/>
      <c r="N1" s="189"/>
    </row>
    <row r="2" spans="2:14" ht="23.4" x14ac:dyDescent="0.45">
      <c r="B2" s="191" t="s">
        <v>341</v>
      </c>
      <c r="C2" s="189"/>
      <c r="D2" s="189"/>
      <c r="E2" s="189"/>
      <c r="F2" s="189"/>
      <c r="G2" s="189"/>
      <c r="H2" s="189"/>
      <c r="I2" s="189"/>
      <c r="J2" s="189"/>
      <c r="K2" s="189"/>
      <c r="L2" s="189"/>
      <c r="M2" s="189"/>
      <c r="N2" s="189"/>
    </row>
    <row r="3" spans="2:14" x14ac:dyDescent="0.3">
      <c r="B3" s="189" t="s">
        <v>343</v>
      </c>
      <c r="C3" s="189"/>
      <c r="D3" s="189"/>
      <c r="E3" s="189"/>
      <c r="F3" s="189"/>
      <c r="G3" s="189"/>
      <c r="H3" s="189"/>
      <c r="I3" s="189"/>
      <c r="J3" s="189"/>
      <c r="K3" s="189"/>
      <c r="L3" s="189"/>
      <c r="M3" s="189"/>
      <c r="N3" s="189"/>
    </row>
    <row r="5" spans="2:14" x14ac:dyDescent="0.3">
      <c r="B5" s="192" t="s">
        <v>2655</v>
      </c>
      <c r="C5" s="192"/>
      <c r="D5" s="192"/>
      <c r="E5" s="192"/>
      <c r="F5" s="192"/>
      <c r="G5" s="192"/>
      <c r="H5" s="280"/>
      <c r="I5" s="193"/>
      <c r="J5" s="107" t="s">
        <v>459</v>
      </c>
      <c r="K5" s="528" t="s">
        <v>460</v>
      </c>
      <c r="L5" s="528"/>
      <c r="M5" s="528"/>
      <c r="N5" s="187">
        <v>2</v>
      </c>
    </row>
    <row r="6" spans="2:14" x14ac:dyDescent="0.3">
      <c r="H6" s="197"/>
      <c r="J6" s="3"/>
      <c r="K6" s="3"/>
      <c r="L6" s="3"/>
      <c r="M6" s="3"/>
      <c r="N6" s="3"/>
    </row>
    <row r="7" spans="2:14" x14ac:dyDescent="0.3">
      <c r="B7" s="107" t="s">
        <v>57</v>
      </c>
      <c r="C7" s="110">
        <v>44440</v>
      </c>
      <c r="D7" s="110">
        <f>EDATE(C7,12)</f>
        <v>44805</v>
      </c>
      <c r="E7" s="110">
        <f t="shared" ref="E7:G7" si="0">EDATE(D7,12)</f>
        <v>45170</v>
      </c>
      <c r="F7" s="110">
        <f t="shared" si="0"/>
        <v>45536</v>
      </c>
      <c r="G7" s="110">
        <f t="shared" si="0"/>
        <v>45901</v>
      </c>
      <c r="H7" s="280"/>
      <c r="I7" s="193"/>
      <c r="J7" s="159">
        <v>46112</v>
      </c>
      <c r="K7" s="159">
        <f>EDATE(J7,12)</f>
        <v>46477</v>
      </c>
      <c r="L7" s="159">
        <f t="shared" ref="L7:N7" si="1">EDATE(K7,12)</f>
        <v>46843</v>
      </c>
      <c r="M7" s="159">
        <f t="shared" si="1"/>
        <v>47208</v>
      </c>
      <c r="N7" s="159">
        <f t="shared" si="1"/>
        <v>47573</v>
      </c>
    </row>
    <row r="8" spans="2:14" ht="13.95" customHeight="1" x14ac:dyDescent="0.3">
      <c r="H8" s="197"/>
    </row>
    <row r="9" spans="2:14" x14ac:dyDescent="0.3">
      <c r="B9" s="383" t="s">
        <v>3</v>
      </c>
      <c r="C9" s="195">
        <f>'INCOME STATEMENT'!C$14</f>
        <v>45459</v>
      </c>
      <c r="D9" s="195">
        <f>'INCOME STATEMENT'!D$14</f>
        <v>53106.64</v>
      </c>
      <c r="E9" s="195">
        <f>'INCOME STATEMENT'!E$14</f>
        <v>63743.060000000005</v>
      </c>
      <c r="F9" s="195">
        <f>'INCOME STATEMENT'!F$14</f>
        <v>71525</v>
      </c>
      <c r="G9" s="195">
        <f>'INCOME STATEMENT'!G$14</f>
        <v>76699</v>
      </c>
      <c r="H9" s="280"/>
      <c r="I9" s="193"/>
      <c r="J9" s="195">
        <f>CHOOSE($N$5,'REVENUE SCHEDULE'!J$13+'OTHER INCOME SCHEDULE'!J$11,'OTHER INCOME SCHEDULE'!Q$11+'REVENUE SCHEDULE'!Q$13,'REVENUE SCHEDULE'!X$13+'OTHER INCOME SCHEDULE'!X$11)</f>
        <v>84774.607199999999</v>
      </c>
      <c r="K9" s="195">
        <f>CHOOSE($N$5,'REVENUE SCHEDULE'!K$13+'OTHER INCOME SCHEDULE'!K$11,'OTHER INCOME SCHEDULE'!R$11+'REVENUE SCHEDULE'!R$13,'REVENUE SCHEDULE'!Y$13+'OTHER INCOME SCHEDULE'!Y$11)</f>
        <v>91506.881376000005</v>
      </c>
      <c r="L9" s="195">
        <f>CHOOSE($N$5,'REVENUE SCHEDULE'!L$13+'OTHER INCOME SCHEDULE'!L$11,'OTHER INCOME SCHEDULE'!S$11+'REVENUE SCHEDULE'!S$13,'REVENUE SCHEDULE'!Z$13+'OTHER INCOME SCHEDULE'!Z$11)</f>
        <v>98777.737486080005</v>
      </c>
      <c r="M9" s="195">
        <f>CHOOSE($N$5,'REVENUE SCHEDULE'!M$13+'OTHER INCOME SCHEDULE'!M$11,'OTHER INCOME SCHEDULE'!T$11+'REVENUE SCHEDULE'!T$13,'REVENUE SCHEDULE'!AA$13+'OTHER INCOME SCHEDULE'!AA$11)</f>
        <v>106630.26208496641</v>
      </c>
      <c r="N9" s="195">
        <f>CHOOSE($N$5,'REVENUE SCHEDULE'!N$13+'OTHER INCOME SCHEDULE'!N$11,'OTHER INCOME SCHEDULE'!U$11+'REVENUE SCHEDULE'!U$13,'REVENUE SCHEDULE'!AB$13+'OTHER INCOME SCHEDULE'!AB$11)</f>
        <v>115110.98865176371</v>
      </c>
    </row>
    <row r="10" spans="2:14" x14ac:dyDescent="0.3">
      <c r="H10" s="197"/>
    </row>
    <row r="11" spans="2:14" x14ac:dyDescent="0.3">
      <c r="H11" s="197"/>
    </row>
    <row r="12" spans="2:14" x14ac:dyDescent="0.3">
      <c r="B12" s="190" t="s">
        <v>2577</v>
      </c>
      <c r="H12" s="197"/>
    </row>
    <row r="13" spans="2:14" ht="7.05" customHeight="1" x14ac:dyDescent="0.3">
      <c r="H13" s="197"/>
    </row>
    <row r="14" spans="2:14" x14ac:dyDescent="0.3">
      <c r="B14" s="531" t="s">
        <v>2663</v>
      </c>
      <c r="H14" s="197"/>
    </row>
    <row r="15" spans="2:14" x14ac:dyDescent="0.3">
      <c r="B15" s="531"/>
      <c r="H15" s="197"/>
    </row>
    <row r="16" spans="2:14" ht="7.05" customHeight="1" x14ac:dyDescent="0.3">
      <c r="B16" s="388"/>
      <c r="H16" s="197"/>
    </row>
    <row r="17" spans="2:14" x14ac:dyDescent="0.3">
      <c r="B17" s="190" t="s">
        <v>2578</v>
      </c>
      <c r="H17" s="197"/>
    </row>
    <row r="18" spans="2:14" ht="7.05" customHeight="1" x14ac:dyDescent="0.3">
      <c r="H18" s="197"/>
    </row>
    <row r="19" spans="2:14" x14ac:dyDescent="0.3">
      <c r="B19" s="531" t="s">
        <v>2664</v>
      </c>
      <c r="H19" s="197"/>
    </row>
    <row r="20" spans="2:14" x14ac:dyDescent="0.3">
      <c r="B20" s="531"/>
      <c r="H20" s="197"/>
    </row>
    <row r="21" spans="2:14" ht="7.05" customHeight="1" x14ac:dyDescent="0.3">
      <c r="B21" s="388"/>
      <c r="H21" s="197"/>
    </row>
    <row r="22" spans="2:14" x14ac:dyDescent="0.3">
      <c r="B22" s="190" t="s">
        <v>2579</v>
      </c>
      <c r="H22" s="197"/>
    </row>
    <row r="23" spans="2:14" ht="7.05" customHeight="1" x14ac:dyDescent="0.3">
      <c r="H23" s="197"/>
    </row>
    <row r="24" spans="2:14" x14ac:dyDescent="0.3">
      <c r="B24" s="531" t="s">
        <v>2675</v>
      </c>
      <c r="H24" s="197"/>
    </row>
    <row r="25" spans="2:14" x14ac:dyDescent="0.3">
      <c r="B25" s="531"/>
      <c r="H25" s="197"/>
    </row>
    <row r="26" spans="2:14" x14ac:dyDescent="0.3">
      <c r="H26" s="197"/>
    </row>
    <row r="27" spans="2:14" x14ac:dyDescent="0.3">
      <c r="B27" s="532" t="s">
        <v>2877</v>
      </c>
      <c r="H27" s="197"/>
    </row>
    <row r="28" spans="2:14" x14ac:dyDescent="0.3">
      <c r="B28" s="532"/>
      <c r="H28" s="197"/>
    </row>
    <row r="29" spans="2:14" x14ac:dyDescent="0.3">
      <c r="B29" s="532"/>
      <c r="H29" s="197"/>
    </row>
    <row r="30" spans="2:14" x14ac:dyDescent="0.3">
      <c r="B30" s="532"/>
      <c r="H30" s="197"/>
    </row>
    <row r="31" spans="2:14" x14ac:dyDescent="0.3">
      <c r="H31" s="197"/>
    </row>
    <row r="32" spans="2:14" x14ac:dyDescent="0.3">
      <c r="B32" s="195" t="s">
        <v>2656</v>
      </c>
      <c r="C32" s="282">
        <f>'INCOME STATEMENT'!C$47</f>
        <v>12.740089960417416</v>
      </c>
      <c r="D32" s="282">
        <f>'INCOME STATEMENT'!D$47</f>
        <v>36.968773004082195</v>
      </c>
      <c r="E32" s="282">
        <f>'INCOME STATEMENT'!E$47</f>
        <v>37.778686503451098</v>
      </c>
      <c r="F32" s="282">
        <f>'INCOME STATEMENT'!F$47</f>
        <v>37.650528553209583</v>
      </c>
      <c r="G32" s="282">
        <f>'INCOME STATEMENT'!G$47</f>
        <v>67.04313830651715</v>
      </c>
      <c r="H32" s="280"/>
      <c r="I32" s="193"/>
      <c r="J32" s="282">
        <f>-CHOOSE(FORECAST!$N$5,'CFS - WC'!J$35/'EQUITY SCHEDULE'!$C$43,'CFS - WC'!Q$35/'EQUITY SCHEDULE'!$C$44,'CFS - WC'!X$35/'EQUITY SCHEDULE'!$C$45)</f>
        <v>39.945634703639001</v>
      </c>
      <c r="K32" s="282">
        <f>-CHOOSE(FORECAST!$N$5,'CFS - WC'!K$35/'EQUITY SCHEDULE'!$C$43,'CFS - WC'!R$35/'EQUITY SCHEDULE'!$C$44,'CFS - WC'!Y$35/'EQUITY SCHEDULE'!$C$45)</f>
        <v>45.578207337335336</v>
      </c>
      <c r="L32" s="282">
        <f>-CHOOSE(FORECAST!$N$5,'CFS - WC'!L$35/'EQUITY SCHEDULE'!$C$43,'CFS - WC'!S$35/'EQUITY SCHEDULE'!$C$44,'CFS - WC'!Z$35/'EQUITY SCHEDULE'!$C$45)</f>
        <v>47.596906718393335</v>
      </c>
      <c r="M32" s="282">
        <f>-CHOOSE(FORECAST!$N$5,'CFS - WC'!M$35/'EQUITY SCHEDULE'!$C$43,'CFS - WC'!T$35/'EQUITY SCHEDULE'!$C$44,'CFS - WC'!AA$35/'EQUITY SCHEDULE'!$C$45)</f>
        <v>49.325318662845667</v>
      </c>
      <c r="N32" s="282">
        <f>-CHOOSE(FORECAST!$N$5,'CFS - WC'!N$35/'EQUITY SCHEDULE'!$C$43,'CFS - WC'!U$35/'EQUITY SCHEDULE'!$C$44,'CFS - WC'!AB$35/'EQUITY SCHEDULE'!$C$45)</f>
        <v>52.929994610233997</v>
      </c>
    </row>
    <row r="33" spans="2:8" x14ac:dyDescent="0.3">
      <c r="H33" s="197"/>
    </row>
    <row r="34" spans="2:8" x14ac:dyDescent="0.3">
      <c r="H34" s="197"/>
    </row>
    <row r="35" spans="2:8" x14ac:dyDescent="0.3">
      <c r="B35" s="190" t="s">
        <v>2577</v>
      </c>
      <c r="H35" s="197"/>
    </row>
    <row r="36" spans="2:8" ht="7.05" customHeight="1" x14ac:dyDescent="0.3">
      <c r="H36" s="197"/>
    </row>
    <row r="37" spans="2:8" x14ac:dyDescent="0.3">
      <c r="B37" s="531" t="s">
        <v>2676</v>
      </c>
      <c r="H37" s="197"/>
    </row>
    <row r="38" spans="2:8" x14ac:dyDescent="0.3">
      <c r="B38" s="531"/>
      <c r="H38" s="197"/>
    </row>
    <row r="39" spans="2:8" ht="7.05" customHeight="1" x14ac:dyDescent="0.3">
      <c r="B39" s="388"/>
      <c r="H39" s="197"/>
    </row>
    <row r="40" spans="2:8" x14ac:dyDescent="0.3">
      <c r="B40" s="190" t="s">
        <v>2578</v>
      </c>
      <c r="H40" s="197"/>
    </row>
    <row r="41" spans="2:8" ht="7.05" customHeight="1" x14ac:dyDescent="0.3">
      <c r="H41" s="197"/>
    </row>
    <row r="42" spans="2:8" x14ac:dyDescent="0.3">
      <c r="B42" s="531" t="s">
        <v>2778</v>
      </c>
      <c r="H42" s="197"/>
    </row>
    <row r="43" spans="2:8" x14ac:dyDescent="0.3">
      <c r="B43" s="531"/>
      <c r="H43" s="197"/>
    </row>
    <row r="44" spans="2:8" ht="7.05" customHeight="1" x14ac:dyDescent="0.3">
      <c r="B44" s="388"/>
      <c r="H44" s="197"/>
    </row>
    <row r="45" spans="2:8" x14ac:dyDescent="0.3">
      <c r="B45" s="190" t="s">
        <v>2579</v>
      </c>
      <c r="H45" s="197"/>
    </row>
    <row r="46" spans="2:8" ht="7.05" customHeight="1" x14ac:dyDescent="0.3">
      <c r="H46" s="197"/>
    </row>
    <row r="47" spans="2:8" x14ac:dyDescent="0.3">
      <c r="B47" s="531" t="s">
        <v>2861</v>
      </c>
      <c r="H47" s="197"/>
    </row>
    <row r="48" spans="2:8" x14ac:dyDescent="0.3">
      <c r="B48" s="531"/>
      <c r="H48" s="197"/>
    </row>
    <row r="49" spans="2:14" x14ac:dyDescent="0.3">
      <c r="H49" s="197"/>
    </row>
    <row r="50" spans="2:14" x14ac:dyDescent="0.3">
      <c r="B50" s="195" t="s">
        <v>42</v>
      </c>
      <c r="C50" s="195">
        <f>'BALANCE SHEET'!C$72</f>
        <v>44174</v>
      </c>
      <c r="D50" s="195">
        <f>'BALANCE SHEET'!D$72</f>
        <v>50435.27</v>
      </c>
      <c r="E50" s="195">
        <f>'BALANCE SHEET'!E$72</f>
        <v>54324.54</v>
      </c>
      <c r="F50" s="195">
        <f>'BALANCE SHEET'!F$72</f>
        <v>60226</v>
      </c>
      <c r="G50" s="195">
        <f>'BALANCE SHEET'!G$72</f>
        <v>70705</v>
      </c>
      <c r="H50" s="280"/>
      <c r="I50" s="193"/>
      <c r="J50" s="195">
        <f>CHOOSE($N$5,'EQUITY SCHEDULE'!C$25+'EQUITY SCHEDULE'!K$25,'EQUITY SCHEDULE'!C$33+'EQUITY SCHEDULE'!K$33,'EQUITY SCHEDULE'!C$41+'EQUITY SCHEDULE'!K$41)</f>
        <v>79576.785999999993</v>
      </c>
      <c r="K50" s="195">
        <f>CHOOSE($N$5,'EQUITY SCHEDULE'!D$25+'EQUITY SCHEDULE'!L$25,'EQUITY SCHEDULE'!D$33+'EQUITY SCHEDULE'!L$33,'EQUITY SCHEDULE'!D$41+'EQUITY SCHEDULE'!L$41)</f>
        <v>89566.417035999999</v>
      </c>
      <c r="L50" s="195">
        <f>CHOOSE($N$5,'EQUITY SCHEDULE'!E$25+'EQUITY SCHEDULE'!M$25,'EQUITY SCHEDULE'!E$33+'EQUITY SCHEDULE'!M$33,'EQUITY SCHEDULE'!E$41+'EQUITY SCHEDULE'!M$41)</f>
        <v>100814.74158253599</v>
      </c>
      <c r="M50" s="195">
        <f>CHOOSE($N$5,'EQUITY SCHEDULE'!F$25+'EQUITY SCHEDULE'!N$25,'EQUITY SCHEDULE'!F$33+'EQUITY SCHEDULE'!N$33,'EQUITY SCHEDULE'!F$41+'EQUITY SCHEDULE'!N$41)</f>
        <v>113480.35502193552</v>
      </c>
      <c r="N50" s="195">
        <f>CHOOSE($N$5,'EQUITY SCHEDULE'!G$25+'EQUITY SCHEDULE'!O$25,'EQUITY SCHEDULE'!G$33+'EQUITY SCHEDULE'!O$33,'EQUITY SCHEDULE'!G$41+'EQUITY SCHEDULE'!O$41)</f>
        <v>127741.83575469939</v>
      </c>
    </row>
    <row r="51" spans="2:14" x14ac:dyDescent="0.3">
      <c r="H51" s="197"/>
    </row>
    <row r="52" spans="2:14" x14ac:dyDescent="0.3">
      <c r="H52" s="197"/>
    </row>
    <row r="53" spans="2:14" x14ac:dyDescent="0.3">
      <c r="B53" s="190" t="s">
        <v>2577</v>
      </c>
      <c r="H53" s="197"/>
    </row>
    <row r="54" spans="2:14" ht="7.05" customHeight="1" x14ac:dyDescent="0.3">
      <c r="H54" s="197"/>
    </row>
    <row r="55" spans="2:14" x14ac:dyDescent="0.3">
      <c r="B55" s="531" t="s">
        <v>2665</v>
      </c>
      <c r="H55" s="197"/>
    </row>
    <row r="56" spans="2:14" x14ac:dyDescent="0.3">
      <c r="B56" s="531"/>
      <c r="H56" s="197"/>
    </row>
    <row r="57" spans="2:14" ht="7.05" customHeight="1" x14ac:dyDescent="0.3">
      <c r="B57" s="388"/>
      <c r="H57" s="197"/>
    </row>
    <row r="58" spans="2:14" x14ac:dyDescent="0.3">
      <c r="B58" s="190" t="s">
        <v>2578</v>
      </c>
      <c r="H58" s="197"/>
    </row>
    <row r="59" spans="2:14" ht="7.05" customHeight="1" x14ac:dyDescent="0.3">
      <c r="H59" s="197"/>
    </row>
    <row r="60" spans="2:14" x14ac:dyDescent="0.3">
      <c r="B60" s="531" t="s">
        <v>2666</v>
      </c>
      <c r="H60" s="197"/>
    </row>
    <row r="61" spans="2:14" x14ac:dyDescent="0.3">
      <c r="B61" s="531"/>
      <c r="H61" s="197"/>
    </row>
    <row r="62" spans="2:14" ht="7.05" customHeight="1" x14ac:dyDescent="0.3">
      <c r="B62" s="388"/>
      <c r="H62" s="197"/>
    </row>
    <row r="63" spans="2:14" x14ac:dyDescent="0.3">
      <c r="B63" s="190" t="s">
        <v>2579</v>
      </c>
      <c r="H63" s="197"/>
    </row>
    <row r="64" spans="2:14" ht="7.05" customHeight="1" x14ac:dyDescent="0.3">
      <c r="H64" s="197"/>
    </row>
    <row r="65" spans="2:14" x14ac:dyDescent="0.3">
      <c r="B65" s="531" t="s">
        <v>2667</v>
      </c>
      <c r="H65" s="197"/>
    </row>
    <row r="66" spans="2:14" x14ac:dyDescent="0.3">
      <c r="B66" s="531"/>
      <c r="H66" s="197"/>
    </row>
    <row r="67" spans="2:14" x14ac:dyDescent="0.3">
      <c r="H67" s="197"/>
    </row>
    <row r="68" spans="2:14" x14ac:dyDescent="0.3">
      <c r="B68" s="195" t="s">
        <v>331</v>
      </c>
      <c r="C68" s="195">
        <f>'BALANCE SHEET'!C$56+'BALANCE SHEET'!C$44</f>
        <v>17783</v>
      </c>
      <c r="D68" s="195">
        <f>'BALANCE SHEET'!D$56+'BALANCE SHEET'!D$44</f>
        <v>10202.84</v>
      </c>
      <c r="E68" s="195">
        <f>'BALANCE SHEET'!E$56+'BALANCE SHEET'!E$44</f>
        <v>9900.7799999999988</v>
      </c>
      <c r="F68" s="195">
        <f>'BALANCE SHEET'!F$56+'BALANCE SHEET'!F$44</f>
        <v>10297</v>
      </c>
      <c r="G68" s="195">
        <f>'BALANCE SHEET'!G$56+'BALANCE SHEET'!G$44</f>
        <v>23030</v>
      </c>
      <c r="H68" s="280"/>
      <c r="I68" s="193"/>
      <c r="J68" s="195">
        <f>CHOOSE($N$5,'FINANCE COST SCHEDULE'!J$43,'FINANCE COST SCHEDULE'!Q$43,'FINANCE COST SCHEDULE'!X$43)</f>
        <v>10030</v>
      </c>
      <c r="K68" s="195">
        <f>CHOOSE($N$5,'FINANCE COST SCHEDULE'!K$43,'FINANCE COST SCHEDULE'!R$43,'FINANCE COST SCHEDULE'!Y$43)</f>
        <v>13130</v>
      </c>
      <c r="L68" s="195">
        <f>CHOOSE($N$5,'FINANCE COST SCHEDULE'!L$43,'FINANCE COST SCHEDULE'!S$43,'FINANCE COST SCHEDULE'!Z$43)</f>
        <v>20030</v>
      </c>
      <c r="M68" s="195">
        <f>CHOOSE($N$5,'FINANCE COST SCHEDULE'!M$43,'FINANCE COST SCHEDULE'!T$43,'FINANCE COST SCHEDULE'!AA$43)</f>
        <v>26230</v>
      </c>
      <c r="N68" s="195">
        <f>CHOOSE($N$5,'FINANCE COST SCHEDULE'!N$43,'FINANCE COST SCHEDULE'!U$43,'FINANCE COST SCHEDULE'!AB$43)</f>
        <v>25330</v>
      </c>
    </row>
    <row r="69" spans="2:14" x14ac:dyDescent="0.3">
      <c r="H69" s="197"/>
    </row>
    <row r="70" spans="2:14" x14ac:dyDescent="0.3">
      <c r="H70" s="197"/>
    </row>
    <row r="71" spans="2:14" x14ac:dyDescent="0.3">
      <c r="B71" s="190" t="s">
        <v>2577</v>
      </c>
      <c r="H71" s="197"/>
    </row>
    <row r="72" spans="2:14" ht="7.05" customHeight="1" x14ac:dyDescent="0.3">
      <c r="H72" s="197"/>
    </row>
    <row r="73" spans="2:14" x14ac:dyDescent="0.3">
      <c r="B73" s="531" t="s">
        <v>2862</v>
      </c>
      <c r="H73" s="197"/>
    </row>
    <row r="74" spans="2:14" x14ac:dyDescent="0.3">
      <c r="B74" s="531"/>
      <c r="H74" s="197"/>
    </row>
    <row r="75" spans="2:14" ht="7.05" customHeight="1" x14ac:dyDescent="0.3">
      <c r="B75" s="388"/>
      <c r="H75" s="197"/>
    </row>
    <row r="76" spans="2:14" x14ac:dyDescent="0.3">
      <c r="B76" s="190" t="s">
        <v>2578</v>
      </c>
      <c r="H76" s="197"/>
    </row>
    <row r="77" spans="2:14" ht="7.05" customHeight="1" x14ac:dyDescent="0.3">
      <c r="H77" s="197"/>
    </row>
    <row r="78" spans="2:14" x14ac:dyDescent="0.3">
      <c r="B78" s="531" t="s">
        <v>2863</v>
      </c>
      <c r="H78" s="197"/>
    </row>
    <row r="79" spans="2:14" x14ac:dyDescent="0.3">
      <c r="B79" s="531"/>
      <c r="H79" s="197"/>
    </row>
    <row r="80" spans="2:14" ht="7.05" customHeight="1" x14ac:dyDescent="0.3">
      <c r="B80" s="388"/>
      <c r="H80" s="197"/>
    </row>
    <row r="81" spans="2:14" x14ac:dyDescent="0.3">
      <c r="B81" s="190" t="s">
        <v>2579</v>
      </c>
      <c r="H81" s="197"/>
    </row>
    <row r="82" spans="2:14" ht="7.05" customHeight="1" x14ac:dyDescent="0.3">
      <c r="H82" s="197"/>
    </row>
    <row r="83" spans="2:14" x14ac:dyDescent="0.3">
      <c r="B83" s="531" t="s">
        <v>2864</v>
      </c>
      <c r="H83" s="197"/>
    </row>
    <row r="84" spans="2:14" x14ac:dyDescent="0.3">
      <c r="B84" s="531"/>
      <c r="H84" s="197"/>
    </row>
    <row r="85" spans="2:14" x14ac:dyDescent="0.3">
      <c r="H85" s="197"/>
    </row>
    <row r="86" spans="2:14" x14ac:dyDescent="0.3">
      <c r="B86" s="195" t="s">
        <v>2646</v>
      </c>
      <c r="C86" s="195">
        <f>'CASH FLOW STAEMENT'!C$49</f>
        <v>1689</v>
      </c>
      <c r="D86" s="195">
        <f>'CASH FLOW STAEMENT'!D$49</f>
        <v>2750.7799999999952</v>
      </c>
      <c r="E86" s="195">
        <f>'CASH FLOW STAEMENT'!E$49</f>
        <v>27.250000000002728</v>
      </c>
      <c r="F86" s="195">
        <f>'CASH FLOW STAEMENT'!F$49</f>
        <v>879.14999999999964</v>
      </c>
      <c r="G86" s="195">
        <f>'CASH FLOW STAEMENT'!G$49</f>
        <v>1546</v>
      </c>
      <c r="H86" s="280"/>
      <c r="I86" s="193"/>
      <c r="J86" s="195">
        <f>CHOOSE($N$5,'DATA VALUATION &amp; OTHERS'!C$22,'DATA VALUATION &amp; OTHERS'!C$25,'DATA VALUATION &amp; OTHERS'!C$28)</f>
        <v>74.320467682109665</v>
      </c>
      <c r="K86" s="195">
        <f>CHOOSE($N$5,'DATA VALUATION &amp; OTHERS'!D$22,'DATA VALUATION &amp; OTHERS'!D$25,'DATA VALUATION &amp; OTHERS'!D$28)</f>
        <v>955.01509027481734</v>
      </c>
      <c r="L86" s="195">
        <f>CHOOSE($N$5,'DATA VALUATION &amp; OTHERS'!E$22,'DATA VALUATION &amp; OTHERS'!E$25,'DATA VALUATION &amp; OTHERS'!E$28)</f>
        <v>1598.7640230549168</v>
      </c>
      <c r="M86" s="195">
        <f>CHOOSE($N$5,'DATA VALUATION &amp; OTHERS'!F$22,'DATA VALUATION &amp; OTHERS'!F$25,'DATA VALUATION &amp; OTHERS'!F$28)</f>
        <v>1485.1482218201872</v>
      </c>
      <c r="N86" s="195">
        <f>CHOOSE($N$5,'DATA VALUATION &amp; OTHERS'!G$22,'DATA VALUATION &amp; OTHERS'!G$25,'DATA VALUATION &amp; OTHERS'!G$28)</f>
        <v>2160.8878627034856</v>
      </c>
    </row>
    <row r="87" spans="2:14" x14ac:dyDescent="0.3">
      <c r="H87" s="197"/>
    </row>
    <row r="88" spans="2:14" x14ac:dyDescent="0.3">
      <c r="H88" s="197"/>
    </row>
    <row r="89" spans="2:14" x14ac:dyDescent="0.3">
      <c r="B89" s="190" t="s">
        <v>2577</v>
      </c>
      <c r="H89" s="197"/>
    </row>
    <row r="90" spans="2:14" ht="7.05" customHeight="1" x14ac:dyDescent="0.3">
      <c r="H90" s="197"/>
    </row>
    <row r="91" spans="2:14" x14ac:dyDescent="0.3">
      <c r="B91" s="531" t="s">
        <v>2668</v>
      </c>
      <c r="H91" s="197"/>
    </row>
    <row r="92" spans="2:14" x14ac:dyDescent="0.3">
      <c r="B92" s="531"/>
      <c r="H92" s="197"/>
    </row>
    <row r="93" spans="2:14" ht="7.05" customHeight="1" x14ac:dyDescent="0.3">
      <c r="B93" s="388"/>
      <c r="H93" s="197"/>
    </row>
    <row r="94" spans="2:14" x14ac:dyDescent="0.3">
      <c r="B94" s="190" t="s">
        <v>2578</v>
      </c>
      <c r="H94" s="197"/>
    </row>
    <row r="95" spans="2:14" ht="7.05" customHeight="1" x14ac:dyDescent="0.3">
      <c r="H95" s="197"/>
    </row>
    <row r="96" spans="2:14" x14ac:dyDescent="0.3">
      <c r="B96" s="531" t="s">
        <v>2865</v>
      </c>
      <c r="H96" s="197"/>
    </row>
    <row r="97" spans="2:14" x14ac:dyDescent="0.3">
      <c r="B97" s="531"/>
      <c r="H97" s="197"/>
    </row>
    <row r="98" spans="2:14" ht="7.05" customHeight="1" x14ac:dyDescent="0.3">
      <c r="B98" s="388"/>
      <c r="H98" s="197"/>
    </row>
    <row r="99" spans="2:14" x14ac:dyDescent="0.3">
      <c r="B99" s="190" t="s">
        <v>2579</v>
      </c>
      <c r="H99" s="197"/>
    </row>
    <row r="100" spans="2:14" ht="7.05" customHeight="1" x14ac:dyDescent="0.3">
      <c r="H100" s="197"/>
    </row>
    <row r="101" spans="2:14" x14ac:dyDescent="0.3">
      <c r="B101" s="531" t="s">
        <v>2866</v>
      </c>
      <c r="H101" s="197"/>
    </row>
    <row r="102" spans="2:14" x14ac:dyDescent="0.3">
      <c r="B102" s="531"/>
      <c r="H102" s="197"/>
    </row>
    <row r="104" spans="2:14" x14ac:dyDescent="0.3">
      <c r="B104" s="189"/>
      <c r="C104" s="189"/>
      <c r="D104" s="189"/>
      <c r="E104" s="189"/>
      <c r="F104" s="189"/>
      <c r="G104" s="189"/>
      <c r="H104" s="189"/>
      <c r="I104" s="189"/>
      <c r="J104" s="189"/>
      <c r="K104" s="189"/>
      <c r="L104" s="189"/>
      <c r="M104" s="189"/>
      <c r="N104" s="189"/>
    </row>
  </sheetData>
  <mergeCells count="17">
    <mergeCell ref="K5:M5"/>
    <mergeCell ref="B14:B15"/>
    <mergeCell ref="B19:B20"/>
    <mergeCell ref="B24:B25"/>
    <mergeCell ref="B37:B38"/>
    <mergeCell ref="B91:B92"/>
    <mergeCell ref="B96:B97"/>
    <mergeCell ref="B101:B102"/>
    <mergeCell ref="B27:B30"/>
    <mergeCell ref="B73:B74"/>
    <mergeCell ref="B78:B79"/>
    <mergeCell ref="B83:B84"/>
    <mergeCell ref="B42:B43"/>
    <mergeCell ref="B47:B48"/>
    <mergeCell ref="B55:B56"/>
    <mergeCell ref="B60:B61"/>
    <mergeCell ref="B65:B66"/>
  </mergeCells>
  <printOptions horizontalCentered="1" verticalCentered="1"/>
  <pageMargins left="0" right="0" top="0" bottom="0" header="0" footer="0"/>
  <pageSetup paperSize="9" scale="43" orientation="landscape" horizontalDpi="1200" verticalDpi="1200" r:id="rId1"/>
  <rowBreaks count="1" manualBreakCount="1">
    <brk id="104" max="13" man="1"/>
  </row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workbookViewId="0"/>
  </sheetViews>
  <sheetFormatPr defaultRowHeight="14.4" x14ac:dyDescent="0.3"/>
  <cols>
    <col min="1" max="16384" width="8.88671875" style="53"/>
  </cols>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Q117"/>
  <sheetViews>
    <sheetView zoomScale="70" zoomScaleNormal="70" workbookViewId="0">
      <pane xSplit="2" ySplit="11" topLeftCell="C12" activePane="bottomRight" state="frozen"/>
      <selection pane="topRight" activeCell="C1" sqref="C1"/>
      <selection pane="bottomLeft" activeCell="A12" sqref="A12"/>
      <selection pane="bottomRight"/>
    </sheetView>
  </sheetViews>
  <sheetFormatPr defaultColWidth="16.77734375" defaultRowHeight="14.4" x14ac:dyDescent="0.3"/>
  <cols>
    <col min="1" max="1" width="2" style="53" customWidth="1"/>
    <col min="2" max="2" width="44.77734375" style="53" customWidth="1"/>
    <col min="3" max="4" width="16.77734375" style="53"/>
    <col min="5" max="5" width="2" style="53" customWidth="1"/>
    <col min="6" max="7" width="16.77734375" style="53"/>
    <col min="8" max="8" width="2" style="53" customWidth="1"/>
    <col min="9" max="16384" width="16.77734375" style="53"/>
  </cols>
  <sheetData>
    <row r="1" spans="2:17" ht="15.6" x14ac:dyDescent="0.4">
      <c r="B1" s="104" t="s">
        <v>342</v>
      </c>
      <c r="C1" s="105"/>
      <c r="D1" s="105"/>
      <c r="E1" s="105"/>
      <c r="F1" s="105"/>
      <c r="G1" s="105"/>
      <c r="H1" s="105"/>
      <c r="I1" s="105"/>
      <c r="J1" s="105"/>
      <c r="K1" s="105"/>
      <c r="L1" s="105"/>
      <c r="M1" s="105"/>
      <c r="N1" s="105"/>
      <c r="O1" s="105"/>
      <c r="P1" s="105"/>
      <c r="Q1" s="105"/>
    </row>
    <row r="2" spans="2:17" ht="23.4" x14ac:dyDescent="0.45">
      <c r="B2" s="106" t="s">
        <v>341</v>
      </c>
      <c r="C2" s="105"/>
      <c r="D2" s="105"/>
      <c r="E2" s="105"/>
      <c r="F2" s="105"/>
      <c r="G2" s="105"/>
      <c r="H2" s="105"/>
      <c r="I2" s="105"/>
      <c r="J2" s="105"/>
      <c r="K2" s="105"/>
      <c r="L2" s="105"/>
      <c r="M2" s="105"/>
      <c r="N2" s="105"/>
      <c r="O2" s="105"/>
      <c r="P2" s="105"/>
      <c r="Q2" s="105"/>
    </row>
    <row r="3" spans="2:17" x14ac:dyDescent="0.3">
      <c r="B3" s="105" t="s">
        <v>343</v>
      </c>
      <c r="C3" s="105"/>
      <c r="D3" s="105"/>
      <c r="E3" s="105"/>
      <c r="F3" s="105"/>
      <c r="G3" s="105"/>
      <c r="H3" s="105"/>
      <c r="I3" s="105"/>
      <c r="J3" s="105"/>
      <c r="K3" s="105"/>
      <c r="L3" s="105"/>
      <c r="M3" s="105"/>
      <c r="N3" s="105"/>
      <c r="O3" s="105"/>
      <c r="P3" s="105"/>
      <c r="Q3" s="105"/>
    </row>
    <row r="4" spans="2:17" x14ac:dyDescent="0.3">
      <c r="B4" s="3"/>
      <c r="C4" s="3"/>
      <c r="D4" s="3"/>
      <c r="E4" s="3"/>
      <c r="F4" s="3"/>
      <c r="G4" s="3"/>
      <c r="H4" s="3"/>
      <c r="I4" s="3"/>
      <c r="J4" s="3"/>
      <c r="K4" s="3"/>
      <c r="L4" s="3"/>
      <c r="M4" s="3"/>
      <c r="N4" s="3"/>
      <c r="O4" s="3"/>
      <c r="P4" s="3"/>
      <c r="Q4" s="3"/>
    </row>
    <row r="5" spans="2:17" x14ac:dyDescent="0.3">
      <c r="B5" s="107" t="s">
        <v>107</v>
      </c>
      <c r="C5" s="107"/>
      <c r="D5" s="107"/>
      <c r="E5" s="107"/>
      <c r="F5" s="107"/>
      <c r="G5" s="107"/>
      <c r="H5" s="107"/>
      <c r="I5" s="107"/>
      <c r="J5" s="107"/>
      <c r="K5" s="107"/>
      <c r="L5" s="107"/>
      <c r="M5" s="107"/>
      <c r="N5" s="107"/>
      <c r="O5" s="107"/>
      <c r="P5" s="107"/>
      <c r="Q5" s="107"/>
    </row>
    <row r="6" spans="2:17" ht="4.95" customHeight="1" x14ac:dyDescent="0.3">
      <c r="E6" s="3"/>
      <c r="F6" s="3"/>
      <c r="G6" s="3"/>
    </row>
    <row r="7" spans="2:17" ht="4.95" customHeight="1" x14ac:dyDescent="0.3">
      <c r="B7" s="5"/>
      <c r="E7" s="57"/>
      <c r="F7" s="57"/>
      <c r="G7" s="57"/>
    </row>
    <row r="8" spans="2:17" ht="4.95" customHeight="1" x14ac:dyDescent="0.3"/>
    <row r="9" spans="2:17" ht="14.4" customHeight="1" x14ac:dyDescent="0.3">
      <c r="B9" s="125" t="s">
        <v>365</v>
      </c>
      <c r="C9" s="107"/>
      <c r="D9" s="107"/>
      <c r="E9" s="1"/>
      <c r="F9" s="533" t="s">
        <v>100</v>
      </c>
      <c r="G9" s="533"/>
      <c r="I9" s="125" t="s">
        <v>101</v>
      </c>
      <c r="J9" s="107"/>
    </row>
    <row r="10" spans="2:17" ht="7.05" customHeight="1" x14ac:dyDescent="0.3"/>
    <row r="11" spans="2:17" ht="14.4" customHeight="1" x14ac:dyDescent="0.3">
      <c r="B11" s="8" t="s">
        <v>97</v>
      </c>
      <c r="C11" s="11" t="s">
        <v>98</v>
      </c>
      <c r="D11" s="11" t="s">
        <v>99</v>
      </c>
      <c r="F11" s="11" t="s">
        <v>98</v>
      </c>
      <c r="G11" s="11" t="s">
        <v>99</v>
      </c>
      <c r="I11" s="5" t="s">
        <v>102</v>
      </c>
      <c r="J11" s="14">
        <f>SLOPE(D13:D115,G13:G115)</f>
        <v>1.3266134384335999</v>
      </c>
    </row>
    <row r="12" spans="2:17" ht="14.4" customHeight="1" x14ac:dyDescent="0.3">
      <c r="B12" s="58" t="str">
        <f>'DATA HISTORICAL'!$B6</f>
        <v>31/8/2025</v>
      </c>
      <c r="C12" s="59">
        <f>'DATA HISTORICAL'!$C6</f>
        <v>12733</v>
      </c>
      <c r="D12" s="49">
        <f>'DATA HISTORICAL'!$D6</f>
        <v>7.3575949367088445E-3</v>
      </c>
      <c r="F12" s="60">
        <f>'DATA HISTORICAL'!$G6</f>
        <v>24715.05</v>
      </c>
      <c r="G12" s="49">
        <f>'DATA HISTORICAL'!$H6</f>
        <v>1.1798492232932167E-2</v>
      </c>
      <c r="I12" s="53" t="s">
        <v>103</v>
      </c>
      <c r="J12" s="49">
        <f>'BALANCE SHEET'!F72/('BALANCE SHEET'!F72+'BALANCE SHEET'!F63)</f>
        <v>0.81568361887993501</v>
      </c>
    </row>
    <row r="13" spans="2:17" ht="14.4" customHeight="1" x14ac:dyDescent="0.3">
      <c r="B13" s="58" t="str">
        <f>'DATA HISTORICAL'!$B7</f>
        <v>24/8/2025</v>
      </c>
      <c r="C13" s="59">
        <f>'DATA HISTORICAL'!$C7</f>
        <v>12640</v>
      </c>
      <c r="D13" s="49">
        <f>'DATA HISTORICAL'!$D7</f>
        <v>4.0511557709110857E-3</v>
      </c>
      <c r="F13" s="60">
        <f>'DATA HISTORICAL'!$G7</f>
        <v>24426.85</v>
      </c>
      <c r="G13" s="49">
        <f>'DATA HISTORICAL'!$H7</f>
        <v>-1.7822606262138052E-2</v>
      </c>
      <c r="K13" s="49"/>
    </row>
    <row r="14" spans="2:17" ht="14.4" customHeight="1" x14ac:dyDescent="0.3">
      <c r="B14" s="58" t="str">
        <f>'DATA HISTORICAL'!$B8</f>
        <v>17/8/2025</v>
      </c>
      <c r="C14" s="59">
        <f>'DATA HISTORICAL'!$C8</f>
        <v>12589</v>
      </c>
      <c r="D14" s="49">
        <f>'DATA HISTORICAL'!$D8</f>
        <v>2.2083299504749521E-2</v>
      </c>
      <c r="F14" s="60">
        <f>'DATA HISTORICAL'!$G8</f>
        <v>24870.1</v>
      </c>
      <c r="G14" s="49">
        <f>'DATA HISTORICAL'!$H8</f>
        <v>9.6949815884666002E-3</v>
      </c>
      <c r="I14" s="5" t="s">
        <v>105</v>
      </c>
      <c r="J14" s="111">
        <v>1</v>
      </c>
    </row>
    <row r="15" spans="2:17" ht="14.4" customHeight="1" x14ac:dyDescent="0.3">
      <c r="B15" s="58">
        <f>'DATA HISTORICAL'!$B9</f>
        <v>45938</v>
      </c>
      <c r="C15" s="59">
        <f>'DATA HISTORICAL'!$C9</f>
        <v>12317</v>
      </c>
      <c r="D15" s="49">
        <f>'DATA HISTORICAL'!$D9</f>
        <v>1.3161141729044923E-2</v>
      </c>
      <c r="F15" s="60">
        <f>'DATA HISTORICAL'!$G9</f>
        <v>24631.3</v>
      </c>
      <c r="G15" s="49">
        <f>'DATA HISTORICAL'!$H9</f>
        <v>1.100015186776826E-2</v>
      </c>
      <c r="I15" s="53" t="s">
        <v>104</v>
      </c>
      <c r="J15" s="49">
        <f>100%-J12</f>
        <v>0.18431638112006499</v>
      </c>
    </row>
    <row r="16" spans="2:17" ht="14.4" customHeight="1" x14ac:dyDescent="0.3">
      <c r="B16" s="58">
        <f>'DATA HISTORICAL'!$B10</f>
        <v>45724</v>
      </c>
      <c r="C16" s="59">
        <f>'DATA HISTORICAL'!$C10</f>
        <v>12157</v>
      </c>
      <c r="D16" s="49">
        <f>'DATA HISTORICAL'!$D10</f>
        <v>3.6324609923223949E-3</v>
      </c>
      <c r="F16" s="60">
        <f>'DATA HISTORICAL'!$G10</f>
        <v>24363.3</v>
      </c>
      <c r="G16" s="49">
        <f>'DATA HISTORICAL'!$H10</f>
        <v>-8.2249998473459263E-3</v>
      </c>
    </row>
    <row r="17" spans="2:14" ht="14.4" customHeight="1" x14ac:dyDescent="0.3">
      <c r="B17" s="58" t="str">
        <f>'DATA HISTORICAL'!$B11</f>
        <v>27/7/2025</v>
      </c>
      <c r="C17" s="59">
        <f>'DATA HISTORICAL'!$C11</f>
        <v>12113</v>
      </c>
      <c r="D17" s="49">
        <f>'DATA HISTORICAL'!$D11</f>
        <v>-1.1183673469387756E-2</v>
      </c>
      <c r="F17" s="60">
        <f>'DATA HISTORICAL'!$G11</f>
        <v>24565.35</v>
      </c>
      <c r="G17" s="49">
        <f>'DATA HISTORICAL'!$H11</f>
        <v>-1.0937311269477057E-2</v>
      </c>
      <c r="I17" s="172" t="s">
        <v>106</v>
      </c>
      <c r="J17" s="186">
        <f>(J11*J12)+(J14*J15)</f>
        <v>1.2664132314363377</v>
      </c>
    </row>
    <row r="18" spans="2:14" ht="14.4" customHeight="1" x14ac:dyDescent="0.3">
      <c r="B18" s="58" t="str">
        <f>'DATA HISTORICAL'!$B12</f>
        <v>20/7/2025</v>
      </c>
      <c r="C18" s="59">
        <f>'DATA HISTORICAL'!$C12</f>
        <v>12250</v>
      </c>
      <c r="D18" s="49">
        <f>'DATA HISTORICAL'!$D12</f>
        <v>-1.9843174907985262E-2</v>
      </c>
      <c r="F18" s="60">
        <f>'DATA HISTORICAL'!$G12</f>
        <v>24837</v>
      </c>
      <c r="G18" s="49">
        <f>'DATA HISTORICAL'!$H12</f>
        <v>-5.2626519921180615E-3</v>
      </c>
    </row>
    <row r="19" spans="2:14" ht="14.4" customHeight="1" x14ac:dyDescent="0.3">
      <c r="B19" s="58" t="str">
        <f>'DATA HISTORICAL'!$B13</f>
        <v>13/7/2025</v>
      </c>
      <c r="C19" s="59">
        <f>'DATA HISTORICAL'!$C13</f>
        <v>12498</v>
      </c>
      <c r="D19" s="49">
        <f>'DATA HISTORICAL'!$D13</f>
        <v>2.4009603841546046E-4</v>
      </c>
      <c r="F19" s="60">
        <f>'DATA HISTORICAL'!$G13</f>
        <v>24968.400000000001</v>
      </c>
      <c r="G19" s="49">
        <f>'DATA HISTORICAL'!$H13</f>
        <v>-7.214754759968578E-3</v>
      </c>
      <c r="I19" s="53" t="s">
        <v>499</v>
      </c>
    </row>
    <row r="20" spans="2:14" ht="14.4" customHeight="1" thickBot="1" x14ac:dyDescent="0.35">
      <c r="B20" s="58">
        <f>'DATA HISTORICAL'!$B14</f>
        <v>45815</v>
      </c>
      <c r="C20" s="59">
        <f>'DATA HISTORICAL'!$C14</f>
        <v>12495</v>
      </c>
      <c r="D20" s="49">
        <f>'DATA HISTORICAL'!$D14</f>
        <v>-8.7957780265468521E-4</v>
      </c>
      <c r="F20" s="60">
        <f>'DATA HISTORICAL'!$G14</f>
        <v>25149.85</v>
      </c>
      <c r="G20" s="49">
        <f>'DATA HISTORICAL'!$H14</f>
        <v>-1.2220651192019205E-2</v>
      </c>
    </row>
    <row r="21" spans="2:14" ht="14.4" customHeight="1" x14ac:dyDescent="0.3">
      <c r="B21" s="58" t="str">
        <f>'DATA HISTORICAL'!$B15</f>
        <v>29/6/2025</v>
      </c>
      <c r="C21" s="59">
        <f>'DATA HISTORICAL'!$C15</f>
        <v>12506</v>
      </c>
      <c r="D21" s="49">
        <f>'DATA HISTORICAL'!$D15</f>
        <v>2.3990829444034967E-2</v>
      </c>
      <c r="F21" s="60">
        <f>'DATA HISTORICAL'!$G15</f>
        <v>25461</v>
      </c>
      <c r="G21" s="49">
        <f>'DATA HISTORICAL'!$H15</f>
        <v>-6.8960675252947023E-3</v>
      </c>
      <c r="I21" s="245" t="s">
        <v>500</v>
      </c>
      <c r="J21" s="245"/>
    </row>
    <row r="22" spans="2:14" ht="14.4" customHeight="1" x14ac:dyDescent="0.3">
      <c r="B22" s="58" t="str">
        <f>'DATA HISTORICAL'!$B16</f>
        <v>22/6/2025</v>
      </c>
      <c r="C22" s="59">
        <f>'DATA HISTORICAL'!$C16</f>
        <v>12213</v>
      </c>
      <c r="D22" s="49">
        <f>'DATA HISTORICAL'!$D16</f>
        <v>6.5892825973119296E-2</v>
      </c>
      <c r="F22" s="60">
        <f>'DATA HISTORICAL'!$G16</f>
        <v>25637.8</v>
      </c>
      <c r="G22" s="49">
        <f>'DATA HISTORICAL'!$H16</f>
        <v>2.092193498032846E-2</v>
      </c>
      <c r="I22" s="53" t="s">
        <v>501</v>
      </c>
      <c r="J22" s="53">
        <v>0.67371486676261161</v>
      </c>
    </row>
    <row r="23" spans="2:14" ht="14.4" customHeight="1" x14ac:dyDescent="0.3">
      <c r="B23" s="58" t="str">
        <f>'DATA HISTORICAL'!$B17</f>
        <v>15/6/2025</v>
      </c>
      <c r="C23" s="59">
        <f>'DATA HISTORICAL'!$C17</f>
        <v>11458</v>
      </c>
      <c r="D23" s="49">
        <f>'DATA HISTORICAL'!$D17</f>
        <v>2.084818246614395E-2</v>
      </c>
      <c r="F23" s="60">
        <f>'DATA HISTORICAL'!$G17</f>
        <v>25112.400000000001</v>
      </c>
      <c r="G23" s="49">
        <f>'DATA HISTORICAL'!$H17</f>
        <v>1.5931322971365791E-2</v>
      </c>
      <c r="I23" s="53" t="s">
        <v>502</v>
      </c>
      <c r="J23" s="53">
        <v>0.45389172169696357</v>
      </c>
    </row>
    <row r="24" spans="2:14" ht="14.4" customHeight="1" x14ac:dyDescent="0.3">
      <c r="B24" s="58">
        <f>'DATA HISTORICAL'!$B18</f>
        <v>45875</v>
      </c>
      <c r="C24" s="59">
        <f>'DATA HISTORICAL'!$C18</f>
        <v>11224</v>
      </c>
      <c r="D24" s="49">
        <f>'DATA HISTORICAL'!$D18</f>
        <v>-2.5770905536300903E-3</v>
      </c>
      <c r="F24" s="60">
        <f>'DATA HISTORICAL'!$G18</f>
        <v>24718.6</v>
      </c>
      <c r="G24" s="49">
        <f>'DATA HISTORICAL'!$H18</f>
        <v>-1.1376612053329516E-2</v>
      </c>
      <c r="I24" s="53" t="s">
        <v>503</v>
      </c>
      <c r="J24" s="53">
        <v>0.44848470904049786</v>
      </c>
    </row>
    <row r="25" spans="2:14" ht="14.4" customHeight="1" x14ac:dyDescent="0.3">
      <c r="B25" s="58">
        <f>'DATA HISTORICAL'!$B19</f>
        <v>45663</v>
      </c>
      <c r="C25" s="59">
        <f>'DATA HISTORICAL'!$C19</f>
        <v>11253</v>
      </c>
      <c r="D25" s="49">
        <f>'DATA HISTORICAL'!$D19</f>
        <v>3.8358608385369308E-3</v>
      </c>
      <c r="F25" s="60">
        <f>'DATA HISTORICAL'!$G19</f>
        <v>25003.05</v>
      </c>
      <c r="G25" s="49">
        <f>'DATA HISTORICAL'!$H19</f>
        <v>1.0195671233540704E-2</v>
      </c>
      <c r="I25" s="53" t="s">
        <v>504</v>
      </c>
      <c r="J25" s="53">
        <v>2.5214369493872277E-2</v>
      </c>
    </row>
    <row r="26" spans="2:14" ht="14.4" customHeight="1" thickBot="1" x14ac:dyDescent="0.35">
      <c r="B26" s="58" t="str">
        <f>'DATA HISTORICAL'!$B20</f>
        <v>25/5/2025</v>
      </c>
      <c r="C26" s="59">
        <f>'DATA HISTORICAL'!$C20</f>
        <v>11210</v>
      </c>
      <c r="D26" s="49">
        <f>'DATA HISTORICAL'!$D20</f>
        <v>-4.5632555763664207E-2</v>
      </c>
      <c r="F26" s="60">
        <f>'DATA HISTORICAL'!$G20</f>
        <v>24750.7</v>
      </c>
      <c r="G26" s="49">
        <f>'DATA HISTORICAL'!$H20</f>
        <v>-4.1222138843567402E-3</v>
      </c>
      <c r="I26" s="246" t="s">
        <v>505</v>
      </c>
      <c r="J26" s="246">
        <v>103</v>
      </c>
    </row>
    <row r="27" spans="2:14" ht="14.4" customHeight="1" x14ac:dyDescent="0.3">
      <c r="B27" s="58" t="str">
        <f>'DATA HISTORICAL'!$B21</f>
        <v>18/5/2025</v>
      </c>
      <c r="C27" s="59">
        <f>'DATA HISTORICAL'!$C21</f>
        <v>11746</v>
      </c>
      <c r="D27" s="49">
        <f>'DATA HISTORICAL'!$D21</f>
        <v>-1.3355732885342309E-2</v>
      </c>
      <c r="F27" s="60">
        <f>'DATA HISTORICAL'!$G21</f>
        <v>24853.15</v>
      </c>
      <c r="G27" s="49">
        <f>'DATA HISTORICAL'!$H21</f>
        <v>-6.660724706032739E-3</v>
      </c>
    </row>
    <row r="28" spans="2:14" ht="14.4" customHeight="1" thickBot="1" x14ac:dyDescent="0.35">
      <c r="B28" s="58">
        <f>'DATA HISTORICAL'!$B22</f>
        <v>45966</v>
      </c>
      <c r="C28" s="59">
        <f>'DATA HISTORICAL'!$C22</f>
        <v>11905</v>
      </c>
      <c r="D28" s="49">
        <f>'DATA HISTORICAL'!$D22</f>
        <v>4.7606476592749081E-2</v>
      </c>
      <c r="F28" s="60">
        <f>'DATA HISTORICAL'!$G22</f>
        <v>25019.8</v>
      </c>
      <c r="G28" s="49">
        <f>'DATA HISTORICAL'!$H22</f>
        <v>4.2144285238253865E-2</v>
      </c>
      <c r="I28" s="53" t="s">
        <v>506</v>
      </c>
    </row>
    <row r="29" spans="2:14" ht="14.4" customHeight="1" x14ac:dyDescent="0.3">
      <c r="B29" s="58">
        <f>'DATA HISTORICAL'!$B23</f>
        <v>45752</v>
      </c>
      <c r="C29" s="59">
        <f>'DATA HISTORICAL'!$C23</f>
        <v>11364</v>
      </c>
      <c r="D29" s="49">
        <f>'DATA HISTORICAL'!$D23</f>
        <v>-2.4046719340432787E-2</v>
      </c>
      <c r="F29" s="60">
        <f>'DATA HISTORICAL'!$G23</f>
        <v>24008</v>
      </c>
      <c r="G29" s="49">
        <f>'DATA HISTORICAL'!$H23</f>
        <v>-1.391153626569519E-2</v>
      </c>
      <c r="I29" s="247"/>
      <c r="J29" s="247" t="s">
        <v>511</v>
      </c>
      <c r="K29" s="247" t="s">
        <v>512</v>
      </c>
      <c r="L29" s="247" t="s">
        <v>513</v>
      </c>
      <c r="M29" s="247" t="s">
        <v>514</v>
      </c>
      <c r="N29" s="247" t="s">
        <v>515</v>
      </c>
    </row>
    <row r="30" spans="2:14" ht="14.4" customHeight="1" x14ac:dyDescent="0.3">
      <c r="B30" s="58" t="str">
        <f>'DATA HISTORICAL'!$B24</f>
        <v>27/4/2025</v>
      </c>
      <c r="C30" s="59">
        <f>'DATA HISTORICAL'!$C24</f>
        <v>11644</v>
      </c>
      <c r="D30" s="49">
        <f>'DATA HISTORICAL'!$D24</f>
        <v>-4.8459589768734213E-2</v>
      </c>
      <c r="F30" s="60">
        <f>'DATA HISTORICAL'!$G24</f>
        <v>24346.7</v>
      </c>
      <c r="G30" s="49">
        <f>'DATA HISTORICAL'!$H24</f>
        <v>1.2785287455775673E-2</v>
      </c>
      <c r="I30" s="53" t="s">
        <v>507</v>
      </c>
      <c r="J30" s="53">
        <v>1</v>
      </c>
      <c r="K30" s="53">
        <v>5.3369250193155471E-2</v>
      </c>
      <c r="L30" s="53">
        <v>5.3369250193155471E-2</v>
      </c>
      <c r="M30" s="53">
        <v>83.945008183807332</v>
      </c>
      <c r="N30" s="53">
        <v>6.2787022550102824E-15</v>
      </c>
    </row>
    <row r="31" spans="2:14" ht="14.4" customHeight="1" x14ac:dyDescent="0.3">
      <c r="B31" s="58" t="str">
        <f>'DATA HISTORICAL'!$B25</f>
        <v>20/4/2025</v>
      </c>
      <c r="C31" s="59">
        <f>'DATA HISTORICAL'!$C25</f>
        <v>12237</v>
      </c>
      <c r="D31" s="49">
        <f>'DATA HISTORICAL'!$D25</f>
        <v>2.8232921603226657E-2</v>
      </c>
      <c r="F31" s="60">
        <f>'DATA HISTORICAL'!$G25</f>
        <v>24039.35</v>
      </c>
      <c r="G31" s="49">
        <f>'DATA HISTORICAL'!$H25</f>
        <v>7.86947653516612E-3</v>
      </c>
      <c r="I31" s="53" t="s">
        <v>508</v>
      </c>
      <c r="J31" s="53">
        <v>101</v>
      </c>
      <c r="K31" s="53">
        <v>6.421220732632521E-2</v>
      </c>
      <c r="L31" s="53">
        <v>6.357644289735169E-4</v>
      </c>
    </row>
    <row r="32" spans="2:14" ht="14.4" customHeight="1" thickBot="1" x14ac:dyDescent="0.35">
      <c r="B32" s="58" t="str">
        <f>'DATA HISTORICAL'!$B26</f>
        <v>13/4/2025</v>
      </c>
      <c r="C32" s="59">
        <f>'DATA HISTORICAL'!$C26</f>
        <v>11901</v>
      </c>
      <c r="D32" s="49">
        <f>'DATA HISTORICAL'!$D26</f>
        <v>3.4631150213211725E-2</v>
      </c>
      <c r="F32" s="60">
        <f>'DATA HISTORICAL'!$G26</f>
        <v>23851.65</v>
      </c>
      <c r="G32" s="49">
        <f>'DATA HISTORICAL'!$H26</f>
        <v>4.4816687875489425E-2</v>
      </c>
      <c r="I32" s="246" t="s">
        <v>509</v>
      </c>
      <c r="J32" s="246">
        <v>102</v>
      </c>
      <c r="K32" s="246">
        <v>0.11758145751948068</v>
      </c>
      <c r="L32" s="246"/>
      <c r="M32" s="246"/>
      <c r="N32" s="246"/>
    </row>
    <row r="33" spans="2:17" ht="14.4" customHeight="1" thickBot="1" x14ac:dyDescent="0.35">
      <c r="B33" s="58">
        <f>'DATA HISTORICAL'!$B27</f>
        <v>45812</v>
      </c>
      <c r="C33" s="59">
        <f>'DATA HISTORICAL'!$C27</f>
        <v>11502.65</v>
      </c>
      <c r="D33" s="49">
        <f>'DATA HISTORICAL'!$D27</f>
        <v>3.4786692350841086E-4</v>
      </c>
      <c r="F33" s="60">
        <f>'DATA HISTORICAL'!$G27</f>
        <v>22828.55</v>
      </c>
      <c r="G33" s="49">
        <f>'DATA HISTORICAL'!$H27</f>
        <v>-3.3137665388167648E-3</v>
      </c>
    </row>
    <row r="34" spans="2:17" ht="14.4" customHeight="1" x14ac:dyDescent="0.3">
      <c r="B34" s="58" t="str">
        <f>'DATA HISTORICAL'!$B28</f>
        <v>30/3/2025</v>
      </c>
      <c r="C34" s="59">
        <f>'DATA HISTORICAL'!$C28</f>
        <v>11498.65</v>
      </c>
      <c r="D34" s="49">
        <f>'DATA HISTORICAL'!$D28</f>
        <v>-9.4703963230535759E-4</v>
      </c>
      <c r="F34" s="60">
        <f>'DATA HISTORICAL'!$G28</f>
        <v>22904.45</v>
      </c>
      <c r="G34" s="49">
        <f>'DATA HISTORICAL'!$H28</f>
        <v>-2.6144430011883713E-2</v>
      </c>
      <c r="I34" s="247"/>
      <c r="J34" s="247" t="s">
        <v>516</v>
      </c>
      <c r="K34" s="247" t="s">
        <v>504</v>
      </c>
      <c r="L34" s="247" t="s">
        <v>517</v>
      </c>
      <c r="M34" s="247" t="s">
        <v>518</v>
      </c>
      <c r="N34" s="247" t="s">
        <v>519</v>
      </c>
      <c r="O34" s="247" t="s">
        <v>520</v>
      </c>
      <c r="P34" s="247" t="s">
        <v>521</v>
      </c>
      <c r="Q34" s="247" t="s">
        <v>522</v>
      </c>
    </row>
    <row r="35" spans="2:17" ht="14.4" customHeight="1" x14ac:dyDescent="0.3">
      <c r="B35" s="58" t="str">
        <f>'DATA HISTORICAL'!$B29</f>
        <v>23/3/2025</v>
      </c>
      <c r="C35" s="59">
        <f>'DATA HISTORICAL'!$C29</f>
        <v>11509.55</v>
      </c>
      <c r="D35" s="49">
        <f>'DATA HISTORICAL'!$D29</f>
        <v>4.8538957341653921E-2</v>
      </c>
      <c r="F35" s="60">
        <f>'DATA HISTORICAL'!$G29</f>
        <v>23519.35</v>
      </c>
      <c r="G35" s="49">
        <f>'DATA HISTORICAL'!$H29</f>
        <v>7.2354220912702605E-3</v>
      </c>
      <c r="I35" s="53" t="s">
        <v>510</v>
      </c>
      <c r="J35" s="53">
        <v>1.4473966675107564E-3</v>
      </c>
      <c r="K35" s="53">
        <v>2.5031070975266448E-3</v>
      </c>
      <c r="L35" s="53">
        <v>0.57824000776512896</v>
      </c>
      <c r="M35" s="53">
        <v>0.56438918989704057</v>
      </c>
      <c r="N35" s="53">
        <v>-3.5180944855710667E-3</v>
      </c>
      <c r="O35" s="53">
        <v>6.4128878205925791E-3</v>
      </c>
      <c r="P35" s="53">
        <v>-3.5180944855710667E-3</v>
      </c>
      <c r="Q35" s="53">
        <v>6.4128878205925791E-3</v>
      </c>
    </row>
    <row r="36" spans="2:17" ht="14.4" customHeight="1" thickBot="1" x14ac:dyDescent="0.35">
      <c r="B36" s="58" t="str">
        <f>'DATA HISTORICAL'!$B30</f>
        <v>16/3/2025</v>
      </c>
      <c r="C36" s="59">
        <f>'DATA HISTORICAL'!$C30</f>
        <v>10976.75</v>
      </c>
      <c r="D36" s="49">
        <f>'DATA HISTORICAL'!$D30</f>
        <v>5.0195654461782757E-2</v>
      </c>
      <c r="F36" s="60">
        <f>'DATA HISTORICAL'!$G30</f>
        <v>23350.400000000001</v>
      </c>
      <c r="G36" s="49">
        <f>'DATA HISTORICAL'!$H30</f>
        <v>4.2558891289982803E-2</v>
      </c>
      <c r="I36" s="248" t="s">
        <v>523</v>
      </c>
      <c r="J36" s="248">
        <v>1.3233879853331822</v>
      </c>
      <c r="K36" s="246">
        <v>0.14444075491796596</v>
      </c>
      <c r="L36" s="246">
        <v>9.162150849216971</v>
      </c>
      <c r="M36" s="246">
        <v>6.2787022550103968E-15</v>
      </c>
      <c r="N36" s="246">
        <v>1.036856381712101</v>
      </c>
      <c r="O36" s="246">
        <v>1.6099195889542635</v>
      </c>
      <c r="P36" s="246">
        <v>1.036856381712101</v>
      </c>
      <c r="Q36" s="246">
        <v>1.6099195889542635</v>
      </c>
    </row>
    <row r="37" spans="2:17" ht="14.4" customHeight="1" x14ac:dyDescent="0.3">
      <c r="B37" s="58">
        <f>'DATA HISTORICAL'!$B31</f>
        <v>45903</v>
      </c>
      <c r="C37" s="59">
        <f>'DATA HISTORICAL'!$C31</f>
        <v>10452.1</v>
      </c>
      <c r="D37" s="49">
        <f>'DATA HISTORICAL'!$D31</f>
        <v>-1.2312896885394498E-2</v>
      </c>
      <c r="F37" s="60">
        <f>'DATA HISTORICAL'!$G31</f>
        <v>22397.200000000001</v>
      </c>
      <c r="G37" s="49">
        <f>'DATA HISTORICAL'!$H31</f>
        <v>-6.8861545283227521E-3</v>
      </c>
    </row>
    <row r="38" spans="2:17" ht="14.4" customHeight="1" x14ac:dyDescent="0.3">
      <c r="B38" s="58">
        <f>'DATA HISTORICAL'!$B32</f>
        <v>45691</v>
      </c>
      <c r="C38" s="59">
        <f>'DATA HISTORICAL'!$C32</f>
        <v>10582.4</v>
      </c>
      <c r="D38" s="49">
        <f>'DATA HISTORICAL'!$D32</f>
        <v>4.4819296141067833E-2</v>
      </c>
      <c r="F38" s="60">
        <f>'DATA HISTORICAL'!$G32</f>
        <v>22552.5</v>
      </c>
      <c r="G38" s="49">
        <f>'DATA HISTORICAL'!$H32</f>
        <v>1.9335855401429125E-2</v>
      </c>
    </row>
    <row r="39" spans="2:17" ht="14.4" customHeight="1" x14ac:dyDescent="0.3">
      <c r="B39" s="58" t="str">
        <f>'DATA HISTORICAL'!$B33</f>
        <v>23/2/2025</v>
      </c>
      <c r="C39" s="59">
        <f>'DATA HISTORICAL'!$C33</f>
        <v>10128.450000000001</v>
      </c>
      <c r="D39" s="49">
        <f>'DATA HISTORICAL'!$D33</f>
        <v>-9.2209101705169272E-2</v>
      </c>
      <c r="F39" s="60">
        <f>'DATA HISTORICAL'!$G33</f>
        <v>22124.7</v>
      </c>
      <c r="G39" s="49">
        <f>'DATA HISTORICAL'!$H33</f>
        <v>-2.9443891226053842E-2</v>
      </c>
    </row>
    <row r="40" spans="2:17" ht="14.4" customHeight="1" x14ac:dyDescent="0.3">
      <c r="B40" s="58" t="str">
        <f>'DATA HISTORICAL'!$B34</f>
        <v>16/2/2025</v>
      </c>
      <c r="C40" s="59">
        <f>'DATA HISTORICAL'!$C34</f>
        <v>11157.25</v>
      </c>
      <c r="D40" s="49">
        <f>'DATA HISTORICAL'!$D34</f>
        <v>-9.4639044376478854E-3</v>
      </c>
      <c r="F40" s="60">
        <f>'DATA HISTORICAL'!$G34</f>
        <v>22795.9</v>
      </c>
      <c r="G40" s="49">
        <f>'DATA HISTORICAL'!$H34</f>
        <v>-5.8157157342695331E-3</v>
      </c>
    </row>
    <row r="41" spans="2:17" ht="14.4" customHeight="1" x14ac:dyDescent="0.3">
      <c r="B41" s="58">
        <f>'DATA HISTORICAL'!$B35</f>
        <v>45902</v>
      </c>
      <c r="C41" s="59">
        <f>'DATA HISTORICAL'!$C35</f>
        <v>11263.85</v>
      </c>
      <c r="D41" s="49">
        <f>'DATA HISTORICAL'!$D35</f>
        <v>-3.2365170180231218E-2</v>
      </c>
      <c r="F41" s="60">
        <f>'DATA HISTORICAL'!$G35</f>
        <v>22929.25</v>
      </c>
      <c r="G41" s="49">
        <f>'DATA HISTORICAL'!$H35</f>
        <v>-2.6770005878620329E-2</v>
      </c>
    </row>
    <row r="42" spans="2:17" ht="14.4" customHeight="1" x14ac:dyDescent="0.3">
      <c r="B42" s="58">
        <f>'DATA HISTORICAL'!$B36</f>
        <v>45690</v>
      </c>
      <c r="C42" s="59">
        <f>'DATA HISTORICAL'!$C36</f>
        <v>11640.6</v>
      </c>
      <c r="D42" s="49">
        <f>'DATA HISTORICAL'!$D36</f>
        <v>1.3331940508990225E-2</v>
      </c>
      <c r="F42" s="60">
        <f>'DATA HISTORICAL'!$G36</f>
        <v>23559.95</v>
      </c>
      <c r="G42" s="49">
        <f>'DATA HISTORICAL'!$H36</f>
        <v>2.1928332000475947E-3</v>
      </c>
    </row>
    <row r="43" spans="2:17" ht="14.4" customHeight="1" x14ac:dyDescent="0.3">
      <c r="B43" s="58" t="str">
        <f>'DATA HISTORICAL'!$B37</f>
        <v>26/1/2025</v>
      </c>
      <c r="C43" s="59">
        <f>'DATA HISTORICAL'!$C37</f>
        <v>11487.45</v>
      </c>
      <c r="D43" s="49">
        <f>'DATA HISTORICAL'!$D37</f>
        <v>1.7863076330094874E-2</v>
      </c>
      <c r="F43" s="60">
        <f>'DATA HISTORICAL'!$G37</f>
        <v>23508.400000000001</v>
      </c>
      <c r="G43" s="49">
        <f>'DATA HISTORICAL'!$H37</f>
        <v>1.8023401841314346E-2</v>
      </c>
    </row>
    <row r="44" spans="2:17" ht="14.4" customHeight="1" x14ac:dyDescent="0.3">
      <c r="B44" s="58" t="str">
        <f>'DATA HISTORICAL'!$B38</f>
        <v>19/1/2025</v>
      </c>
      <c r="C44" s="59">
        <f>'DATA HISTORICAL'!$C38</f>
        <v>11285.85</v>
      </c>
      <c r="D44" s="49">
        <f>'DATA HISTORICAL'!$D38</f>
        <v>6.671550094517964E-2</v>
      </c>
      <c r="F44" s="60">
        <f>'DATA HISTORICAL'!$G38</f>
        <v>23092.2</v>
      </c>
      <c r="G44" s="49">
        <f>'DATA HISTORICAL'!$H38</f>
        <v>-4.7838229209764549E-3</v>
      </c>
    </row>
    <row r="45" spans="2:17" ht="14.4" customHeight="1" x14ac:dyDescent="0.3">
      <c r="B45" s="58">
        <f>'DATA HISTORICAL'!$B39</f>
        <v>45992</v>
      </c>
      <c r="C45" s="59">
        <f>'DATA HISTORICAL'!$C39</f>
        <v>10580</v>
      </c>
      <c r="D45" s="49">
        <f>'DATA HISTORICAL'!$D39</f>
        <v>-2.6248941574936513E-2</v>
      </c>
      <c r="F45" s="60">
        <f>'DATA HISTORICAL'!$G39</f>
        <v>23203.200000000001</v>
      </c>
      <c r="G45" s="49">
        <f>'DATA HISTORICAL'!$H39</f>
        <v>-9.7432942833365344E-3</v>
      </c>
    </row>
    <row r="46" spans="2:17" ht="14.4" customHeight="1" x14ac:dyDescent="0.3">
      <c r="B46" s="58">
        <f>'DATA HISTORICAL'!$B40</f>
        <v>45778</v>
      </c>
      <c r="C46" s="59">
        <f>'DATA HISTORICAL'!$C40</f>
        <v>10865.2</v>
      </c>
      <c r="D46" s="49">
        <f>'DATA HISTORICAL'!$D40</f>
        <v>-7.8126590870524315E-2</v>
      </c>
      <c r="F46" s="60">
        <f>'DATA HISTORICAL'!$G40</f>
        <v>23431.5</v>
      </c>
      <c r="G46" s="49">
        <f>'DATA HISTORICAL'!$H40</f>
        <v>-2.3880690280048689E-2</v>
      </c>
    </row>
    <row r="47" spans="2:17" ht="14.4" customHeight="1" x14ac:dyDescent="0.3">
      <c r="B47" s="58" t="str">
        <f>'DATA HISTORICAL'!$B41</f>
        <v>29/12/2024</v>
      </c>
      <c r="C47" s="59">
        <f>'DATA HISTORICAL'!$C41</f>
        <v>11786</v>
      </c>
      <c r="D47" s="49">
        <f>'DATA HISTORICAL'!$D41</f>
        <v>3.326597437437262E-2</v>
      </c>
      <c r="F47" s="60">
        <f>'DATA HISTORICAL'!$G41</f>
        <v>24004.75</v>
      </c>
      <c r="G47" s="49">
        <f>'DATA HISTORICAL'!$H41</f>
        <v>8.035391838208783E-3</v>
      </c>
    </row>
    <row r="48" spans="2:17" ht="14.4" customHeight="1" x14ac:dyDescent="0.3">
      <c r="B48" s="58" t="str">
        <f>'DATA HISTORICAL'!$B42</f>
        <v>22/12/2024</v>
      </c>
      <c r="C48" s="59">
        <f>'DATA HISTORICAL'!$C42</f>
        <v>11406.55</v>
      </c>
      <c r="D48" s="49">
        <f>'DATA HISTORICAL'!$D42</f>
        <v>-1.4225934096718795E-3</v>
      </c>
      <c r="F48" s="60">
        <f>'DATA HISTORICAL'!$G42</f>
        <v>23813.4</v>
      </c>
      <c r="G48" s="49">
        <f>'DATA HISTORICAL'!$H42</f>
        <v>9.5771065182830295E-3</v>
      </c>
    </row>
    <row r="49" spans="2:7" ht="14.4" customHeight="1" x14ac:dyDescent="0.3">
      <c r="B49" s="58" t="str">
        <f>'DATA HISTORICAL'!$B43</f>
        <v>15/12/2024</v>
      </c>
      <c r="C49" s="59">
        <f>'DATA HISTORICAL'!$C43</f>
        <v>11422.8</v>
      </c>
      <c r="D49" s="49">
        <f>'DATA HISTORICAL'!$D43</f>
        <v>-5.4709158467051267E-2</v>
      </c>
      <c r="F49" s="60">
        <f>'DATA HISTORICAL'!$G43</f>
        <v>23587.5</v>
      </c>
      <c r="G49" s="49">
        <f>'DATA HISTORICAL'!$H43</f>
        <v>-4.7673841159869612E-2</v>
      </c>
    </row>
    <row r="50" spans="2:7" ht="14.4" customHeight="1" x14ac:dyDescent="0.3">
      <c r="B50" s="58">
        <f>'DATA HISTORICAL'!$B44</f>
        <v>45516</v>
      </c>
      <c r="C50" s="59">
        <f>'DATA HISTORICAL'!$C44</f>
        <v>12083.9</v>
      </c>
      <c r="D50" s="49">
        <f>'DATA HISTORICAL'!$D44</f>
        <v>1.9867493775583389E-2</v>
      </c>
      <c r="F50" s="60">
        <f>'DATA HISTORICAL'!$G44</f>
        <v>24768.3</v>
      </c>
      <c r="G50" s="49">
        <f>'DATA HISTORICAL'!$H44</f>
        <v>3.6672636944945491E-3</v>
      </c>
    </row>
    <row r="51" spans="2:7" ht="14.4" customHeight="1" x14ac:dyDescent="0.3">
      <c r="B51" s="58">
        <f>'DATA HISTORICAL'!$B45</f>
        <v>45303</v>
      </c>
      <c r="C51" s="59">
        <f>'DATA HISTORICAL'!$C45</f>
        <v>11848.5</v>
      </c>
      <c r="D51" s="49">
        <f>'DATA HISTORICAL'!$D45</f>
        <v>5.7698745330137635E-2</v>
      </c>
      <c r="F51" s="60">
        <f>'DATA HISTORICAL'!$G45</f>
        <v>24677.8</v>
      </c>
      <c r="G51" s="49">
        <f>'DATA HISTORICAL'!$H45</f>
        <v>2.2655411481449228E-2</v>
      </c>
    </row>
    <row r="52" spans="2:7" ht="14.4" customHeight="1" x14ac:dyDescent="0.3">
      <c r="B52" s="58" t="str">
        <f>'DATA HISTORICAL'!$B46</f>
        <v>24/11/2024</v>
      </c>
      <c r="C52" s="59">
        <f>'DATA HISTORICAL'!$C46</f>
        <v>11202.15</v>
      </c>
      <c r="D52" s="49">
        <f>'DATA HISTORICAL'!$D46</f>
        <v>-1.5221576573804629E-2</v>
      </c>
      <c r="F52" s="60">
        <f>'DATA HISTORICAL'!$G46</f>
        <v>24131.1</v>
      </c>
      <c r="G52" s="49">
        <f>'DATA HISTORICAL'!$H46</f>
        <v>9.3632684645870157E-3</v>
      </c>
    </row>
    <row r="53" spans="2:7" ht="14.4" customHeight="1" x14ac:dyDescent="0.3">
      <c r="B53" s="58" t="str">
        <f>'DATA HISTORICAL'!$B47</f>
        <v>17/11/2024</v>
      </c>
      <c r="C53" s="59">
        <f>'DATA HISTORICAL'!$C47</f>
        <v>11375.3</v>
      </c>
      <c r="D53" s="49">
        <f>'DATA HISTORICAL'!$D47</f>
        <v>6.0288017896257484E-2</v>
      </c>
      <c r="F53" s="60">
        <f>'DATA HISTORICAL'!$G47</f>
        <v>23907.25</v>
      </c>
      <c r="G53" s="49">
        <f>'DATA HISTORICAL'!$H47</f>
        <v>1.5916150717937061E-2</v>
      </c>
    </row>
    <row r="54" spans="2:7" ht="14.4" customHeight="1" x14ac:dyDescent="0.3">
      <c r="B54" s="58">
        <f>'DATA HISTORICAL'!$B48</f>
        <v>45576</v>
      </c>
      <c r="C54" s="59">
        <f>'DATA HISTORICAL'!$C48</f>
        <v>10728.5</v>
      </c>
      <c r="D54" s="49">
        <f>'DATA HISTORICAL'!$D48</f>
        <v>-2.851037049446048E-2</v>
      </c>
      <c r="F54" s="60">
        <f>'DATA HISTORICAL'!$G48</f>
        <v>23532.7</v>
      </c>
      <c r="G54" s="49">
        <f>'DATA HISTORICAL'!$H48</f>
        <v>-2.5488442202731498E-2</v>
      </c>
    </row>
    <row r="55" spans="2:7" ht="14.4" customHeight="1" x14ac:dyDescent="0.3">
      <c r="B55" s="58">
        <f>'DATA HISTORICAL'!$B49</f>
        <v>45362</v>
      </c>
      <c r="C55" s="59">
        <f>'DATA HISTORICAL'!$C49</f>
        <v>11043.35</v>
      </c>
      <c r="D55" s="49">
        <f>'DATA HISTORICAL'!$D49</f>
        <v>-9.1918031904393294E-3</v>
      </c>
      <c r="F55" s="60">
        <f>'DATA HISTORICAL'!$G49</f>
        <v>24148.2</v>
      </c>
      <c r="G55" s="49">
        <f>'DATA HISTORICAL'!$H49</f>
        <v>-6.4247758117372822E-3</v>
      </c>
    </row>
    <row r="56" spans="2:7" ht="14.4" customHeight="1" x14ac:dyDescent="0.3">
      <c r="B56" s="58" t="str">
        <f>'DATA HISTORICAL'!$B50</f>
        <v>27/10/2024</v>
      </c>
      <c r="C56" s="59">
        <f>'DATA HISTORICAL'!$C50</f>
        <v>11145.8</v>
      </c>
      <c r="D56" s="49">
        <f>'DATA HISTORICAL'!$D50</f>
        <v>1.3696885913853096E-2</v>
      </c>
      <c r="F56" s="60">
        <f>'DATA HISTORICAL'!$G50</f>
        <v>24304.35</v>
      </c>
      <c r="G56" s="49">
        <f>'DATA HISTORICAL'!$H50</f>
        <v>5.1094256600276999E-3</v>
      </c>
    </row>
    <row r="57" spans="2:7" ht="14.4" customHeight="1" x14ac:dyDescent="0.3">
      <c r="B57" s="58" t="str">
        <f>'DATA HISTORICAL'!$B51</f>
        <v>20/10/2024</v>
      </c>
      <c r="C57" s="59">
        <f>'DATA HISTORICAL'!$C51</f>
        <v>10995.2</v>
      </c>
      <c r="D57" s="49">
        <f>'DATA HISTORICAL'!$D51</f>
        <v>-6.6941902378649942E-3</v>
      </c>
      <c r="F57" s="60">
        <f>'DATA HISTORICAL'!$G51</f>
        <v>24180.799999999999</v>
      </c>
      <c r="G57" s="49">
        <f>'DATA HISTORICAL'!$H51</f>
        <v>-2.7088140564616281E-2</v>
      </c>
    </row>
    <row r="58" spans="2:7" ht="14.4" customHeight="1" x14ac:dyDescent="0.3">
      <c r="B58" s="58" t="str">
        <f>'DATA HISTORICAL'!$B52</f>
        <v>13/10/2024</v>
      </c>
      <c r="C58" s="59">
        <f>'DATA HISTORICAL'!$C52</f>
        <v>11069.3</v>
      </c>
      <c r="D58" s="49">
        <f>'DATA HISTORICAL'!$D52</f>
        <v>-3.0819608976211166E-2</v>
      </c>
      <c r="F58" s="60">
        <f>'DATA HISTORICAL'!$G52</f>
        <v>24854.05</v>
      </c>
      <c r="G58" s="49">
        <f>'DATA HISTORICAL'!$H52</f>
        <v>-4.4143124668275524E-3</v>
      </c>
    </row>
    <row r="59" spans="2:7" ht="14.4" customHeight="1" x14ac:dyDescent="0.3">
      <c r="B59" s="58">
        <f>'DATA HISTORICAL'!$B53</f>
        <v>45453</v>
      </c>
      <c r="C59" s="59">
        <f>'DATA HISTORICAL'!$C53</f>
        <v>11421.3</v>
      </c>
      <c r="D59" s="49">
        <f>'DATA HISTORICAL'!$D53</f>
        <v>-2.5283290757844856E-3</v>
      </c>
      <c r="F59" s="60">
        <f>'DATA HISTORICAL'!$G53</f>
        <v>24964.25</v>
      </c>
      <c r="G59" s="49">
        <f>'DATA HISTORICAL'!$H53</f>
        <v>-2.0128245104857889E-3</v>
      </c>
    </row>
    <row r="60" spans="2:7" ht="14.4" customHeight="1" x14ac:dyDescent="0.3">
      <c r="B60" s="58" t="str">
        <f>'DATA HISTORICAL'!$B54</f>
        <v>29/9/2024</v>
      </c>
      <c r="C60" s="59">
        <f>'DATA HISTORICAL'!$C54</f>
        <v>11450.25</v>
      </c>
      <c r="D60" s="49">
        <f>'DATA HISTORICAL'!$D54</f>
        <v>-4.20044677593433E-2</v>
      </c>
      <c r="F60" s="60">
        <f>'DATA HISTORICAL'!$G54</f>
        <v>25014.6</v>
      </c>
      <c r="G60" s="49">
        <f>'DATA HISTORICAL'!$H54</f>
        <v>-4.4476573735768743E-2</v>
      </c>
    </row>
    <row r="61" spans="2:7" ht="14.4" customHeight="1" x14ac:dyDescent="0.3">
      <c r="B61" s="58" t="str">
        <f>'DATA HISTORICAL'!$B55</f>
        <v>22/9/2024</v>
      </c>
      <c r="C61" s="59">
        <f>'DATA HISTORICAL'!$C55</f>
        <v>11952.3</v>
      </c>
      <c r="D61" s="49">
        <f>'DATA HISTORICAL'!$D55</f>
        <v>1.3052727935380481E-2</v>
      </c>
      <c r="F61" s="60">
        <f>'DATA HISTORICAL'!$G55</f>
        <v>26178.95</v>
      </c>
      <c r="G61" s="49">
        <f>'DATA HISTORICAL'!$H55</f>
        <v>1.5044036764834123E-2</v>
      </c>
    </row>
    <row r="62" spans="2:7" ht="14.4" customHeight="1" x14ac:dyDescent="0.3">
      <c r="B62" s="58" t="str">
        <f>'DATA HISTORICAL'!$B56</f>
        <v>15/9/2024</v>
      </c>
      <c r="C62" s="59">
        <f>'DATA HISTORICAL'!$C56</f>
        <v>11798.3</v>
      </c>
      <c r="D62" s="49">
        <f>'DATA HISTORICAL'!$D56</f>
        <v>6.8570014379647493E-3</v>
      </c>
      <c r="F62" s="60">
        <f>'DATA HISTORICAL'!$G56</f>
        <v>25790.95</v>
      </c>
      <c r="G62" s="49">
        <f>'DATA HISTORICAL'!$H56</f>
        <v>1.7133673811448702E-2</v>
      </c>
    </row>
    <row r="63" spans="2:7" ht="14.4" customHeight="1" x14ac:dyDescent="0.3">
      <c r="B63" s="58">
        <f>'DATA HISTORICAL'!$B57</f>
        <v>45513</v>
      </c>
      <c r="C63" s="59">
        <f>'DATA HISTORICAL'!$C57</f>
        <v>11717.95</v>
      </c>
      <c r="D63" s="49">
        <f>'DATA HISTORICAL'!$D57</f>
        <v>2.4936914242730479E-2</v>
      </c>
      <c r="F63" s="60">
        <f>'DATA HISTORICAL'!$G57</f>
        <v>25356.5</v>
      </c>
      <c r="G63" s="49">
        <f>'DATA HISTORICAL'!$H57</f>
        <v>2.0294018827344829E-2</v>
      </c>
    </row>
    <row r="64" spans="2:7" ht="14.4" customHeight="1" x14ac:dyDescent="0.3">
      <c r="B64" s="58">
        <f>'DATA HISTORICAL'!$B58</f>
        <v>45300</v>
      </c>
      <c r="C64" s="59">
        <f>'DATA HISTORICAL'!$C58</f>
        <v>11432.85</v>
      </c>
      <c r="D64" s="49">
        <f>'DATA HISTORICAL'!$D58</f>
        <v>1.1586547394685898E-2</v>
      </c>
      <c r="F64" s="60">
        <f>'DATA HISTORICAL'!$G58</f>
        <v>24852.15</v>
      </c>
      <c r="G64" s="49">
        <f>'DATA HISTORICAL'!$H58</f>
        <v>-1.5206511358818231E-2</v>
      </c>
    </row>
    <row r="65" spans="2:7" ht="14.4" customHeight="1" x14ac:dyDescent="0.3">
      <c r="B65" s="58" t="str">
        <f>'DATA HISTORICAL'!$B59</f>
        <v>25/8/2024</v>
      </c>
      <c r="C65" s="59">
        <f>'DATA HISTORICAL'!$C59</f>
        <v>11301.9</v>
      </c>
      <c r="D65" s="49">
        <f>'DATA HISTORICAL'!$D59</f>
        <v>-3.5179601121514414E-3</v>
      </c>
      <c r="F65" s="60">
        <f>'DATA HISTORICAL'!$G59</f>
        <v>25235.9</v>
      </c>
      <c r="G65" s="49">
        <f>'DATA HISTORICAL'!$H59</f>
        <v>1.6627623810837822E-2</v>
      </c>
    </row>
    <row r="66" spans="2:7" ht="14.4" customHeight="1" x14ac:dyDescent="0.3">
      <c r="B66" s="58" t="str">
        <f>'DATA HISTORICAL'!$B60</f>
        <v>18/8/2024</v>
      </c>
      <c r="C66" s="59">
        <f>'DATA HISTORICAL'!$C60</f>
        <v>11341.8</v>
      </c>
      <c r="D66" s="49">
        <f>'DATA HISTORICAL'!$D60</f>
        <v>4.0811990403426535E-3</v>
      </c>
      <c r="F66" s="60">
        <f>'DATA HISTORICAL'!$G60</f>
        <v>24823.15</v>
      </c>
      <c r="G66" s="49">
        <f>'DATA HISTORICAL'!$H60</f>
        <v>1.1490904052988471E-2</v>
      </c>
    </row>
    <row r="67" spans="2:7" ht="14.4" customHeight="1" x14ac:dyDescent="0.3">
      <c r="B67" s="58">
        <f>'DATA HISTORICAL'!$B61</f>
        <v>45604</v>
      </c>
      <c r="C67" s="59">
        <f>'DATA HISTORICAL'!$C61</f>
        <v>11295.7</v>
      </c>
      <c r="D67" s="49">
        <f>'DATA HISTORICAL'!$D61</f>
        <v>-4.1149167946119558E-4</v>
      </c>
      <c r="F67" s="60">
        <f>'DATA HISTORICAL'!$G61</f>
        <v>24541.15</v>
      </c>
      <c r="G67" s="49">
        <f>'DATA HISTORICAL'!$H61</f>
        <v>7.1262952703396998E-3</v>
      </c>
    </row>
    <row r="68" spans="2:7" ht="14.4" customHeight="1" x14ac:dyDescent="0.3">
      <c r="B68" s="58">
        <f>'DATA HISTORICAL'!$B62</f>
        <v>45390</v>
      </c>
      <c r="C68" s="59">
        <f>'DATA HISTORICAL'!$C62</f>
        <v>11300.35</v>
      </c>
      <c r="D68" s="49">
        <f>'DATA HISTORICAL'!$D62</f>
        <v>-3.9453440435207598E-2</v>
      </c>
      <c r="F68" s="60">
        <f>'DATA HISTORICAL'!$G62</f>
        <v>24367.5</v>
      </c>
      <c r="G68" s="49">
        <f>'DATA HISTORICAL'!$H62</f>
        <v>-1.4167984885325113E-2</v>
      </c>
    </row>
    <row r="69" spans="2:7" ht="14.4" customHeight="1" x14ac:dyDescent="0.3">
      <c r="B69" s="58" t="str">
        <f>'DATA HISTORICAL'!$B63</f>
        <v>28/7/2024</v>
      </c>
      <c r="C69" s="59">
        <f>'DATA HISTORICAL'!$C63</f>
        <v>11764.5</v>
      </c>
      <c r="D69" s="49">
        <f>'DATA HISTORICAL'!$D63</f>
        <v>7.8342849555173011E-3</v>
      </c>
      <c r="F69" s="60">
        <f>'DATA HISTORICAL'!$G63</f>
        <v>24717.7</v>
      </c>
      <c r="G69" s="49">
        <f>'DATA HISTORICAL'!$H63</f>
        <v>-4.7171615693268887E-3</v>
      </c>
    </row>
    <row r="70" spans="2:7" ht="14.4" customHeight="1" x14ac:dyDescent="0.3">
      <c r="B70" s="58" t="str">
        <f>'DATA HISTORICAL'!$B64</f>
        <v>21/7/2024</v>
      </c>
      <c r="C70" s="59">
        <f>'DATA HISTORICAL'!$C64</f>
        <v>11673.05</v>
      </c>
      <c r="D70" s="49">
        <f>'DATA HISTORICAL'!$D64</f>
        <v>3.6839487311583374E-2</v>
      </c>
      <c r="F70" s="60">
        <f>'DATA HISTORICAL'!$G64</f>
        <v>24834.85</v>
      </c>
      <c r="G70" s="49">
        <f>'DATA HISTORICAL'!$H64</f>
        <v>1.2390495252925682E-2</v>
      </c>
    </row>
    <row r="71" spans="2:7" ht="14.4" customHeight="1" x14ac:dyDescent="0.3">
      <c r="B71" s="58" t="str">
        <f>'DATA HISTORICAL'!$B65</f>
        <v>14/7/2024</v>
      </c>
      <c r="C71" s="59">
        <f>'DATA HISTORICAL'!$C65</f>
        <v>11258.3</v>
      </c>
      <c r="D71" s="49">
        <f>'DATA HISTORICAL'!$D65</f>
        <v>-2.9649293674530064E-2</v>
      </c>
      <c r="F71" s="60">
        <f>'DATA HISTORICAL'!$G65</f>
        <v>24530.9</v>
      </c>
      <c r="G71" s="49">
        <f>'DATA HISTORICAL'!$H65</f>
        <v>1.1733664188653403E-3</v>
      </c>
    </row>
    <row r="72" spans="2:7" ht="14.4" customHeight="1" x14ac:dyDescent="0.3">
      <c r="B72" s="58">
        <f>'DATA HISTORICAL'!$B66</f>
        <v>45480</v>
      </c>
      <c r="C72" s="59">
        <f>'DATA HISTORICAL'!$C66</f>
        <v>11602.3</v>
      </c>
      <c r="D72" s="49">
        <f>'DATA HISTORICAL'!$D66</f>
        <v>-7.5148736329303523E-3</v>
      </c>
      <c r="F72" s="60">
        <f>'DATA HISTORICAL'!$G66</f>
        <v>24502.15</v>
      </c>
      <c r="G72" s="49">
        <f>'DATA HISTORICAL'!$H66</f>
        <v>7.3302540510651326E-3</v>
      </c>
    </row>
    <row r="73" spans="2:7" ht="14.4" customHeight="1" x14ac:dyDescent="0.3">
      <c r="B73" s="58" t="str">
        <f>'DATA HISTORICAL'!$B67</f>
        <v>30/6/2024</v>
      </c>
      <c r="C73" s="59">
        <f>'DATA HISTORICAL'!$C67</f>
        <v>11690.15</v>
      </c>
      <c r="D73" s="49">
        <f>'DATA HISTORICAL'!$D67</f>
        <v>1.9069412662089391E-3</v>
      </c>
      <c r="F73" s="60">
        <f>'DATA HISTORICAL'!$G67</f>
        <v>24323.85</v>
      </c>
      <c r="G73" s="49">
        <f>'DATA HISTORICAL'!$H67</f>
        <v>1.3046321208133094E-2</v>
      </c>
    </row>
    <row r="74" spans="2:7" ht="14.4" customHeight="1" x14ac:dyDescent="0.3">
      <c r="B74" s="58" t="str">
        <f>'DATA HISTORICAL'!$B68</f>
        <v>23/6/2024</v>
      </c>
      <c r="C74" s="59">
        <f>'DATA HISTORICAL'!$C68</f>
        <v>11667.9</v>
      </c>
      <c r="D74" s="49">
        <f>'DATA HISTORICAL'!$D68</f>
        <v>9.4303346338535432E-2</v>
      </c>
      <c r="F74" s="60">
        <f>'DATA HISTORICAL'!$G68</f>
        <v>24010.6</v>
      </c>
      <c r="G74" s="49">
        <f>'DATA HISTORICAL'!$H68</f>
        <v>2.1679836262983532E-2</v>
      </c>
    </row>
    <row r="75" spans="2:7" ht="14.4" customHeight="1" x14ac:dyDescent="0.3">
      <c r="B75" s="58" t="str">
        <f>'DATA HISTORICAL'!$B69</f>
        <v>16/6/2024</v>
      </c>
      <c r="C75" s="59">
        <f>'DATA HISTORICAL'!$C69</f>
        <v>10662.4</v>
      </c>
      <c r="D75" s="49">
        <f>'DATA HISTORICAL'!$D69</f>
        <v>-5.162415056747427E-2</v>
      </c>
      <c r="F75" s="60">
        <f>'DATA HISTORICAL'!$G69</f>
        <v>23501.1</v>
      </c>
      <c r="G75" s="49">
        <f>'DATA HISTORICAL'!$H69</f>
        <v>1.5128528569481325E-3</v>
      </c>
    </row>
    <row r="76" spans="2:7" ht="14.4" customHeight="1" x14ac:dyDescent="0.3">
      <c r="B76" s="58">
        <f>'DATA HISTORICAL'!$B70</f>
        <v>45541</v>
      </c>
      <c r="C76" s="59">
        <f>'DATA HISTORICAL'!$C70</f>
        <v>11242.8</v>
      </c>
      <c r="D76" s="49">
        <f>'DATA HISTORICAL'!$D70</f>
        <v>7.4513889220741314E-2</v>
      </c>
      <c r="F76" s="60">
        <f>'DATA HISTORICAL'!$G70</f>
        <v>23465.599999999999</v>
      </c>
      <c r="G76" s="49">
        <f>'DATA HISTORICAL'!$H70</f>
        <v>7.5332275661599279E-3</v>
      </c>
    </row>
    <row r="77" spans="2:7" ht="14.4" customHeight="1" x14ac:dyDescent="0.3">
      <c r="B77" s="58">
        <f>'DATA HISTORICAL'!$B71</f>
        <v>45328</v>
      </c>
      <c r="C77" s="59">
        <f>'DATA HISTORICAL'!$C71</f>
        <v>10463.15</v>
      </c>
      <c r="D77" s="49">
        <f>'DATA HISTORICAL'!$D71</f>
        <v>5.5231707932025476E-2</v>
      </c>
      <c r="F77" s="60">
        <f>'DATA HISTORICAL'!$G71</f>
        <v>23290.15</v>
      </c>
      <c r="G77" s="49">
        <f>'DATA HISTORICAL'!$H71</f>
        <v>3.3707341538434354E-2</v>
      </c>
    </row>
    <row r="78" spans="2:7" ht="14.4" customHeight="1" x14ac:dyDescent="0.3">
      <c r="B78" s="58" t="str">
        <f>'DATA HISTORICAL'!$B72</f>
        <v>26/5/2024</v>
      </c>
      <c r="C78" s="59">
        <f>'DATA HISTORICAL'!$C72</f>
        <v>9915.5</v>
      </c>
      <c r="D78" s="49">
        <f>'DATA HISTORICAL'!$D72</f>
        <v>-3.0847122987753051E-2</v>
      </c>
      <c r="F78" s="60">
        <f>'DATA HISTORICAL'!$G72</f>
        <v>22530.7</v>
      </c>
      <c r="G78" s="49">
        <f>'DATA HISTORICAL'!$H72</f>
        <v>-1.8573774562117951E-2</v>
      </c>
    </row>
    <row r="79" spans="2:7" ht="14.4" customHeight="1" x14ac:dyDescent="0.3">
      <c r="B79" s="58" t="str">
        <f>'DATA HISTORICAL'!$B73</f>
        <v>19/5/2024</v>
      </c>
      <c r="C79" s="59">
        <f>'DATA HISTORICAL'!$C73</f>
        <v>10231.1</v>
      </c>
      <c r="D79" s="49">
        <f>'DATA HISTORICAL'!$D73</f>
        <v>3.4452774674303743E-2</v>
      </c>
      <c r="F79" s="60">
        <f>'DATA HISTORICAL'!$G73</f>
        <v>22957.1</v>
      </c>
      <c r="G79" s="49">
        <f>'DATA HISTORICAL'!$H73</f>
        <v>2.1855150649200406E-2</v>
      </c>
    </row>
    <row r="80" spans="2:7" ht="14.4" customHeight="1" x14ac:dyDescent="0.3">
      <c r="B80" s="58">
        <f>'DATA HISTORICAL'!$B74</f>
        <v>45631</v>
      </c>
      <c r="C80" s="59">
        <f>'DATA HISTORICAL'!$C74</f>
        <v>9890.35</v>
      </c>
      <c r="D80" s="49">
        <f>'DATA HISTORICAL'!$D74</f>
        <v>4.1999852502712764E-2</v>
      </c>
      <c r="F80" s="60">
        <f>'DATA HISTORICAL'!$G74</f>
        <v>22466.1</v>
      </c>
      <c r="G80" s="49">
        <f>'DATA HISTORICAL'!$H74</f>
        <v>1.8630527041241907E-2</v>
      </c>
    </row>
    <row r="81" spans="2:7" ht="14.4" customHeight="1" x14ac:dyDescent="0.3">
      <c r="B81" s="58">
        <f>'DATA HISTORICAL'!$B75</f>
        <v>45417</v>
      </c>
      <c r="C81" s="59">
        <f>'DATA HISTORICAL'!$C75</f>
        <v>9491.7000000000007</v>
      </c>
      <c r="D81" s="49">
        <f>'DATA HISTORICAL'!$D75</f>
        <v>-3.3067449038843399E-2</v>
      </c>
      <c r="F81" s="60">
        <f>'DATA HISTORICAL'!$G75</f>
        <v>22055.200000000001</v>
      </c>
      <c r="G81" s="49">
        <f>'DATA HISTORICAL'!$H75</f>
        <v>-1.8715643679771743E-2</v>
      </c>
    </row>
    <row r="82" spans="2:7" ht="14.4" customHeight="1" x14ac:dyDescent="0.3">
      <c r="B82" s="58" t="str">
        <f>'DATA HISTORICAL'!$B76</f>
        <v>28/4/2024</v>
      </c>
      <c r="C82" s="59">
        <f>'DATA HISTORICAL'!$C76</f>
        <v>9816.2999999999993</v>
      </c>
      <c r="D82" s="49">
        <f>'DATA HISTORICAL'!$D76</f>
        <v>1.1895803482151024E-2</v>
      </c>
      <c r="F82" s="60">
        <f>'DATA HISTORICAL'!$G76</f>
        <v>22475.85</v>
      </c>
      <c r="G82" s="49">
        <f>'DATA HISTORICAL'!$H76</f>
        <v>2.4933151055197555E-3</v>
      </c>
    </row>
    <row r="83" spans="2:7" ht="14.4" customHeight="1" x14ac:dyDescent="0.3">
      <c r="B83" s="58" t="str">
        <f>'DATA HISTORICAL'!$B77</f>
        <v>21/4/2024</v>
      </c>
      <c r="C83" s="59">
        <f>'DATA HISTORICAL'!$C77</f>
        <v>9700.9</v>
      </c>
      <c r="D83" s="49">
        <f>'DATA HISTORICAL'!$D77</f>
        <v>3.5983746175492159E-2</v>
      </c>
      <c r="F83" s="60">
        <f>'DATA HISTORICAL'!$G77</f>
        <v>22419.95</v>
      </c>
      <c r="G83" s="49">
        <f>'DATA HISTORICAL'!$H77</f>
        <v>1.2324468325281002E-2</v>
      </c>
    </row>
    <row r="84" spans="2:7" ht="14.4" customHeight="1" x14ac:dyDescent="0.3">
      <c r="B84" s="58" t="str">
        <f>'DATA HISTORICAL'!$B78</f>
        <v>14/4/2024</v>
      </c>
      <c r="C84" s="59">
        <f>'DATA HISTORICAL'!$C78</f>
        <v>9363.9500000000007</v>
      </c>
      <c r="D84" s="49">
        <f>'DATA HISTORICAL'!$D78</f>
        <v>-2.9898835022869497E-2</v>
      </c>
      <c r="F84" s="60">
        <f>'DATA HISTORICAL'!$G78</f>
        <v>22147</v>
      </c>
      <c r="G84" s="49">
        <f>'DATA HISTORICAL'!$H78</f>
        <v>-1.6536852669254087E-2</v>
      </c>
    </row>
    <row r="85" spans="2:7" ht="14.4" customHeight="1" x14ac:dyDescent="0.3">
      <c r="B85" s="58">
        <f>'DATA HISTORICAL'!$B79</f>
        <v>45477</v>
      </c>
      <c r="C85" s="59">
        <f>'DATA HISTORICAL'!$C79</f>
        <v>9652.5499999999993</v>
      </c>
      <c r="D85" s="49">
        <f>'DATA HISTORICAL'!$D79</f>
        <v>-1.7412150331854059E-2</v>
      </c>
      <c r="F85" s="60">
        <f>'DATA HISTORICAL'!$G79</f>
        <v>22519.4</v>
      </c>
      <c r="G85" s="49">
        <f>'DATA HISTORICAL'!$H79</f>
        <v>2.5317917534661838E-4</v>
      </c>
    </row>
    <row r="86" spans="2:7" ht="14.4" customHeight="1" x14ac:dyDescent="0.3">
      <c r="B86" s="58" t="str">
        <f>'DATA HISTORICAL'!$B80</f>
        <v>31/3/2024</v>
      </c>
      <c r="C86" s="59">
        <f>'DATA HISTORICAL'!$C80</f>
        <v>9823.6</v>
      </c>
      <c r="D86" s="49">
        <f>'DATA HISTORICAL'!$D80</f>
        <v>7.6365631875601192E-3</v>
      </c>
      <c r="F86" s="60">
        <f>'DATA HISTORICAL'!$G80</f>
        <v>22513.7</v>
      </c>
      <c r="G86" s="49">
        <f>'DATA HISTORICAL'!$H80</f>
        <v>8.3665891816597782E-3</v>
      </c>
    </row>
    <row r="87" spans="2:7" ht="14.4" customHeight="1" x14ac:dyDescent="0.3">
      <c r="B87" s="58" t="str">
        <f>'DATA HISTORICAL'!$B81</f>
        <v>24/3/2024</v>
      </c>
      <c r="C87" s="59">
        <f>'DATA HISTORICAL'!$C81</f>
        <v>9749.15</v>
      </c>
      <c r="D87" s="49">
        <f>'DATA HISTORICAL'!$D81</f>
        <v>6.961551372427488E-3</v>
      </c>
      <c r="F87" s="60">
        <f>'DATA HISTORICAL'!$G81</f>
        <v>22326.9</v>
      </c>
      <c r="G87" s="49">
        <f>'DATA HISTORICAL'!$H81</f>
        <v>1.0415558849152129E-2</v>
      </c>
    </row>
    <row r="88" spans="2:7" ht="14.4" customHeight="1" x14ac:dyDescent="0.3">
      <c r="B88" s="58" t="str">
        <f>'DATA HISTORICAL'!$B82</f>
        <v>17/3/2024</v>
      </c>
      <c r="C88" s="59">
        <f>'DATA HISTORICAL'!$C82</f>
        <v>9681.75</v>
      </c>
      <c r="D88" s="49">
        <f>'DATA HISTORICAL'!$D82</f>
        <v>5.0659455307044965E-3</v>
      </c>
      <c r="F88" s="60">
        <f>'DATA HISTORICAL'!$G82</f>
        <v>22096.75</v>
      </c>
      <c r="G88" s="49">
        <f>'DATA HISTORICAL'!$H82</f>
        <v>3.3328262957270649E-3</v>
      </c>
    </row>
    <row r="89" spans="2:7" ht="14.4" customHeight="1" x14ac:dyDescent="0.3">
      <c r="B89" s="58">
        <f>'DATA HISTORICAL'!$B83</f>
        <v>45568</v>
      </c>
      <c r="C89" s="59">
        <f>'DATA HISTORICAL'!$C83</f>
        <v>9632.9500000000007</v>
      </c>
      <c r="D89" s="49">
        <f>'DATA HISTORICAL'!$D83</f>
        <v>-4.1558334151748921E-3</v>
      </c>
      <c r="F89" s="60">
        <f>'DATA HISTORICAL'!$G83</f>
        <v>22023.35</v>
      </c>
      <c r="G89" s="49">
        <f>'DATA HISTORICAL'!$H83</f>
        <v>-2.0903770191899484E-2</v>
      </c>
    </row>
    <row r="90" spans="2:7" ht="14.4" customHeight="1" x14ac:dyDescent="0.3">
      <c r="B90" s="58">
        <f>'DATA HISTORICAL'!$B84</f>
        <v>45354</v>
      </c>
      <c r="C90" s="59">
        <f>'DATA HISTORICAL'!$C84</f>
        <v>9673.15</v>
      </c>
      <c r="D90" s="49">
        <f>'DATA HISTORICAL'!$D84</f>
        <v>-4.5616891125252912E-2</v>
      </c>
      <c r="F90" s="60">
        <f>'DATA HISTORICAL'!$G84</f>
        <v>22493.55</v>
      </c>
      <c r="G90" s="49">
        <f>'DATA HISTORICAL'!$H84</f>
        <v>6.929662581836471E-3</v>
      </c>
    </row>
    <row r="91" spans="2:7" ht="14.4" customHeight="1" x14ac:dyDescent="0.3">
      <c r="B91" s="58" t="str">
        <f>'DATA HISTORICAL'!$B85</f>
        <v>25/2/2024</v>
      </c>
      <c r="C91" s="59">
        <f>'DATA HISTORICAL'!$C85</f>
        <v>10135.5</v>
      </c>
      <c r="D91" s="49">
        <f>'DATA HISTORICAL'!$D85</f>
        <v>1.3458788709016289E-2</v>
      </c>
      <c r="F91" s="60">
        <f>'DATA HISTORICAL'!$G85</f>
        <v>22338.75</v>
      </c>
      <c r="G91" s="49">
        <f>'DATA HISTORICAL'!$H85</f>
        <v>5.6746816010659895E-3</v>
      </c>
    </row>
    <row r="92" spans="2:7" ht="14.4" customHeight="1" x14ac:dyDescent="0.3">
      <c r="B92" s="58" t="str">
        <f>'DATA HISTORICAL'!$B86</f>
        <v>18/2/2024</v>
      </c>
      <c r="C92" s="59">
        <f>'DATA HISTORICAL'!$C86</f>
        <v>10000.9</v>
      </c>
      <c r="D92" s="49">
        <f>'DATA HISTORICAL'!$D86</f>
        <v>8.5415784272200312E-3</v>
      </c>
      <c r="F92" s="60">
        <f>'DATA HISTORICAL'!$G86</f>
        <v>22212.7</v>
      </c>
      <c r="G92" s="49">
        <f>'DATA HISTORICAL'!$H86</f>
        <v>7.8037448901351336E-3</v>
      </c>
    </row>
    <row r="93" spans="2:7" ht="14.4" customHeight="1" x14ac:dyDescent="0.3">
      <c r="B93" s="58">
        <f>'DATA HISTORICAL'!$B87</f>
        <v>45598</v>
      </c>
      <c r="C93" s="59">
        <f>'DATA HISTORICAL'!$C87</f>
        <v>9916.2000000000007</v>
      </c>
      <c r="D93" s="49">
        <f>'DATA HISTORICAL'!$D87</f>
        <v>-2.9711183168689148E-3</v>
      </c>
      <c r="F93" s="60">
        <f>'DATA HISTORICAL'!$G87</f>
        <v>22040.7</v>
      </c>
      <c r="G93" s="49">
        <f>'DATA HISTORICAL'!$H87</f>
        <v>1.1853552163433978E-2</v>
      </c>
    </row>
    <row r="94" spans="2:7" ht="14.4" customHeight="1" x14ac:dyDescent="0.3">
      <c r="B94" s="58">
        <f>'DATA HISTORICAL'!$B88</f>
        <v>45384</v>
      </c>
      <c r="C94" s="59">
        <f>'DATA HISTORICAL'!$C88</f>
        <v>9945.75</v>
      </c>
      <c r="D94" s="49">
        <f>'DATA HISTORICAL'!$D88</f>
        <v>-1.5130885127072613E-2</v>
      </c>
      <c r="F94" s="60">
        <f>'DATA HISTORICAL'!$G88</f>
        <v>21782.5</v>
      </c>
      <c r="G94" s="49">
        <f>'DATA HISTORICAL'!$H88</f>
        <v>-3.2625904876955047E-3</v>
      </c>
    </row>
    <row r="95" spans="2:7" ht="14.4" customHeight="1" x14ac:dyDescent="0.3">
      <c r="B95" s="58" t="str">
        <f>'DATA HISTORICAL'!$B89</f>
        <v>28/1/2024</v>
      </c>
      <c r="C95" s="59">
        <f>'DATA HISTORICAL'!$C89</f>
        <v>10098.549999999999</v>
      </c>
      <c r="D95" s="49">
        <f>'DATA HISTORICAL'!$D89</f>
        <v>1.2959721546540015E-2</v>
      </c>
      <c r="F95" s="60">
        <f>'DATA HISTORICAL'!$G89</f>
        <v>21853.8</v>
      </c>
      <c r="G95" s="49">
        <f>'DATA HISTORICAL'!$H89</f>
        <v>2.3472551352060167E-2</v>
      </c>
    </row>
    <row r="96" spans="2:7" ht="14.4" customHeight="1" x14ac:dyDescent="0.3">
      <c r="B96" s="58" t="str">
        <f>'DATA HISTORICAL'!$B90</f>
        <v>21/1/2024</v>
      </c>
      <c r="C96" s="59">
        <f>'DATA HISTORICAL'!$C90</f>
        <v>9969.35</v>
      </c>
      <c r="D96" s="49">
        <f>'DATA HISTORICAL'!$D90</f>
        <v>-1.2319565669675181E-2</v>
      </c>
      <c r="F96" s="60">
        <f>'DATA HISTORICAL'!$G90</f>
        <v>21352.6</v>
      </c>
      <c r="G96" s="49">
        <f>'DATA HISTORICAL'!$H90</f>
        <v>-1.2477800799171379E-2</v>
      </c>
    </row>
    <row r="97" spans="2:7" ht="14.4" customHeight="1" x14ac:dyDescent="0.3">
      <c r="B97" s="58" t="str">
        <f>'DATA HISTORICAL'!$B91</f>
        <v>14/1/2024</v>
      </c>
      <c r="C97" s="59">
        <f>'DATA HISTORICAL'!$C91</f>
        <v>10093.700000000001</v>
      </c>
      <c r="D97" s="49">
        <f>'DATA HISTORICAL'!$D91</f>
        <v>2.9082066993255884E-2</v>
      </c>
      <c r="F97" s="60">
        <f>'DATA HISTORICAL'!$G91</f>
        <v>21622.400000000001</v>
      </c>
      <c r="G97" s="49">
        <f>'DATA HISTORICAL'!$H91</f>
        <v>-1.2430033958222397E-2</v>
      </c>
    </row>
    <row r="98" spans="2:7" ht="14.4" customHeight="1" x14ac:dyDescent="0.3">
      <c r="B98" s="58">
        <f>'DATA HISTORICAL'!$B92</f>
        <v>45474</v>
      </c>
      <c r="C98" s="59">
        <f>'DATA HISTORICAL'!$C92</f>
        <v>9808.4500000000007</v>
      </c>
      <c r="D98" s="49">
        <f>'DATA HISTORICAL'!$D92</f>
        <v>-2.0726733592583813E-2</v>
      </c>
      <c r="F98" s="60">
        <f>'DATA HISTORICAL'!$G92</f>
        <v>21894.55</v>
      </c>
      <c r="G98" s="49">
        <f>'DATA HISTORICAL'!$H92</f>
        <v>8.4635296718684749E-3</v>
      </c>
    </row>
    <row r="99" spans="2:7" ht="14.4" customHeight="1" x14ac:dyDescent="0.3">
      <c r="B99" s="58" t="str">
        <f>'DATA HISTORICAL'!$B93</f>
        <v>31/12/2023</v>
      </c>
      <c r="C99" s="59">
        <f>'DATA HISTORICAL'!$C93</f>
        <v>10016.049999999999</v>
      </c>
      <c r="D99" s="49">
        <f>'DATA HISTORICAL'!$D93</f>
        <v>-4.6367483730916259E-2</v>
      </c>
      <c r="F99" s="60">
        <f>'DATA HISTORICAL'!$G93</f>
        <v>21710.799999999999</v>
      </c>
      <c r="G99" s="49">
        <f>'DATA HISTORICAL'!$H93</f>
        <v>-9.479370864280412E-4</v>
      </c>
    </row>
    <row r="100" spans="2:7" ht="14.4" customHeight="1" x14ac:dyDescent="0.3">
      <c r="B100" s="58" t="str">
        <f>'DATA HISTORICAL'!$B94</f>
        <v>24/12/2023</v>
      </c>
      <c r="C100" s="59">
        <f>'DATA HISTORICAL'!$C94</f>
        <v>10503.05</v>
      </c>
      <c r="D100" s="49">
        <f>'DATA HISTORICAL'!$D94</f>
        <v>5.3571070317985692E-2</v>
      </c>
      <c r="F100" s="60">
        <f>'DATA HISTORICAL'!$G94</f>
        <v>21731.4</v>
      </c>
      <c r="G100" s="49">
        <f>'DATA HISTORICAL'!$H94</f>
        <v>1.7892774504201459E-2</v>
      </c>
    </row>
    <row r="101" spans="2:7" ht="14.4" customHeight="1" x14ac:dyDescent="0.3">
      <c r="B101" s="58" t="str">
        <f>'DATA HISTORICAL'!$B95</f>
        <v>17/12/2023</v>
      </c>
      <c r="C101" s="59">
        <f>'DATA HISTORICAL'!$C95</f>
        <v>9969</v>
      </c>
      <c r="D101" s="49">
        <f>'DATA HISTORICAL'!$D95</f>
        <v>-6.027249749487873E-3</v>
      </c>
      <c r="F101" s="60">
        <f>'DATA HISTORICAL'!$G95</f>
        <v>21349.4</v>
      </c>
      <c r="G101" s="49">
        <f>'DATA HISTORICAL'!$H95</f>
        <v>-4.9984503638732525E-3</v>
      </c>
    </row>
    <row r="102" spans="2:7" ht="14.4" customHeight="1" x14ac:dyDescent="0.3">
      <c r="B102" s="58">
        <f>'DATA HISTORICAL'!$B96</f>
        <v>45211</v>
      </c>
      <c r="C102" s="59">
        <f>'DATA HISTORICAL'!$C96</f>
        <v>10029.450000000001</v>
      </c>
      <c r="D102" s="49">
        <f>'DATA HISTORICAL'!$D96</f>
        <v>6.5426964322705228E-2</v>
      </c>
      <c r="F102" s="60">
        <f>'DATA HISTORICAL'!$G96</f>
        <v>21456.65</v>
      </c>
      <c r="G102" s="49">
        <f>'DATA HISTORICAL'!$H96</f>
        <v>2.3236239472755438E-2</v>
      </c>
    </row>
    <row r="103" spans="2:7" ht="14.4" customHeight="1" x14ac:dyDescent="0.3">
      <c r="B103" s="58">
        <f>'DATA HISTORICAL'!$B97</f>
        <v>44997</v>
      </c>
      <c r="C103" s="59">
        <f>'DATA HISTORICAL'!$C97</f>
        <v>9413.5499999999993</v>
      </c>
      <c r="D103" s="49">
        <f>'DATA HISTORICAL'!$D97</f>
        <v>4.2030806356093908E-2</v>
      </c>
      <c r="F103" s="60">
        <f>'DATA HISTORICAL'!$G97</f>
        <v>20969.400000000001</v>
      </c>
      <c r="G103" s="49">
        <f>'DATA HISTORICAL'!$H97</f>
        <v>3.4611380557433069E-2</v>
      </c>
    </row>
    <row r="104" spans="2:7" ht="14.4" customHeight="1" x14ac:dyDescent="0.3">
      <c r="B104" s="58" t="str">
        <f>'DATA HISTORICAL'!$B98</f>
        <v>26/11/2023</v>
      </c>
      <c r="C104" s="59">
        <f>'DATA HISTORICAL'!$C98</f>
        <v>9033.85</v>
      </c>
      <c r="D104" s="49">
        <f>'DATA HISTORICAL'!$D98</f>
        <v>5.5825015778032228E-2</v>
      </c>
      <c r="F104" s="60">
        <f>'DATA HISTORICAL'!$G98</f>
        <v>20267.900000000001</v>
      </c>
      <c r="G104" s="49">
        <f>'DATA HISTORICAL'!$H98</f>
        <v>2.3905388816198414E-2</v>
      </c>
    </row>
    <row r="105" spans="2:7" ht="14.4" customHeight="1" x14ac:dyDescent="0.3">
      <c r="B105" s="58" t="str">
        <f>'DATA HISTORICAL'!$B99</f>
        <v>19/11/2023</v>
      </c>
      <c r="C105" s="59">
        <f>'DATA HISTORICAL'!$C99</f>
        <v>8556.2000000000007</v>
      </c>
      <c r="D105" s="49">
        <f>'DATA HISTORICAL'!$D99</f>
        <v>-2.6703598587183408E-2</v>
      </c>
      <c r="F105" s="60">
        <f>'DATA HISTORICAL'!$G99</f>
        <v>19794.7</v>
      </c>
      <c r="G105" s="49">
        <f>'DATA HISTORICAL'!$H99</f>
        <v>3.1877476966115648E-3</v>
      </c>
    </row>
    <row r="106" spans="2:7" ht="14.4" customHeight="1" x14ac:dyDescent="0.3">
      <c r="B106" s="58">
        <f>'DATA HISTORICAL'!$B100</f>
        <v>45271</v>
      </c>
      <c r="C106" s="59">
        <f>'DATA HISTORICAL'!$C100</f>
        <v>8790.9500000000007</v>
      </c>
      <c r="D106" s="49">
        <f>'DATA HISTORICAL'!$D100</f>
        <v>9.1954286895079562E-3</v>
      </c>
      <c r="F106" s="60">
        <f>'DATA HISTORICAL'!$G100</f>
        <v>19731.8</v>
      </c>
      <c r="G106" s="49">
        <f>'DATA HISTORICAL'!$H100</f>
        <v>1.5775777527818002E-2</v>
      </c>
    </row>
    <row r="107" spans="2:7" ht="14.4" customHeight="1" x14ac:dyDescent="0.3">
      <c r="B107" s="58">
        <f>'DATA HISTORICAL'!$B101</f>
        <v>45057</v>
      </c>
      <c r="C107" s="59">
        <f>'DATA HISTORICAL'!$C101</f>
        <v>8710.85</v>
      </c>
      <c r="D107" s="49">
        <f>'DATA HISTORICAL'!$D101</f>
        <v>2.2088329852392397E-2</v>
      </c>
      <c r="F107" s="60">
        <f>'DATA HISTORICAL'!$G101</f>
        <v>19425.349999999999</v>
      </c>
      <c r="G107" s="49">
        <f>'DATA HISTORICAL'!$H101</f>
        <v>1.0127089118384225E-2</v>
      </c>
    </row>
    <row r="108" spans="2:7" ht="14.4" customHeight="1" x14ac:dyDescent="0.3">
      <c r="B108" s="58" t="str">
        <f>'DATA HISTORICAL'!$B102</f>
        <v>29/10/2023</v>
      </c>
      <c r="C108" s="59">
        <f>'DATA HISTORICAL'!$C102</f>
        <v>8522.6</v>
      </c>
      <c r="D108" s="49">
        <f>'DATA HISTORICAL'!$D102</f>
        <v>3.8056551950938822E-2</v>
      </c>
      <c r="F108" s="60">
        <f>'DATA HISTORICAL'!$G102</f>
        <v>19230.599999999999</v>
      </c>
      <c r="G108" s="49">
        <f>'DATA HISTORICAL'!$H102</f>
        <v>9.6260615049414966E-3</v>
      </c>
    </row>
    <row r="109" spans="2:7" ht="14.4" customHeight="1" x14ac:dyDescent="0.3">
      <c r="B109" s="58" t="str">
        <f>'DATA HISTORICAL'!$B103</f>
        <v>22/10/2023</v>
      </c>
      <c r="C109" s="59">
        <f>'DATA HISTORICAL'!$C103</f>
        <v>8210.15</v>
      </c>
      <c r="D109" s="49">
        <f>'DATA HISTORICAL'!$D103</f>
        <v>-2.9653529999231765E-2</v>
      </c>
      <c r="F109" s="60">
        <f>'DATA HISTORICAL'!$G103</f>
        <v>19047.25</v>
      </c>
      <c r="G109" s="49">
        <f>'DATA HISTORICAL'!$H103</f>
        <v>-2.5349683896503383E-2</v>
      </c>
    </row>
    <row r="110" spans="2:7" ht="14.4" customHeight="1" x14ac:dyDescent="0.3">
      <c r="B110" s="58" t="str">
        <f>'DATA HISTORICAL'!$B104</f>
        <v>15/10/2023</v>
      </c>
      <c r="C110" s="59">
        <f>'DATA HISTORICAL'!$C104</f>
        <v>8461.0499999999993</v>
      </c>
      <c r="D110" s="49">
        <f>'DATA HISTORICAL'!$D104</f>
        <v>1.0998924602700466E-2</v>
      </c>
      <c r="F110" s="60">
        <f>'DATA HISTORICAL'!$G104</f>
        <v>19542.650000000001</v>
      </c>
      <c r="G110" s="49">
        <f>'DATA HISTORICAL'!$H104</f>
        <v>-1.0551337776978809E-2</v>
      </c>
    </row>
    <row r="111" spans="2:7" ht="14.4" customHeight="1" x14ac:dyDescent="0.3">
      <c r="B111" s="58">
        <f>'DATA HISTORICAL'!$B105</f>
        <v>45148</v>
      </c>
      <c r="C111" s="59">
        <f>'DATA HISTORICAL'!$C105</f>
        <v>8369</v>
      </c>
      <c r="D111" s="49">
        <f>'DATA HISTORICAL'!$D105</f>
        <v>2.1176384457229247E-2</v>
      </c>
      <c r="F111" s="60">
        <f>'DATA HISTORICAL'!$G105</f>
        <v>19751.05</v>
      </c>
      <c r="G111" s="49">
        <f>'DATA HISTORICAL'!$H105</f>
        <v>4.9634925076957881E-3</v>
      </c>
    </row>
    <row r="112" spans="2:7" ht="14.4" customHeight="1" x14ac:dyDescent="0.3">
      <c r="B112" s="58">
        <f>'DATA HISTORICAL'!$B106</f>
        <v>44936</v>
      </c>
      <c r="C112" s="59">
        <f>'DATA HISTORICAL'!$C106</f>
        <v>8195.4500000000007</v>
      </c>
      <c r="D112" s="49">
        <f>'DATA HISTORICAL'!$D106</f>
        <v>-7.1957697595957937E-3</v>
      </c>
      <c r="F112" s="60">
        <f>'DATA HISTORICAL'!$G106</f>
        <v>19653.5</v>
      </c>
      <c r="G112" s="49">
        <f>'DATA HISTORICAL'!$H106</f>
        <v>7.7399774929598486E-4</v>
      </c>
    </row>
    <row r="113" spans="2:17" ht="14.4" customHeight="1" x14ac:dyDescent="0.3">
      <c r="B113" s="58" t="str">
        <f>'DATA HISTORICAL'!$B107</f>
        <v>24/9/2023</v>
      </c>
      <c r="C113" s="59">
        <f>'DATA HISTORICAL'!$C107</f>
        <v>8254.85</v>
      </c>
      <c r="D113" s="49">
        <f>'DATA HISTORICAL'!$D107</f>
        <v>8.2382685590054461E-3</v>
      </c>
      <c r="F113" s="60">
        <f>'DATA HISTORICAL'!$G107</f>
        <v>19638.3</v>
      </c>
      <c r="G113" s="49">
        <f>'DATA HISTORICAL'!$H107</f>
        <v>-1.8272615220402688E-3</v>
      </c>
    </row>
    <row r="114" spans="2:17" ht="14.4" customHeight="1" x14ac:dyDescent="0.3">
      <c r="B114" s="58" t="str">
        <f>'DATA HISTORICAL'!$B108</f>
        <v>17/9/2023</v>
      </c>
      <c r="C114" s="59">
        <f>'DATA HISTORICAL'!$C108</f>
        <v>8187.4</v>
      </c>
      <c r="D114" s="49">
        <f>'DATA HISTORICAL'!$D108</f>
        <v>-6.1976203978988065E-2</v>
      </c>
      <c r="F114" s="60">
        <f>'DATA HISTORICAL'!$G108</f>
        <v>19674.25</v>
      </c>
      <c r="G114" s="49">
        <f>'DATA HISTORICAL'!$H108</f>
        <v>-2.5658231954180599E-2</v>
      </c>
    </row>
    <row r="115" spans="2:17" ht="14.4" customHeight="1" x14ac:dyDescent="0.3">
      <c r="B115" s="58">
        <f>'DATA HISTORICAL'!$B109</f>
        <v>45208</v>
      </c>
      <c r="C115" s="59">
        <f>'DATA HISTORICAL'!$C109</f>
        <v>8728.35</v>
      </c>
      <c r="D115" s="49">
        <f>'DATA HISTORICAL'!$D109</f>
        <v>0</v>
      </c>
      <c r="F115" s="60">
        <f>'DATA HISTORICAL'!$G109</f>
        <v>20192.349999999999</v>
      </c>
      <c r="G115" s="49">
        <f>'DATA HISTORICAL'!$H109</f>
        <v>0</v>
      </c>
    </row>
    <row r="116" spans="2:17" ht="14.4" customHeight="1" x14ac:dyDescent="0.3"/>
    <row r="117" spans="2:17" ht="14.4" customHeight="1" x14ac:dyDescent="0.3">
      <c r="B117" s="107"/>
      <c r="C117" s="107"/>
      <c r="D117" s="107"/>
      <c r="E117" s="107"/>
      <c r="F117" s="107"/>
      <c r="G117" s="107"/>
      <c r="H117" s="107"/>
      <c r="I117" s="107"/>
      <c r="J117" s="107"/>
      <c r="K117" s="107"/>
      <c r="L117" s="107"/>
      <c r="M117" s="107"/>
      <c r="N117" s="107"/>
      <c r="O117" s="107"/>
      <c r="P117" s="107"/>
      <c r="Q117" s="107"/>
    </row>
  </sheetData>
  <sortState ref="B12:B115">
    <sortCondition ref="B12:B115"/>
  </sortState>
  <mergeCells count="1">
    <mergeCell ref="F9:G9"/>
  </mergeCells>
  <printOptions horizontalCentered="1" verticalCentered="1"/>
  <pageMargins left="0" right="0" top="0" bottom="0" header="0" footer="0"/>
  <pageSetup paperSize="9" scale="34" orientation="landscape" horizontalDpi="1200" verticalDpi="12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B1:AN117"/>
  <sheetViews>
    <sheetView zoomScale="70" zoomScaleNormal="70" workbookViewId="0">
      <pane xSplit="2" ySplit="9" topLeftCell="C10" activePane="bottomRight" state="frozen"/>
      <selection pane="topRight" activeCell="C1" sqref="C1"/>
      <selection pane="bottomLeft" activeCell="A10" sqref="A10"/>
      <selection pane="bottomRight"/>
    </sheetView>
  </sheetViews>
  <sheetFormatPr defaultColWidth="16.77734375" defaultRowHeight="14.4" x14ac:dyDescent="0.3"/>
  <cols>
    <col min="1" max="1" width="2" style="53" customWidth="1"/>
    <col min="2" max="2" width="44.77734375" style="53" customWidth="1"/>
    <col min="3" max="4" width="16.77734375" style="53"/>
    <col min="5" max="5" width="2" style="53" customWidth="1"/>
    <col min="6" max="7" width="16.77734375" style="53"/>
    <col min="8" max="8" width="2" style="53" customWidth="1"/>
    <col min="9" max="10" width="16.77734375" style="53"/>
    <col min="11" max="11" width="2" style="53" customWidth="1"/>
    <col min="12" max="13" width="16.77734375" style="53"/>
    <col min="14" max="14" width="2" style="53" customWidth="1"/>
    <col min="15" max="16" width="16.77734375" style="53"/>
    <col min="17" max="17" width="2" style="53" customWidth="1"/>
    <col min="18" max="19" width="16.77734375" style="53"/>
    <col min="20" max="20" width="2" style="53" customWidth="1"/>
    <col min="21" max="22" width="16.77734375" style="53"/>
    <col min="23" max="23" width="2" style="53" customWidth="1"/>
    <col min="24" max="25" width="16.77734375" style="53"/>
    <col min="26" max="26" width="2" style="53" customWidth="1"/>
    <col min="27" max="28" width="16.77734375" style="53"/>
    <col min="29" max="29" width="2" style="53" customWidth="1"/>
    <col min="30" max="31" width="16.77734375" style="53"/>
    <col min="32" max="32" width="2" style="53" customWidth="1"/>
    <col min="33" max="34" width="16.77734375" style="53"/>
    <col min="35" max="35" width="2" style="53" customWidth="1"/>
    <col min="36" max="37" width="16.77734375" style="53"/>
    <col min="38" max="38" width="2.33203125" style="53" customWidth="1"/>
    <col min="39" max="16384" width="16.77734375" style="53"/>
  </cols>
  <sheetData>
    <row r="1" spans="2:40" ht="15.6" x14ac:dyDescent="0.4">
      <c r="B1" s="104" t="s">
        <v>342</v>
      </c>
      <c r="C1" s="105"/>
      <c r="D1" s="105"/>
      <c r="E1" s="105"/>
      <c r="F1" s="105"/>
      <c r="G1" s="105"/>
      <c r="H1" s="105"/>
      <c r="I1" s="105"/>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27"/>
      <c r="AJ1" s="127"/>
      <c r="AK1" s="127"/>
      <c r="AL1" s="127"/>
      <c r="AM1" s="127"/>
      <c r="AN1" s="127"/>
    </row>
    <row r="2" spans="2:40" ht="23.4" x14ac:dyDescent="0.45">
      <c r="B2" s="106" t="s">
        <v>341</v>
      </c>
      <c r="C2" s="105"/>
      <c r="D2" s="105"/>
      <c r="E2" s="105"/>
      <c r="F2" s="105"/>
      <c r="G2" s="105"/>
      <c r="H2" s="105"/>
      <c r="I2" s="105"/>
      <c r="J2" s="105"/>
      <c r="K2" s="105"/>
      <c r="L2" s="105"/>
      <c r="M2" s="105"/>
      <c r="N2" s="105"/>
      <c r="O2" s="105"/>
      <c r="P2" s="105"/>
      <c r="Q2" s="105"/>
      <c r="R2" s="105"/>
      <c r="S2" s="105"/>
      <c r="T2" s="105"/>
      <c r="U2" s="105"/>
      <c r="V2" s="105"/>
      <c r="W2" s="105"/>
      <c r="X2" s="105"/>
      <c r="Y2" s="105"/>
      <c r="Z2" s="105"/>
      <c r="AA2" s="105"/>
      <c r="AB2" s="105"/>
      <c r="AC2" s="105"/>
      <c r="AD2" s="105"/>
      <c r="AE2" s="105"/>
      <c r="AF2" s="105"/>
      <c r="AG2" s="105"/>
      <c r="AH2" s="105"/>
      <c r="AI2" s="127"/>
      <c r="AJ2" s="127"/>
      <c r="AK2" s="127"/>
      <c r="AL2" s="127"/>
      <c r="AM2" s="127"/>
      <c r="AN2" s="127"/>
    </row>
    <row r="3" spans="2:40" x14ac:dyDescent="0.3">
      <c r="B3" s="105" t="s">
        <v>343</v>
      </c>
      <c r="C3" s="105"/>
      <c r="D3" s="105"/>
      <c r="E3" s="105"/>
      <c r="F3" s="105"/>
      <c r="G3" s="105"/>
      <c r="H3" s="105"/>
      <c r="I3" s="105"/>
      <c r="J3" s="105"/>
      <c r="K3" s="105"/>
      <c r="L3" s="105"/>
      <c r="M3" s="105"/>
      <c r="N3" s="105"/>
      <c r="O3" s="105"/>
      <c r="P3" s="105"/>
      <c r="Q3" s="105"/>
      <c r="R3" s="105"/>
      <c r="S3" s="105"/>
      <c r="T3" s="105"/>
      <c r="U3" s="105"/>
      <c r="V3" s="105"/>
      <c r="W3" s="105"/>
      <c r="X3" s="105"/>
      <c r="Y3" s="105"/>
      <c r="Z3" s="105"/>
      <c r="AA3" s="105"/>
      <c r="AB3" s="105"/>
      <c r="AC3" s="105"/>
      <c r="AD3" s="105"/>
      <c r="AE3" s="105"/>
      <c r="AF3" s="105"/>
      <c r="AG3" s="105"/>
      <c r="AH3" s="105"/>
      <c r="AI3" s="127"/>
      <c r="AJ3" s="127"/>
      <c r="AK3" s="127"/>
      <c r="AL3" s="127"/>
      <c r="AM3" s="127"/>
      <c r="AN3" s="127"/>
    </row>
    <row r="4" spans="2:40" x14ac:dyDescent="0.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row>
    <row r="5" spans="2:40" x14ac:dyDescent="0.3">
      <c r="B5" s="107" t="s">
        <v>110</v>
      </c>
      <c r="C5" s="107"/>
      <c r="D5" s="107"/>
      <c r="E5" s="107"/>
      <c r="F5" s="107"/>
      <c r="G5" s="107"/>
      <c r="H5" s="107"/>
      <c r="I5" s="107"/>
      <c r="J5" s="107"/>
      <c r="K5" s="107"/>
      <c r="L5" s="107"/>
      <c r="M5" s="107"/>
      <c r="N5" s="107"/>
      <c r="O5" s="107"/>
      <c r="P5" s="107"/>
      <c r="Q5" s="107"/>
      <c r="R5" s="107"/>
      <c r="S5" s="107"/>
      <c r="T5" s="107"/>
      <c r="U5" s="107"/>
      <c r="V5" s="107"/>
      <c r="W5" s="107"/>
      <c r="X5" s="107"/>
      <c r="Y5" s="107"/>
      <c r="Z5" s="107"/>
      <c r="AA5" s="107"/>
      <c r="AB5" s="107"/>
      <c r="AC5" s="107"/>
      <c r="AD5" s="107"/>
      <c r="AE5" s="107"/>
      <c r="AF5" s="107"/>
      <c r="AG5" s="107"/>
      <c r="AH5" s="107"/>
      <c r="AI5" s="107"/>
      <c r="AJ5" s="107"/>
      <c r="AK5" s="107"/>
      <c r="AL5" s="107"/>
      <c r="AM5" s="107"/>
      <c r="AN5" s="107"/>
    </row>
    <row r="6" spans="2:40" ht="4.95" customHeight="1" x14ac:dyDescent="0.3">
      <c r="E6" s="3"/>
      <c r="F6" s="3"/>
      <c r="G6" s="3"/>
    </row>
    <row r="7" spans="2:40" ht="4.95" customHeight="1" x14ac:dyDescent="0.3">
      <c r="E7" s="534"/>
      <c r="F7" s="534"/>
      <c r="G7" s="57"/>
    </row>
    <row r="8" spans="2:40" ht="4.95" customHeight="1" x14ac:dyDescent="0.3"/>
    <row r="9" spans="2:40" x14ac:dyDescent="0.3">
      <c r="B9" s="533" t="s">
        <v>100</v>
      </c>
      <c r="C9" s="533"/>
      <c r="D9" s="107"/>
      <c r="F9" s="533" t="s">
        <v>481</v>
      </c>
      <c r="G9" s="533"/>
      <c r="I9" s="125" t="s">
        <v>101</v>
      </c>
      <c r="J9" s="107"/>
      <c r="K9" s="5"/>
      <c r="L9" s="533" t="s">
        <v>436</v>
      </c>
      <c r="M9" s="533"/>
      <c r="O9" s="125" t="s">
        <v>101</v>
      </c>
      <c r="P9" s="107"/>
      <c r="R9" s="533" t="s">
        <v>437</v>
      </c>
      <c r="S9" s="533"/>
      <c r="U9" s="125" t="s">
        <v>101</v>
      </c>
      <c r="V9" s="107"/>
      <c r="X9" s="533" t="s">
        <v>438</v>
      </c>
      <c r="Y9" s="533"/>
      <c r="AA9" s="125" t="s">
        <v>101</v>
      </c>
      <c r="AB9" s="107"/>
      <c r="AD9" s="533" t="s">
        <v>439</v>
      </c>
      <c r="AE9" s="533"/>
      <c r="AG9" s="125" t="s">
        <v>101</v>
      </c>
      <c r="AH9" s="107"/>
      <c r="AJ9" s="533" t="s">
        <v>2767</v>
      </c>
      <c r="AK9" s="533"/>
      <c r="AM9" s="125" t="s">
        <v>101</v>
      </c>
      <c r="AN9" s="107"/>
    </row>
    <row r="10" spans="2:40" ht="7.05" customHeight="1" x14ac:dyDescent="0.3"/>
    <row r="11" spans="2:40" x14ac:dyDescent="0.3">
      <c r="B11" s="8" t="s">
        <v>97</v>
      </c>
      <c r="C11" s="11" t="s">
        <v>98</v>
      </c>
      <c r="D11" s="11" t="s">
        <v>99</v>
      </c>
      <c r="F11" s="11" t="s">
        <v>98</v>
      </c>
      <c r="G11" s="11" t="s">
        <v>99</v>
      </c>
      <c r="I11" s="5" t="s">
        <v>102</v>
      </c>
      <c r="J11" s="14">
        <f>SLOPE(G12:G115,$D$12:$D$115)</f>
        <v>0.94910749760561108</v>
      </c>
      <c r="K11" s="5"/>
      <c r="L11" s="11" t="s">
        <v>98</v>
      </c>
      <c r="M11" s="11" t="s">
        <v>99</v>
      </c>
      <c r="O11" s="5" t="s">
        <v>102</v>
      </c>
      <c r="P11" s="14">
        <f>SLOPE(M12:M115,$D$12:$D$115)</f>
        <v>1.1276046310397121</v>
      </c>
      <c r="R11" s="11" t="s">
        <v>98</v>
      </c>
      <c r="S11" s="11" t="s">
        <v>99</v>
      </c>
      <c r="U11" s="5" t="s">
        <v>102</v>
      </c>
      <c r="V11" s="14">
        <f>SLOPE(S12:S115,$D$12:$D$115)</f>
        <v>0.84969996118907409</v>
      </c>
      <c r="X11" s="11" t="s">
        <v>98</v>
      </c>
      <c r="Y11" s="11" t="s">
        <v>99</v>
      </c>
      <c r="AA11" s="5" t="s">
        <v>102</v>
      </c>
      <c r="AB11" s="14">
        <f>SLOPE(Y12:Y115,$D$12:$D$115)</f>
        <v>1.1041775575245203</v>
      </c>
      <c r="AD11" s="11" t="s">
        <v>98</v>
      </c>
      <c r="AE11" s="11" t="s">
        <v>99</v>
      </c>
      <c r="AG11" s="5" t="s">
        <v>102</v>
      </c>
      <c r="AH11" s="14">
        <f>SLOPE(AE12:AE115,$D$12:$D$115)</f>
        <v>1.1132029376491901</v>
      </c>
      <c r="AJ11" s="11" t="s">
        <v>98</v>
      </c>
      <c r="AK11" s="11" t="s">
        <v>99</v>
      </c>
      <c r="AM11" s="5" t="s">
        <v>102</v>
      </c>
      <c r="AN11" s="14">
        <f>SLOPE(AK12:AK115,$D$12:$D$115)</f>
        <v>1.1143579833908395</v>
      </c>
    </row>
    <row r="12" spans="2:40" x14ac:dyDescent="0.3">
      <c r="B12" s="58" t="str">
        <f>'REGRESSION BETA'!$B12</f>
        <v>31/8/2025</v>
      </c>
      <c r="C12" s="60">
        <f>'REGRESSION BETA'!$F12</f>
        <v>24715.05</v>
      </c>
      <c r="D12" s="49">
        <f>'REGRESSION BETA'!$G12</f>
        <v>1.1798492232932167E-2</v>
      </c>
      <c r="F12" s="60">
        <f>'DATA HISTORICAL'!$C114</f>
        <v>1069.8</v>
      </c>
      <c r="G12" s="49">
        <f>'DATA HISTORICAL'!$D114</f>
        <v>2.1971723347344208E-2</v>
      </c>
      <c r="I12" s="53" t="s">
        <v>103</v>
      </c>
      <c r="J12" s="49">
        <f>WACC!E13/(WACC!E13+WACC!D13)</f>
        <v>0.60635000418865714</v>
      </c>
      <c r="L12" s="60">
        <f>'DATA HISTORICAL'!$C222</f>
        <v>567.95000000000005</v>
      </c>
      <c r="M12" s="49">
        <f>'DATA HISTORICAL'!$D222</f>
        <v>8.4339488636364646E-3</v>
      </c>
      <c r="O12" s="53" t="s">
        <v>103</v>
      </c>
      <c r="P12" s="49">
        <f>WACC!E14/(WACC!E14+WACC!D14)</f>
        <v>0.99494542130451147</v>
      </c>
      <c r="R12" s="60">
        <f>'DATA HISTORICAL'!$C330</f>
        <v>30050</v>
      </c>
      <c r="S12" s="49">
        <f>'DATA HISTORICAL'!$D330</f>
        <v>2.6473099914603004E-2</v>
      </c>
      <c r="U12" s="53" t="s">
        <v>103</v>
      </c>
      <c r="V12" s="49">
        <f>WACC!E15/(WACC!E15+WACC!D15)</f>
        <v>0.93260740266276254</v>
      </c>
      <c r="X12" s="60">
        <f>'DATA HISTORICAL'!$C438</f>
        <v>6680</v>
      </c>
      <c r="Y12" s="49">
        <f>'DATA HISTORICAL'!$D438</f>
        <v>-3.8364644065356668E-2</v>
      </c>
      <c r="AA12" s="53" t="s">
        <v>103</v>
      </c>
      <c r="AB12" s="49">
        <f>WACC!E16/(WACC!E16+WACC!D16)</f>
        <v>0.50835707502374172</v>
      </c>
      <c r="AD12" s="60">
        <f>'DATA HISTORICAL'!$C546</f>
        <v>1835</v>
      </c>
      <c r="AE12" s="49">
        <f>'DATA HISTORICAL'!$D546</f>
        <v>1.8426018426018542E-2</v>
      </c>
      <c r="AG12" s="53" t="s">
        <v>103</v>
      </c>
      <c r="AH12" s="49">
        <f>WACC!E17/(WACC!E17+WACC!D17)</f>
        <v>0.97386177132089236</v>
      </c>
      <c r="AJ12" s="60">
        <f>'DATA HISTORICAL'!$C5028</f>
        <v>2410.3000000000002</v>
      </c>
      <c r="AK12" s="49">
        <f>'DATA HISTORICAL'!$D5028</f>
        <v>3.6643764313970539E-3</v>
      </c>
      <c r="AM12" s="53" t="s">
        <v>103</v>
      </c>
      <c r="AN12" s="49">
        <f>WACC!E18/(WACC!E18+WACC!D18)</f>
        <v>0.61994779720003168</v>
      </c>
    </row>
    <row r="13" spans="2:40" x14ac:dyDescent="0.3">
      <c r="B13" s="58" t="str">
        <f>'REGRESSION BETA'!$B13</f>
        <v>24/8/2025</v>
      </c>
      <c r="C13" s="60">
        <f>'REGRESSION BETA'!$F13</f>
        <v>24426.85</v>
      </c>
      <c r="D13" s="49">
        <f>'REGRESSION BETA'!$G13</f>
        <v>-1.7822606262138052E-2</v>
      </c>
      <c r="F13" s="60">
        <f>'DATA HISTORICAL'!$C115</f>
        <v>1046.8</v>
      </c>
      <c r="G13" s="49">
        <f>'DATA HISTORICAL'!$D115</f>
        <v>-2.469020777042763E-2</v>
      </c>
      <c r="L13" s="60">
        <f>'DATA HISTORICAL'!$C223</f>
        <v>563.20000000000005</v>
      </c>
      <c r="M13" s="49">
        <f>'DATA HISTORICAL'!$D223</f>
        <v>-2.4170492939443733E-2</v>
      </c>
      <c r="R13" s="60">
        <f>'DATA HISTORICAL'!$C331</f>
        <v>29275</v>
      </c>
      <c r="S13" s="49">
        <f>'DATA HISTORICAL'!$D331</f>
        <v>-2.4329278453591119E-2</v>
      </c>
      <c r="X13" s="60">
        <f>'DATA HISTORICAL'!$C439</f>
        <v>6946.5</v>
      </c>
      <c r="Y13" s="49">
        <f>'DATA HISTORICAL'!$D439</f>
        <v>1.5421721970472202E-2</v>
      </c>
      <c r="AD13" s="60">
        <f>'DATA HISTORICAL'!$C547</f>
        <v>1801.8</v>
      </c>
      <c r="AE13" s="49">
        <f>'DATA HISTORICAL'!$D547</f>
        <v>-1.0597990225687748E-2</v>
      </c>
      <c r="AJ13" s="60">
        <f>'DATA HISTORICAL'!$C5029</f>
        <v>2401.5</v>
      </c>
      <c r="AK13" s="49">
        <f>'DATA HISTORICAL'!$D5029</f>
        <v>3.2281636863823904E-2</v>
      </c>
    </row>
    <row r="14" spans="2:40" x14ac:dyDescent="0.3">
      <c r="B14" s="58" t="str">
        <f>'REGRESSION BETA'!$B14</f>
        <v>17/8/2025</v>
      </c>
      <c r="C14" s="60">
        <f>'REGRESSION BETA'!$F14</f>
        <v>24870.1</v>
      </c>
      <c r="D14" s="49">
        <f>'REGRESSION BETA'!$G14</f>
        <v>9.6949815884666002E-3</v>
      </c>
      <c r="F14" s="60">
        <f>'DATA HISTORICAL'!$C116</f>
        <v>1073.3</v>
      </c>
      <c r="G14" s="49">
        <f>'DATA HISTORICAL'!$D116</f>
        <v>6.1873066466671123E-3</v>
      </c>
      <c r="I14" s="5" t="s">
        <v>105</v>
      </c>
      <c r="J14" s="111">
        <v>1</v>
      </c>
      <c r="K14" s="5"/>
      <c r="L14" s="60">
        <f>'DATA HISTORICAL'!$C224</f>
        <v>577.15</v>
      </c>
      <c r="M14" s="49">
        <f>'DATA HISTORICAL'!$D224</f>
        <v>-1.5569587405933616E-3</v>
      </c>
      <c r="O14" s="5" t="s">
        <v>105</v>
      </c>
      <c r="P14" s="111">
        <v>1</v>
      </c>
      <c r="R14" s="60">
        <f>'DATA HISTORICAL'!$C332</f>
        <v>30005</v>
      </c>
      <c r="S14" s="49">
        <f>'DATA HISTORICAL'!$D332</f>
        <v>-1.2993421052631571E-2</v>
      </c>
      <c r="U14" s="5" t="s">
        <v>105</v>
      </c>
      <c r="V14" s="111">
        <v>1</v>
      </c>
      <c r="X14" s="60">
        <f>'DATA HISTORICAL'!$C440</f>
        <v>6841</v>
      </c>
      <c r="Y14" s="49">
        <f>'DATA HISTORICAL'!$D440</f>
        <v>-2.2923659215882353E-2</v>
      </c>
      <c r="AA14" s="5" t="s">
        <v>105</v>
      </c>
      <c r="AB14" s="111">
        <v>1</v>
      </c>
      <c r="AD14" s="60">
        <f>'DATA HISTORICAL'!$C548</f>
        <v>1821.1</v>
      </c>
      <c r="AE14" s="49">
        <f>'DATA HISTORICAL'!$D548</f>
        <v>2.1540360127895841E-2</v>
      </c>
      <c r="AG14" s="5" t="s">
        <v>105</v>
      </c>
      <c r="AH14" s="111">
        <v>1</v>
      </c>
      <c r="AJ14" s="60">
        <f>'DATA HISTORICAL'!$C5030</f>
        <v>2326.4</v>
      </c>
      <c r="AK14" s="49">
        <f>'DATA HISTORICAL'!$D5030</f>
        <v>2.471039069726455E-2</v>
      </c>
      <c r="AM14" s="5" t="s">
        <v>105</v>
      </c>
      <c r="AN14" s="111">
        <v>1</v>
      </c>
    </row>
    <row r="15" spans="2:40" x14ac:dyDescent="0.3">
      <c r="B15" s="58">
        <f>'REGRESSION BETA'!$B15</f>
        <v>45938</v>
      </c>
      <c r="C15" s="60">
        <f>'REGRESSION BETA'!$F15</f>
        <v>24631.3</v>
      </c>
      <c r="D15" s="49">
        <f>'REGRESSION BETA'!$G15</f>
        <v>1.100015186776826E-2</v>
      </c>
      <c r="F15" s="60">
        <f>'DATA HISTORICAL'!$C117</f>
        <v>1066.7</v>
      </c>
      <c r="G15" s="49">
        <f>'DATA HISTORICAL'!$D117</f>
        <v>-4.7583504385145803E-3</v>
      </c>
      <c r="I15" s="53" t="s">
        <v>104</v>
      </c>
      <c r="J15" s="49">
        <f>100%-J12</f>
        <v>0.39364999581134286</v>
      </c>
      <c r="L15" s="60">
        <f>'DATA HISTORICAL'!$C225</f>
        <v>578.04999999999995</v>
      </c>
      <c r="M15" s="49">
        <f>'DATA HISTORICAL'!$D225</f>
        <v>-3.3620689655172731E-3</v>
      </c>
      <c r="O15" s="53" t="s">
        <v>104</v>
      </c>
      <c r="P15" s="49">
        <f>100%-P12</f>
        <v>5.0545786954885319E-3</v>
      </c>
      <c r="R15" s="60">
        <f>'DATA HISTORICAL'!$C333</f>
        <v>30400</v>
      </c>
      <c r="S15" s="49">
        <f>'DATA HISTORICAL'!$D333</f>
        <v>-4.931777083675426E-4</v>
      </c>
      <c r="U15" s="53" t="s">
        <v>104</v>
      </c>
      <c r="V15" s="49">
        <f>100%-V12</f>
        <v>6.7392597337237459E-2</v>
      </c>
      <c r="X15" s="60">
        <f>'DATA HISTORICAL'!$C441</f>
        <v>7001.5</v>
      </c>
      <c r="Y15" s="49">
        <f>'DATA HISTORICAL'!$D441</f>
        <v>-7.0202808112324044E-3</v>
      </c>
      <c r="AA15" s="53" t="s">
        <v>104</v>
      </c>
      <c r="AB15" s="49">
        <f>100%-AB12</f>
        <v>0.49164292497625828</v>
      </c>
      <c r="AD15" s="60">
        <f>'DATA HISTORICAL'!$C549</f>
        <v>1782.7</v>
      </c>
      <c r="AE15" s="49">
        <f>'DATA HISTORICAL'!$D549</f>
        <v>-3.0757185997092318E-3</v>
      </c>
      <c r="AG15" s="53" t="s">
        <v>104</v>
      </c>
      <c r="AH15" s="49">
        <f>100%-AH12</f>
        <v>2.6138228679107645E-2</v>
      </c>
      <c r="AJ15" s="60">
        <f>'DATA HISTORICAL'!$C5031</f>
        <v>2270.3000000000002</v>
      </c>
      <c r="AK15" s="49">
        <f>'DATA HISTORICAL'!$D5031</f>
        <v>1.1990728358741265E-2</v>
      </c>
      <c r="AM15" s="53" t="s">
        <v>104</v>
      </c>
      <c r="AN15" s="49">
        <f>100%-AN12</f>
        <v>0.38005220279996832</v>
      </c>
    </row>
    <row r="16" spans="2:40" x14ac:dyDescent="0.3">
      <c r="B16" s="58">
        <f>'REGRESSION BETA'!$B16</f>
        <v>45724</v>
      </c>
      <c r="C16" s="60">
        <f>'REGRESSION BETA'!$F16</f>
        <v>24363.3</v>
      </c>
      <c r="D16" s="49">
        <f>'REGRESSION BETA'!$G16</f>
        <v>-8.2249998473459263E-3</v>
      </c>
      <c r="F16" s="60">
        <f>'DATA HISTORICAL'!$C118</f>
        <v>1071.8</v>
      </c>
      <c r="G16" s="49">
        <f>'DATA HISTORICAL'!$D118</f>
        <v>-6.8890626357397289E-2</v>
      </c>
      <c r="L16" s="60">
        <f>'DATA HISTORICAL'!$C226</f>
        <v>580</v>
      </c>
      <c r="M16" s="49">
        <f>'DATA HISTORICAL'!$D226</f>
        <v>-4.597417550785432E-2</v>
      </c>
      <c r="R16" s="60">
        <f>'DATA HISTORICAL'!$C334</f>
        <v>30415</v>
      </c>
      <c r="S16" s="49">
        <f>'DATA HISTORICAL'!$D334</f>
        <v>-8.4759576202119158E-3</v>
      </c>
      <c r="X16" s="60">
        <f>'DATA HISTORICAL'!$C442</f>
        <v>7051</v>
      </c>
      <c r="Y16" s="49">
        <f>'DATA HISTORICAL'!$D442</f>
        <v>5.5301953154231809E-2</v>
      </c>
      <c r="AD16" s="60">
        <f>'DATA HISTORICAL'!$C550</f>
        <v>1788.2</v>
      </c>
      <c r="AE16" s="49">
        <f>'DATA HISTORICAL'!$D550</f>
        <v>-3.5662543185109863E-3</v>
      </c>
      <c r="AJ16" s="60">
        <f>'DATA HISTORICAL'!$C5032</f>
        <v>2243.4</v>
      </c>
      <c r="AK16" s="49">
        <f>'DATA HISTORICAL'!$D5032</f>
        <v>1.7691888949374013E-2</v>
      </c>
    </row>
    <row r="17" spans="2:40" x14ac:dyDescent="0.3">
      <c r="B17" s="58" t="str">
        <f>'REGRESSION BETA'!$B17</f>
        <v>27/7/2025</v>
      </c>
      <c r="C17" s="60">
        <f>'REGRESSION BETA'!$F17</f>
        <v>24565.35</v>
      </c>
      <c r="D17" s="49">
        <f>'REGRESSION BETA'!$G17</f>
        <v>-1.0937311269477057E-2</v>
      </c>
      <c r="F17" s="60">
        <f>'DATA HISTORICAL'!$C119</f>
        <v>1151.0999999999999</v>
      </c>
      <c r="G17" s="49">
        <f>'DATA HISTORICAL'!$D119</f>
        <v>6.1183462984004677E-3</v>
      </c>
      <c r="I17" s="172" t="s">
        <v>106</v>
      </c>
      <c r="J17" s="186">
        <f>(J11*J12)+(J14*J15)</f>
        <v>0.969141330959991</v>
      </c>
      <c r="K17" s="5"/>
      <c r="L17" s="60">
        <f>'DATA HISTORICAL'!$C227</f>
        <v>607.95000000000005</v>
      </c>
      <c r="M17" s="49">
        <f>'DATA HISTORICAL'!$D227</f>
        <v>-8.3999347577882189E-3</v>
      </c>
      <c r="O17" s="172" t="s">
        <v>106</v>
      </c>
      <c r="P17" s="186">
        <f>(P11*P12)+(P14*P15)</f>
        <v>1.1269596433902132</v>
      </c>
      <c r="R17" s="60">
        <f>'DATA HISTORICAL'!$C335</f>
        <v>30675</v>
      </c>
      <c r="S17" s="49">
        <f>'DATA HISTORICAL'!$D335</f>
        <v>-8.8852988691437984E-3</v>
      </c>
      <c r="U17" s="172" t="s">
        <v>106</v>
      </c>
      <c r="V17" s="186">
        <f>(V11*V12)+(V14*V15)</f>
        <v>0.85982907118442997</v>
      </c>
      <c r="X17" s="60">
        <f>'DATA HISTORICAL'!$C443</f>
        <v>6681.5</v>
      </c>
      <c r="Y17" s="49">
        <f>'DATA HISTORICAL'!$D443</f>
        <v>3.1254823275196797E-2</v>
      </c>
      <c r="AA17" s="172" t="s">
        <v>106</v>
      </c>
      <c r="AB17" s="186">
        <f>(AB11*AB12)+(AB14*AB15)</f>
        <v>1.0529593984262826</v>
      </c>
      <c r="AD17" s="60">
        <f>'DATA HISTORICAL'!$C551</f>
        <v>1794.6</v>
      </c>
      <c r="AE17" s="49">
        <f>'DATA HISTORICAL'!$D551</f>
        <v>-2.8738431563565592E-2</v>
      </c>
      <c r="AG17" s="172" t="s">
        <v>106</v>
      </c>
      <c r="AH17" s="186">
        <f>(AH11*AH12)+(AH14*AH15)</f>
        <v>1.1102440133777689</v>
      </c>
      <c r="AJ17" s="60">
        <f>'DATA HISTORICAL'!$C5033</f>
        <v>2204.4</v>
      </c>
      <c r="AK17" s="49">
        <f>'DATA HISTORICAL'!$D5033</f>
        <v>-1.1657101865136243E-2</v>
      </c>
      <c r="AM17" s="172" t="s">
        <v>106</v>
      </c>
      <c r="AN17" s="186">
        <f>(AN11*AN12)+(AN14*AN15)</f>
        <v>1.0708959798953888</v>
      </c>
    </row>
    <row r="18" spans="2:40" x14ac:dyDescent="0.3">
      <c r="B18" s="58" t="str">
        <f>'REGRESSION BETA'!$B18</f>
        <v>20/7/2025</v>
      </c>
      <c r="C18" s="60">
        <f>'REGRESSION BETA'!$F18</f>
        <v>24837</v>
      </c>
      <c r="D18" s="49">
        <f>'REGRESSION BETA'!$G18</f>
        <v>-5.2626519921180615E-3</v>
      </c>
      <c r="F18" s="60">
        <f>'DATA HISTORICAL'!$C120</f>
        <v>1144.0999999999999</v>
      </c>
      <c r="G18" s="49">
        <f>'DATA HISTORICAL'!$D120</f>
        <v>-9.0940585484150516E-3</v>
      </c>
      <c r="L18" s="60">
        <f>'DATA HISTORICAL'!$C228</f>
        <v>613.1</v>
      </c>
      <c r="M18" s="49">
        <f>'DATA HISTORICAL'!$D228</f>
        <v>2.7484498072733343E-2</v>
      </c>
      <c r="R18" s="60">
        <f>'DATA HISTORICAL'!$C336</f>
        <v>30950</v>
      </c>
      <c r="S18" s="49">
        <f>'DATA HISTORICAL'!$D336</f>
        <v>5.1964923676517394E-3</v>
      </c>
      <c r="X18" s="60">
        <f>'DATA HISTORICAL'!$C444</f>
        <v>6479</v>
      </c>
      <c r="Y18" s="49">
        <f>'DATA HISTORICAL'!$D444</f>
        <v>-2.9239766081871066E-3</v>
      </c>
      <c r="AD18" s="60">
        <f>'DATA HISTORICAL'!$C552</f>
        <v>1847.7</v>
      </c>
      <c r="AE18" s="49">
        <f>'DATA HISTORICAL'!$D552</f>
        <v>-6.2033605766790179E-2</v>
      </c>
      <c r="AJ18" s="60">
        <f>'DATA HISTORICAL'!$C5034</f>
        <v>2230.4</v>
      </c>
      <c r="AK18" s="49">
        <f>'DATA HISTORICAL'!$D5034</f>
        <v>-9.5035083044675561E-3</v>
      </c>
    </row>
    <row r="19" spans="2:40" x14ac:dyDescent="0.3">
      <c r="B19" s="58" t="str">
        <f>'REGRESSION BETA'!$B19</f>
        <v>13/7/2025</v>
      </c>
      <c r="C19" s="60">
        <f>'REGRESSION BETA'!$F19</f>
        <v>24968.400000000001</v>
      </c>
      <c r="D19" s="49">
        <f>'REGRESSION BETA'!$G19</f>
        <v>-7.214754759968578E-3</v>
      </c>
      <c r="F19" s="60">
        <f>'DATA HISTORICAL'!$C121</f>
        <v>1154.5999999999999</v>
      </c>
      <c r="G19" s="49">
        <f>'DATA HISTORICAL'!$D121</f>
        <v>1.2274241627213689E-2</v>
      </c>
      <c r="I19" s="126" t="s">
        <v>109</v>
      </c>
      <c r="J19" s="125"/>
      <c r="L19" s="60">
        <f>'DATA HISTORICAL'!$C229</f>
        <v>596.70000000000005</v>
      </c>
      <c r="M19" s="49">
        <f>'DATA HISTORICAL'!$D229</f>
        <v>1.6265008941497072E-2</v>
      </c>
      <c r="O19" s="126" t="s">
        <v>109</v>
      </c>
      <c r="P19" s="125"/>
      <c r="R19" s="60">
        <f>'DATA HISTORICAL'!$C337</f>
        <v>30790</v>
      </c>
      <c r="S19" s="49">
        <f>'DATA HISTORICAL'!$D337</f>
        <v>-1.3457225248317828E-2</v>
      </c>
      <c r="U19" s="126" t="s">
        <v>109</v>
      </c>
      <c r="V19" s="125"/>
      <c r="X19" s="60">
        <f>'DATA HISTORICAL'!$C445</f>
        <v>6498</v>
      </c>
      <c r="Y19" s="49">
        <f>'DATA HISTORICAL'!$D445</f>
        <v>7.8324932144242521E-3</v>
      </c>
      <c r="AA19" s="126" t="s">
        <v>109</v>
      </c>
      <c r="AB19" s="125"/>
      <c r="AD19" s="60">
        <f>'DATA HISTORICAL'!$C553</f>
        <v>1969.9</v>
      </c>
      <c r="AE19" s="49">
        <f>'DATA HISTORICAL'!$D553</f>
        <v>-6.3556116015132114E-3</v>
      </c>
      <c r="AG19" s="126" t="s">
        <v>109</v>
      </c>
      <c r="AH19" s="125"/>
      <c r="AJ19" s="60">
        <f>'DATA HISTORICAL'!$C5035</f>
        <v>2251.8000000000002</v>
      </c>
      <c r="AK19" s="49">
        <f>'DATA HISTORICAL'!$D5035</f>
        <v>3.4644366844330143E-2</v>
      </c>
      <c r="AM19" s="126" t="s">
        <v>109</v>
      </c>
      <c r="AN19" s="125"/>
    </row>
    <row r="20" spans="2:40" x14ac:dyDescent="0.3">
      <c r="B20" s="58">
        <f>'REGRESSION BETA'!$B20</f>
        <v>45815</v>
      </c>
      <c r="C20" s="60">
        <f>'REGRESSION BETA'!$F20</f>
        <v>25149.85</v>
      </c>
      <c r="D20" s="49">
        <f>'REGRESSION BETA'!$G20</f>
        <v>-1.2220651192019205E-2</v>
      </c>
      <c r="F20" s="60">
        <f>'DATA HISTORICAL'!$C122</f>
        <v>1140.5999999999999</v>
      </c>
      <c r="G20" s="49">
        <f>'DATA HISTORICAL'!$D122</f>
        <v>4.4123031856462713E-2</v>
      </c>
      <c r="I20" s="533" t="s">
        <v>108</v>
      </c>
      <c r="J20" s="533"/>
      <c r="L20" s="60">
        <f>'DATA HISTORICAL'!$C230</f>
        <v>587.15</v>
      </c>
      <c r="M20" s="49">
        <f>'DATA HISTORICAL'!$D230</f>
        <v>-1.4435585396558981E-2</v>
      </c>
      <c r="O20" s="533" t="s">
        <v>108</v>
      </c>
      <c r="P20" s="533"/>
      <c r="R20" s="60">
        <f>'DATA HISTORICAL'!$C338</f>
        <v>31210</v>
      </c>
      <c r="S20" s="49">
        <f>'DATA HISTORICAL'!$D338</f>
        <v>-3.3530257065303992E-3</v>
      </c>
      <c r="U20" s="533" t="s">
        <v>108</v>
      </c>
      <c r="V20" s="533"/>
      <c r="X20" s="60">
        <f>'DATA HISTORICAL'!$C446</f>
        <v>6447.5</v>
      </c>
      <c r="Y20" s="49">
        <f>'DATA HISTORICAL'!$D446</f>
        <v>3.1269993602047297E-2</v>
      </c>
      <c r="AA20" s="533" t="s">
        <v>108</v>
      </c>
      <c r="AB20" s="533"/>
      <c r="AD20" s="60">
        <f>'DATA HISTORICAL'!$C554</f>
        <v>1982.5</v>
      </c>
      <c r="AE20" s="49">
        <f>'DATA HISTORICAL'!$D554</f>
        <v>8.9058524173029063E-3</v>
      </c>
      <c r="AG20" s="533" t="s">
        <v>108</v>
      </c>
      <c r="AH20" s="533"/>
      <c r="AJ20" s="60">
        <f>'DATA HISTORICAL'!$C5036</f>
        <v>2176.4</v>
      </c>
      <c r="AK20" s="49">
        <f>'DATA HISTORICAL'!$D5036</f>
        <v>-1.3307025191575672E-3</v>
      </c>
      <c r="AM20" s="533" t="s">
        <v>108</v>
      </c>
      <c r="AN20" s="533"/>
    </row>
    <row r="21" spans="2:40" x14ac:dyDescent="0.3">
      <c r="B21" s="58" t="str">
        <f>'REGRESSION BETA'!$B21</f>
        <v>29/6/2025</v>
      </c>
      <c r="C21" s="60">
        <f>'REGRESSION BETA'!$F21</f>
        <v>25461</v>
      </c>
      <c r="D21" s="49">
        <f>'REGRESSION BETA'!$G21</f>
        <v>-6.8960675252947023E-3</v>
      </c>
      <c r="F21" s="60">
        <f>'DATA HISTORICAL'!$C123</f>
        <v>1092.4000000000001</v>
      </c>
      <c r="G21" s="49">
        <f>'DATA HISTORICAL'!$D123</f>
        <v>3.5450236966824811E-2</v>
      </c>
      <c r="L21" s="60">
        <f>'DATA HISTORICAL'!$C231</f>
        <v>595.75</v>
      </c>
      <c r="M21" s="49">
        <f>'DATA HISTORICAL'!$D231</f>
        <v>3.6177058874684587E-2</v>
      </c>
      <c r="R21" s="60">
        <f>'DATA HISTORICAL'!$C339</f>
        <v>31315</v>
      </c>
      <c r="S21" s="49">
        <f>'DATA HISTORICAL'!$D339</f>
        <v>9.1846600064453554E-3</v>
      </c>
      <c r="X21" s="60">
        <f>'DATA HISTORICAL'!$C447</f>
        <v>6252</v>
      </c>
      <c r="Y21" s="49">
        <f>'DATA HISTORICAL'!$D447</f>
        <v>-1.3257575757575801E-2</v>
      </c>
      <c r="AD21" s="60">
        <f>'DATA HISTORICAL'!$C555</f>
        <v>1965</v>
      </c>
      <c r="AE21" s="49">
        <f>'DATA HISTORICAL'!$D555</f>
        <v>2.3330903030934325E-2</v>
      </c>
      <c r="AJ21" s="60">
        <f>'DATA HISTORICAL'!$C5037</f>
        <v>2179.3000000000002</v>
      </c>
      <c r="AK21" s="49">
        <f>'DATA HISTORICAL'!$D5037</f>
        <v>-1.3266322557276E-2</v>
      </c>
    </row>
    <row r="22" spans="2:40" x14ac:dyDescent="0.3">
      <c r="B22" s="58" t="str">
        <f>'REGRESSION BETA'!$B22</f>
        <v>22/6/2025</v>
      </c>
      <c r="C22" s="60">
        <f>'REGRESSION BETA'!$F22</f>
        <v>25637.8</v>
      </c>
      <c r="D22" s="49">
        <f>'REGRESSION BETA'!$G22</f>
        <v>2.092193498032846E-2</v>
      </c>
      <c r="F22" s="60">
        <f>'DATA HISTORICAL'!$C124</f>
        <v>1055</v>
      </c>
      <c r="G22" s="49">
        <f>'DATA HISTORICAL'!$D124</f>
        <v>4.238711589763855E-2</v>
      </c>
      <c r="L22" s="60">
        <f>'DATA HISTORICAL'!$C232</f>
        <v>574.95000000000005</v>
      </c>
      <c r="M22" s="49">
        <f>'DATA HISTORICAL'!$D232</f>
        <v>7.7795482238260272E-2</v>
      </c>
      <c r="R22" s="60">
        <f>'DATA HISTORICAL'!$C340</f>
        <v>31030</v>
      </c>
      <c r="S22" s="49">
        <f>'DATA HISTORICAL'!$D340</f>
        <v>7.4632034632034605E-2</v>
      </c>
      <c r="X22" s="60">
        <f>'DATA HISTORICAL'!$C448</f>
        <v>6336</v>
      </c>
      <c r="Y22" s="49">
        <f>'DATA HISTORICAL'!$D448</f>
        <v>0.11284798454377798</v>
      </c>
      <c r="AD22" s="60">
        <f>'DATA HISTORICAL'!$C556</f>
        <v>1920.2</v>
      </c>
      <c r="AE22" s="49">
        <f>'DATA HISTORICAL'!$D556</f>
        <v>5.3318705430609015E-2</v>
      </c>
      <c r="AJ22" s="60">
        <f>'DATA HISTORICAL'!$C5038</f>
        <v>2208.6</v>
      </c>
      <c r="AK22" s="49">
        <f>'DATA HISTORICAL'!$D5038</f>
        <v>8.2540927360062577E-2</v>
      </c>
    </row>
    <row r="23" spans="2:40" x14ac:dyDescent="0.3">
      <c r="B23" s="58" t="str">
        <f>'REGRESSION BETA'!$B23</f>
        <v>15/6/2025</v>
      </c>
      <c r="C23" s="60">
        <f>'REGRESSION BETA'!$F23</f>
        <v>25112.400000000001</v>
      </c>
      <c r="D23" s="49">
        <f>'REGRESSION BETA'!$G23</f>
        <v>1.5931322971365791E-2</v>
      </c>
      <c r="F23" s="60">
        <f>'DATA HISTORICAL'!$C125</f>
        <v>1012.1</v>
      </c>
      <c r="G23" s="49">
        <f>'DATA HISTORICAL'!$D125</f>
        <v>-4.7480118582654884E-2</v>
      </c>
      <c r="L23" s="60">
        <f>'DATA HISTORICAL'!$C233</f>
        <v>533.45000000000005</v>
      </c>
      <c r="M23" s="49">
        <f>'DATA HISTORICAL'!$D233</f>
        <v>-1.6682027649769449E-2</v>
      </c>
      <c r="R23" s="60">
        <f>'DATA HISTORICAL'!$C341</f>
        <v>28875</v>
      </c>
      <c r="S23" s="49">
        <f>'DATA HISTORICAL'!$D341</f>
        <v>-2.4822695035460973E-2</v>
      </c>
      <c r="X23" s="60">
        <f>'DATA HISTORICAL'!$C449</f>
        <v>5693.5</v>
      </c>
      <c r="Y23" s="49">
        <f>'DATA HISTORICAL'!$D449</f>
        <v>-6.3953966296752984E-2</v>
      </c>
      <c r="AD23" s="60">
        <f>'DATA HISTORICAL'!$C557</f>
        <v>1823</v>
      </c>
      <c r="AE23" s="49">
        <f>'DATA HISTORICAL'!$D557</f>
        <v>-1.2566352507853984E-2</v>
      </c>
      <c r="AJ23" s="60">
        <f>'DATA HISTORICAL'!$C5039</f>
        <v>2040.2</v>
      </c>
      <c r="AK23" s="49">
        <f>'DATA HISTORICAL'!$D5039</f>
        <v>-2.3500694012348666E-2</v>
      </c>
    </row>
    <row r="24" spans="2:40" x14ac:dyDescent="0.3">
      <c r="B24" s="58">
        <f>'REGRESSION BETA'!$B24</f>
        <v>45875</v>
      </c>
      <c r="C24" s="60">
        <f>'REGRESSION BETA'!$F24</f>
        <v>24718.6</v>
      </c>
      <c r="D24" s="49">
        <f>'REGRESSION BETA'!$G24</f>
        <v>-1.1376612053329516E-2</v>
      </c>
      <c r="F24" s="60">
        <f>'DATA HISTORICAL'!$C126</f>
        <v>1062.55</v>
      </c>
      <c r="G24" s="49">
        <f>'DATA HISTORICAL'!$D126</f>
        <v>5.7211084025670322E-2</v>
      </c>
      <c r="L24" s="60">
        <f>'DATA HISTORICAL'!$C234</f>
        <v>542.5</v>
      </c>
      <c r="M24" s="49">
        <f>'DATA HISTORICAL'!$D234</f>
        <v>-2.2786634242997317E-2</v>
      </c>
      <c r="R24" s="60">
        <f>'DATA HISTORICAL'!$C342</f>
        <v>29610</v>
      </c>
      <c r="S24" s="49">
        <f>'DATA HISTORICAL'!$D342</f>
        <v>3.3783783783780663E-4</v>
      </c>
      <c r="X24" s="60">
        <f>'DATA HISTORICAL'!$C450</f>
        <v>6082.5</v>
      </c>
      <c r="Y24" s="49">
        <f>'DATA HISTORICAL'!$D450</f>
        <v>3.5054879605207256E-2</v>
      </c>
      <c r="AD24" s="60">
        <f>'DATA HISTORICAL'!$C558</f>
        <v>1846.2</v>
      </c>
      <c r="AE24" s="49">
        <f>'DATA HISTORICAL'!$D558</f>
        <v>-3.050989865042264E-2</v>
      </c>
      <c r="AJ24" s="60">
        <f>'DATA HISTORICAL'!$C5040</f>
        <v>2089.3000000000002</v>
      </c>
      <c r="AK24" s="49">
        <f>'DATA HISTORICAL'!$D5040</f>
        <v>-1.27114639448066E-2</v>
      </c>
    </row>
    <row r="25" spans="2:40" x14ac:dyDescent="0.3">
      <c r="B25" s="58">
        <f>'REGRESSION BETA'!$B25</f>
        <v>45663</v>
      </c>
      <c r="C25" s="60">
        <f>'REGRESSION BETA'!$F25</f>
        <v>25003.05</v>
      </c>
      <c r="D25" s="49">
        <f>'REGRESSION BETA'!$G25</f>
        <v>1.0195671233540704E-2</v>
      </c>
      <c r="F25" s="60">
        <f>'DATA HISTORICAL'!$C127</f>
        <v>1005.05</v>
      </c>
      <c r="G25" s="49">
        <f>'DATA HISTORICAL'!$D127</f>
        <v>2.9817101285926517E-2</v>
      </c>
      <c r="L25" s="60">
        <f>'DATA HISTORICAL'!$C235</f>
        <v>555.15</v>
      </c>
      <c r="M25" s="49">
        <f>'DATA HISTORICAL'!$D235</f>
        <v>2.9810298102981303E-3</v>
      </c>
      <c r="R25" s="60">
        <f>'DATA HISTORICAL'!$C343</f>
        <v>29600</v>
      </c>
      <c r="S25" s="49">
        <f>'DATA HISTORICAL'!$D343</f>
        <v>1.6894745734075123E-4</v>
      </c>
      <c r="X25" s="60">
        <f>'DATA HISTORICAL'!$C451</f>
        <v>5876.5</v>
      </c>
      <c r="Y25" s="49">
        <f>'DATA HISTORICAL'!$D451</f>
        <v>6.8940427467030441E-2</v>
      </c>
      <c r="AD25" s="60">
        <f>'DATA HISTORICAL'!$C559</f>
        <v>1904.3</v>
      </c>
      <c r="AE25" s="49">
        <f>'DATA HISTORICAL'!$D559</f>
        <v>1.1419162948799633E-2</v>
      </c>
      <c r="AJ25" s="60">
        <f>'DATA HISTORICAL'!$C5041</f>
        <v>2116.1999999999998</v>
      </c>
      <c r="AK25" s="49">
        <f>'DATA HISTORICAL'!$D5041</f>
        <v>4.9494147986510528E-2</v>
      </c>
    </row>
    <row r="26" spans="2:40" x14ac:dyDescent="0.3">
      <c r="B26" s="58" t="str">
        <f>'REGRESSION BETA'!$B26</f>
        <v>25/5/2025</v>
      </c>
      <c r="C26" s="60">
        <f>'REGRESSION BETA'!$F26</f>
        <v>24750.7</v>
      </c>
      <c r="D26" s="49">
        <f>'REGRESSION BETA'!$G26</f>
        <v>-4.1222138843567402E-3</v>
      </c>
      <c r="F26" s="60">
        <f>'DATA HISTORICAL'!$C128</f>
        <v>975.95</v>
      </c>
      <c r="G26" s="49">
        <f>'DATA HISTORICAL'!$D128</f>
        <v>-2.9967200079514922E-2</v>
      </c>
      <c r="L26" s="60">
        <f>'DATA HISTORICAL'!$C236</f>
        <v>553.5</v>
      </c>
      <c r="M26" s="49">
        <f>'DATA HISTORICAL'!$D236</f>
        <v>-3.0478192327903275E-2</v>
      </c>
      <c r="R26" s="60">
        <f>'DATA HISTORICAL'!$C344</f>
        <v>29595</v>
      </c>
      <c r="S26" s="49">
        <f>'DATA HISTORICAL'!$D344</f>
        <v>-6.0327036037466253E-2</v>
      </c>
      <c r="X26" s="60">
        <f>'DATA HISTORICAL'!$C452</f>
        <v>5497.5</v>
      </c>
      <c r="Y26" s="49">
        <f>'DATA HISTORICAL'!$D452</f>
        <v>7.6147597142018242E-2</v>
      </c>
      <c r="AD26" s="60">
        <f>'DATA HISTORICAL'!$C560</f>
        <v>1882.8</v>
      </c>
      <c r="AE26" s="49">
        <f>'DATA HISTORICAL'!$D560</f>
        <v>-3.9093600081657742E-2</v>
      </c>
      <c r="AJ26" s="60">
        <f>'DATA HISTORICAL'!$C5042</f>
        <v>2016.4</v>
      </c>
      <c r="AK26" s="49">
        <f>'DATA HISTORICAL'!$D5042</f>
        <v>-5.9076061595893514E-2</v>
      </c>
    </row>
    <row r="27" spans="2:40" x14ac:dyDescent="0.3">
      <c r="B27" s="58" t="str">
        <f>'REGRESSION BETA'!$B27</f>
        <v>18/5/2025</v>
      </c>
      <c r="C27" s="60">
        <f>'REGRESSION BETA'!$F27</f>
        <v>24853.15</v>
      </c>
      <c r="D27" s="49">
        <f>'REGRESSION BETA'!$G27</f>
        <v>-6.660724706032739E-3</v>
      </c>
      <c r="F27" s="60">
        <f>'DATA HISTORICAL'!$C129</f>
        <v>1006.1</v>
      </c>
      <c r="G27" s="49">
        <f>'DATA HISTORICAL'!$D129</f>
        <v>1.9419409450780467E-3</v>
      </c>
      <c r="L27" s="60">
        <f>'DATA HISTORICAL'!$C237</f>
        <v>570.9</v>
      </c>
      <c r="M27" s="49">
        <f>'DATA HISTORICAL'!$D237</f>
        <v>1.3132209405501305E-2</v>
      </c>
      <c r="R27" s="60">
        <f>'DATA HISTORICAL'!$C345</f>
        <v>31495</v>
      </c>
      <c r="S27" s="49">
        <f>'DATA HISTORICAL'!$D345</f>
        <v>-3.7956666139490336E-3</v>
      </c>
      <c r="X27" s="60">
        <f>'DATA HISTORICAL'!$C453</f>
        <v>5108.5</v>
      </c>
      <c r="Y27" s="49">
        <f>'DATA HISTORICAL'!$D453</f>
        <v>-2.7230315148052964E-2</v>
      </c>
      <c r="AD27" s="60">
        <f>'DATA HISTORICAL'!$C561</f>
        <v>1959.4</v>
      </c>
      <c r="AE27" s="49">
        <f>'DATA HISTORICAL'!$D561</f>
        <v>1.6075503007674685E-2</v>
      </c>
      <c r="AJ27" s="60">
        <f>'DATA HISTORICAL'!$C5043</f>
        <v>2143</v>
      </c>
      <c r="AK27" s="49">
        <f>'DATA HISTORICAL'!$D5043</f>
        <v>3.5215690063282068E-2</v>
      </c>
    </row>
    <row r="28" spans="2:40" x14ac:dyDescent="0.3">
      <c r="B28" s="58">
        <f>'REGRESSION BETA'!$B28</f>
        <v>45966</v>
      </c>
      <c r="C28" s="60">
        <f>'REGRESSION BETA'!$F28</f>
        <v>25019.8</v>
      </c>
      <c r="D28" s="49">
        <f>'REGRESSION BETA'!$G28</f>
        <v>4.2144285238253865E-2</v>
      </c>
      <c r="F28" s="60">
        <f>'DATA HISTORICAL'!$C130</f>
        <v>1004.15</v>
      </c>
      <c r="G28" s="49">
        <f>'DATA HISTORICAL'!$D130</f>
        <v>6.8870083559529505E-2</v>
      </c>
      <c r="L28" s="60">
        <f>'DATA HISTORICAL'!$C238</f>
        <v>563.5</v>
      </c>
      <c r="M28" s="49">
        <f>'DATA HISTORICAL'!$D238</f>
        <v>6.8347710683477114E-2</v>
      </c>
      <c r="R28" s="60">
        <f>'DATA HISTORICAL'!$C346</f>
        <v>31615</v>
      </c>
      <c r="S28" s="49">
        <f>'DATA HISTORICAL'!$D346</f>
        <v>8.1594252480328366E-2</v>
      </c>
      <c r="X28" s="60">
        <f>'DATA HISTORICAL'!$C454</f>
        <v>5251.5</v>
      </c>
      <c r="Y28" s="49">
        <f>'DATA HISTORICAL'!$D454</f>
        <v>2.8093187157400168E-2</v>
      </c>
      <c r="AD28" s="60">
        <f>'DATA HISTORICAL'!$C562</f>
        <v>1928.4</v>
      </c>
      <c r="AE28" s="49">
        <f>'DATA HISTORICAL'!$D562</f>
        <v>6.4473393685140268E-2</v>
      </c>
      <c r="AJ28" s="60">
        <f>'DATA HISTORICAL'!$C5044</f>
        <v>2070.1</v>
      </c>
      <c r="AK28" s="49">
        <f>'DATA HISTORICAL'!$D5044</f>
        <v>7.9977045075125153E-2</v>
      </c>
    </row>
    <row r="29" spans="2:40" x14ac:dyDescent="0.3">
      <c r="B29" s="58">
        <f>'REGRESSION BETA'!$B29</f>
        <v>45752</v>
      </c>
      <c r="C29" s="60">
        <f>'REGRESSION BETA'!$F29</f>
        <v>24008</v>
      </c>
      <c r="D29" s="49">
        <f>'REGRESSION BETA'!$G29</f>
        <v>-1.391153626569519E-2</v>
      </c>
      <c r="F29" s="60">
        <f>'DATA HISTORICAL'!$C131</f>
        <v>939.45</v>
      </c>
      <c r="G29" s="49">
        <f>'DATA HISTORICAL'!$D131</f>
        <v>-2.3892959541255143E-3</v>
      </c>
      <c r="L29" s="60">
        <f>'DATA HISTORICAL'!$C239</f>
        <v>527.45000000000005</v>
      </c>
      <c r="M29" s="49">
        <f>'DATA HISTORICAL'!$D239</f>
        <v>-7.9932292646228698E-3</v>
      </c>
      <c r="R29" s="60">
        <f>'DATA HISTORICAL'!$C347</f>
        <v>29230</v>
      </c>
      <c r="S29" s="49">
        <f>'DATA HISTORICAL'!$D347</f>
        <v>-3.5793420828361677E-3</v>
      </c>
      <c r="X29" s="60">
        <f>'DATA HISTORICAL'!$C455</f>
        <v>5108</v>
      </c>
      <c r="Y29" s="49">
        <f>'DATA HISTORICAL'!$D455</f>
        <v>-1.0461061604029487E-2</v>
      </c>
      <c r="AD29" s="60">
        <f>'DATA HISTORICAL'!$C563</f>
        <v>1811.6</v>
      </c>
      <c r="AE29" s="49">
        <f>'DATA HISTORICAL'!$D563</f>
        <v>-2.8163725122042793E-2</v>
      </c>
      <c r="AJ29" s="60">
        <f>'DATA HISTORICAL'!$C5045</f>
        <v>1916.8</v>
      </c>
      <c r="AK29" s="49">
        <f>'DATA HISTORICAL'!$D5045</f>
        <v>-1.6773531674788456E-2</v>
      </c>
    </row>
    <row r="30" spans="2:40" x14ac:dyDescent="0.3">
      <c r="B30" s="58" t="str">
        <f>'REGRESSION BETA'!$B30</f>
        <v>27/4/2025</v>
      </c>
      <c r="C30" s="60">
        <f>'REGRESSION BETA'!$F30</f>
        <v>24346.7</v>
      </c>
      <c r="D30" s="49">
        <f>'REGRESSION BETA'!$G30</f>
        <v>1.2785287455775673E-2</v>
      </c>
      <c r="F30" s="60">
        <f>'DATA HISTORICAL'!$C132</f>
        <v>941.7</v>
      </c>
      <c r="G30" s="49">
        <f>'DATA HISTORICAL'!$D132</f>
        <v>-2.7822226810509387E-2</v>
      </c>
      <c r="L30" s="60">
        <f>'DATA HISTORICAL'!$C240</f>
        <v>531.70000000000005</v>
      </c>
      <c r="M30" s="49">
        <f>'DATA HISTORICAL'!$D240</f>
        <v>-3.0982321851649397E-2</v>
      </c>
      <c r="R30" s="60">
        <f>'DATA HISTORICAL'!$C348</f>
        <v>29335</v>
      </c>
      <c r="S30" s="49">
        <f>'DATA HISTORICAL'!$D348</f>
        <v>-3.9456450556647038E-2</v>
      </c>
      <c r="X30" s="60">
        <f>'DATA HISTORICAL'!$C456</f>
        <v>5162</v>
      </c>
      <c r="Y30" s="49">
        <f>'DATA HISTORICAL'!$D456</f>
        <v>-1.5880883838865323E-2</v>
      </c>
      <c r="AD30" s="60">
        <f>'DATA HISTORICAL'!$C564</f>
        <v>1864.1</v>
      </c>
      <c r="AE30" s="49">
        <f>'DATA HISTORICAL'!$D564</f>
        <v>-3.8132094943240546E-2</v>
      </c>
      <c r="AJ30" s="60">
        <f>'DATA HISTORICAL'!$C5046</f>
        <v>1949.5</v>
      </c>
      <c r="AK30" s="49">
        <f>'DATA HISTORICAL'!$D5046</f>
        <v>-8.3422351086016588E-3</v>
      </c>
    </row>
    <row r="31" spans="2:40" x14ac:dyDescent="0.3">
      <c r="B31" s="58" t="str">
        <f>'REGRESSION BETA'!$B31</f>
        <v>20/4/2025</v>
      </c>
      <c r="C31" s="60">
        <f>'REGRESSION BETA'!$F31</f>
        <v>24039.35</v>
      </c>
      <c r="D31" s="49">
        <f>'REGRESSION BETA'!$G31</f>
        <v>7.86947653516612E-3</v>
      </c>
      <c r="F31" s="60">
        <f>'DATA HISTORICAL'!$C133</f>
        <v>968.65</v>
      </c>
      <c r="G31" s="49">
        <f>'DATA HISTORICAL'!$D133</f>
        <v>1.3438776037628664E-3</v>
      </c>
      <c r="L31" s="60">
        <f>'DATA HISTORICAL'!$C241</f>
        <v>548.70000000000005</v>
      </c>
      <c r="M31" s="49">
        <f>'DATA HISTORICAL'!$D241</f>
        <v>-3.7030537030536825E-2</v>
      </c>
      <c r="R31" s="60">
        <f>'DATA HISTORICAL'!$C349</f>
        <v>30540</v>
      </c>
      <c r="S31" s="49">
        <f>'DATA HISTORICAL'!$D349</f>
        <v>-1.4838709677419404E-2</v>
      </c>
      <c r="X31" s="60">
        <f>'DATA HISTORICAL'!$C457</f>
        <v>5245.3</v>
      </c>
      <c r="Y31" s="49">
        <f>'DATA HISTORICAL'!$D457</f>
        <v>3.645668668985147E-2</v>
      </c>
      <c r="AD31" s="60">
        <f>'DATA HISTORICAL'!$C565</f>
        <v>1938</v>
      </c>
      <c r="AE31" s="49">
        <f>'DATA HISTORICAL'!$D565</f>
        <v>-5.9999029926759428E-2</v>
      </c>
      <c r="AJ31" s="60">
        <f>'DATA HISTORICAL'!$C5047</f>
        <v>1965.9</v>
      </c>
      <c r="AK31" s="49">
        <f>'DATA HISTORICAL'!$D5047</f>
        <v>6.1730395333765564E-2</v>
      </c>
    </row>
    <row r="32" spans="2:40" x14ac:dyDescent="0.3">
      <c r="B32" s="58" t="str">
        <f>'REGRESSION BETA'!$B32</f>
        <v>13/4/2025</v>
      </c>
      <c r="C32" s="60">
        <f>'REGRESSION BETA'!$F32</f>
        <v>23851.65</v>
      </c>
      <c r="D32" s="49">
        <f>'REGRESSION BETA'!$G32</f>
        <v>4.4816687875489425E-2</v>
      </c>
      <c r="F32" s="60">
        <f>'DATA HISTORICAL'!$C134</f>
        <v>967.35</v>
      </c>
      <c r="G32" s="49">
        <f>'DATA HISTORICAL'!$D134</f>
        <v>3.2555905427763321E-2</v>
      </c>
      <c r="L32" s="60">
        <f>'DATA HISTORICAL'!$C242</f>
        <v>569.79999999999995</v>
      </c>
      <c r="M32" s="49">
        <f>'DATA HISTORICAL'!$D242</f>
        <v>3.8549166135058766E-2</v>
      </c>
      <c r="R32" s="60">
        <f>'DATA HISTORICAL'!$C350</f>
        <v>31000</v>
      </c>
      <c r="S32" s="49">
        <f>'DATA HISTORICAL'!$D350</f>
        <v>2.9628387186772853E-2</v>
      </c>
      <c r="X32" s="60">
        <f>'DATA HISTORICAL'!$C458</f>
        <v>5060.8</v>
      </c>
      <c r="Y32" s="49">
        <f>'DATA HISTORICAL'!$D458</f>
        <v>2.08474114716235E-2</v>
      </c>
      <c r="AD32" s="60">
        <f>'DATA HISTORICAL'!$C566</f>
        <v>2061.6999999999998</v>
      </c>
      <c r="AE32" s="49">
        <f>'DATA HISTORICAL'!$D566</f>
        <v>2.7075497546516614E-2</v>
      </c>
      <c r="AJ32" s="60">
        <f>'DATA HISTORICAL'!$C5048</f>
        <v>1851.6</v>
      </c>
      <c r="AK32" s="49">
        <f>'DATA HISTORICAL'!$D5048</f>
        <v>2.205172080699902E-2</v>
      </c>
    </row>
    <row r="33" spans="2:37" x14ac:dyDescent="0.3">
      <c r="B33" s="58">
        <f>'REGRESSION BETA'!$B33</f>
        <v>45812</v>
      </c>
      <c r="C33" s="60">
        <f>'REGRESSION BETA'!$F33</f>
        <v>22828.55</v>
      </c>
      <c r="D33" s="49">
        <f>'REGRESSION BETA'!$G33</f>
        <v>-3.3137665388167648E-3</v>
      </c>
      <c r="F33" s="60">
        <f>'DATA HISTORICAL'!$C135</f>
        <v>936.85</v>
      </c>
      <c r="G33" s="49">
        <f>'DATA HISTORICAL'!$D135</f>
        <v>-4.9917688917210379E-3</v>
      </c>
      <c r="L33" s="60">
        <f>'DATA HISTORICAL'!$C243</f>
        <v>548.65</v>
      </c>
      <c r="M33" s="49">
        <f>'DATA HISTORICAL'!$D243</f>
        <v>3.8716395304808637E-2</v>
      </c>
      <c r="R33" s="60">
        <f>'DATA HISTORICAL'!$C351</f>
        <v>30107.95</v>
      </c>
      <c r="S33" s="49">
        <f>'DATA HISTORICAL'!$D351</f>
        <v>-1.9109286680024096E-2</v>
      </c>
      <c r="X33" s="60">
        <f>'DATA HISTORICAL'!$C459</f>
        <v>4957.45</v>
      </c>
      <c r="Y33" s="49">
        <f>'DATA HISTORICAL'!$D459</f>
        <v>5.5502855874212109E-4</v>
      </c>
      <c r="AD33" s="60">
        <f>'DATA HISTORICAL'!$C567</f>
        <v>2007.35</v>
      </c>
      <c r="AE33" s="49">
        <f>'DATA HISTORICAL'!$D567</f>
        <v>2.087677363576268E-2</v>
      </c>
      <c r="AJ33" s="60">
        <f>'DATA HISTORICAL'!$C5049</f>
        <v>1811.65</v>
      </c>
      <c r="AK33" s="49">
        <f>'DATA HISTORICAL'!$D5049</f>
        <v>-1.8315316047576413E-2</v>
      </c>
    </row>
    <row r="34" spans="2:37" x14ac:dyDescent="0.3">
      <c r="B34" s="58" t="str">
        <f>'REGRESSION BETA'!$B34</f>
        <v>30/3/2025</v>
      </c>
      <c r="C34" s="60">
        <f>'REGRESSION BETA'!$F34</f>
        <v>22904.45</v>
      </c>
      <c r="D34" s="49">
        <f>'REGRESSION BETA'!$G34</f>
        <v>-2.6144430011883713E-2</v>
      </c>
      <c r="F34" s="60">
        <f>'DATA HISTORICAL'!$C136</f>
        <v>941.55</v>
      </c>
      <c r="G34" s="49">
        <f>'DATA HISTORICAL'!$D136</f>
        <v>4.9958182325062772E-2</v>
      </c>
      <c r="L34" s="60">
        <f>'DATA HISTORICAL'!$C244</f>
        <v>528.20000000000005</v>
      </c>
      <c r="M34" s="49">
        <f>'DATA HISTORICAL'!$D244</f>
        <v>-1.8853905451843511E-2</v>
      </c>
      <c r="R34" s="60">
        <f>'DATA HISTORICAL'!$C352</f>
        <v>30694.5</v>
      </c>
      <c r="S34" s="49">
        <f>'DATA HISTORICAL'!$D352</f>
        <v>6.27972048605141E-3</v>
      </c>
      <c r="X34" s="60">
        <f>'DATA HISTORICAL'!$C460</f>
        <v>4954.7</v>
      </c>
      <c r="Y34" s="49">
        <f>'DATA HISTORICAL'!$D460</f>
        <v>4.4702137796113206E-3</v>
      </c>
      <c r="AD34" s="60">
        <f>'DATA HISTORICAL'!$C568</f>
        <v>1966.3</v>
      </c>
      <c r="AE34" s="49">
        <f>'DATA HISTORICAL'!$D568</f>
        <v>1.217409209070075E-2</v>
      </c>
      <c r="AJ34" s="60">
        <f>'DATA HISTORICAL'!$C5050</f>
        <v>1845.45</v>
      </c>
      <c r="AK34" s="49">
        <f>'DATA HISTORICAL'!$D5050</f>
        <v>1.3120693914523418E-2</v>
      </c>
    </row>
    <row r="35" spans="2:37" x14ac:dyDescent="0.3">
      <c r="B35" s="58" t="str">
        <f>'REGRESSION BETA'!$B35</f>
        <v>23/3/2025</v>
      </c>
      <c r="C35" s="60">
        <f>'REGRESSION BETA'!$F35</f>
        <v>23519.35</v>
      </c>
      <c r="D35" s="49">
        <f>'REGRESSION BETA'!$G35</f>
        <v>7.2354220912702605E-3</v>
      </c>
      <c r="F35" s="60">
        <f>'DATA HISTORICAL'!$C137</f>
        <v>896.75</v>
      </c>
      <c r="G35" s="49">
        <f>'DATA HISTORICAL'!$D137</f>
        <v>4.7788748028275929E-2</v>
      </c>
      <c r="L35" s="60">
        <f>'DATA HISTORICAL'!$C245</f>
        <v>538.35</v>
      </c>
      <c r="M35" s="49">
        <f>'DATA HISTORICAL'!$D245</f>
        <v>4.6355685131195479E-2</v>
      </c>
      <c r="R35" s="60">
        <f>'DATA HISTORICAL'!$C353</f>
        <v>30502.95</v>
      </c>
      <c r="S35" s="49">
        <f>'DATA HISTORICAL'!$D353</f>
        <v>5.2283060916122226E-2</v>
      </c>
      <c r="X35" s="60">
        <f>'DATA HISTORICAL'!$C461</f>
        <v>4932.6499999999996</v>
      </c>
      <c r="Y35" s="49">
        <f>'DATA HISTORICAL'!$D461</f>
        <v>2.2840850181440997E-2</v>
      </c>
      <c r="AD35" s="60">
        <f>'DATA HISTORICAL'!$C569</f>
        <v>1942.65</v>
      </c>
      <c r="AE35" s="49">
        <f>'DATA HISTORICAL'!$D569</f>
        <v>1.4094432699083947E-2</v>
      </c>
      <c r="AJ35" s="60">
        <f>'DATA HISTORICAL'!$C5051</f>
        <v>1821.55</v>
      </c>
      <c r="AK35" s="49">
        <f>'DATA HISTORICAL'!$D5051</f>
        <v>4.2434474075769613E-2</v>
      </c>
    </row>
    <row r="36" spans="2:37" x14ac:dyDescent="0.3">
      <c r="B36" s="58" t="str">
        <f>'REGRESSION BETA'!$B36</f>
        <v>16/3/2025</v>
      </c>
      <c r="C36" s="60">
        <f>'REGRESSION BETA'!$F36</f>
        <v>23350.400000000001</v>
      </c>
      <c r="D36" s="49">
        <f>'REGRESSION BETA'!$G36</f>
        <v>4.2558891289982803E-2</v>
      </c>
      <c r="F36" s="60">
        <f>'DATA HISTORICAL'!$C138</f>
        <v>855.85</v>
      </c>
      <c r="G36" s="49">
        <f>'DATA HISTORICAL'!$D138</f>
        <v>6.7743746491173429E-2</v>
      </c>
      <c r="L36" s="60">
        <f>'DATA HISTORICAL'!$C246</f>
        <v>514.5</v>
      </c>
      <c r="M36" s="49">
        <f>'DATA HISTORICAL'!$D246</f>
        <v>5.907780979827093E-2</v>
      </c>
      <c r="R36" s="60">
        <f>'DATA HISTORICAL'!$C354</f>
        <v>28987.4</v>
      </c>
      <c r="S36" s="49">
        <f>'DATA HISTORICAL'!$D354</f>
        <v>5.427320818398873E-2</v>
      </c>
      <c r="X36" s="60">
        <f>'DATA HISTORICAL'!$C462</f>
        <v>4822.5</v>
      </c>
      <c r="Y36" s="49">
        <f>'DATA HISTORICAL'!$D462</f>
        <v>0.12904736262964422</v>
      </c>
      <c r="AD36" s="60">
        <f>'DATA HISTORICAL'!$C570</f>
        <v>1915.65</v>
      </c>
      <c r="AE36" s="49">
        <f>'DATA HISTORICAL'!$D570</f>
        <v>3.3252427184466082E-2</v>
      </c>
      <c r="AJ36" s="60">
        <f>'DATA HISTORICAL'!$C5052</f>
        <v>1747.4</v>
      </c>
      <c r="AK36" s="49">
        <f>'DATA HISTORICAL'!$D5052</f>
        <v>8.7300105780598658E-2</v>
      </c>
    </row>
    <row r="37" spans="2:37" x14ac:dyDescent="0.3">
      <c r="B37" s="58">
        <f>'REGRESSION BETA'!$B37</f>
        <v>45903</v>
      </c>
      <c r="C37" s="60">
        <f>'REGRESSION BETA'!$F37</f>
        <v>22397.200000000001</v>
      </c>
      <c r="D37" s="49">
        <f>'REGRESSION BETA'!$G37</f>
        <v>-6.8861545283227521E-3</v>
      </c>
      <c r="F37" s="60">
        <f>'DATA HISTORICAL'!$C139</f>
        <v>801.55</v>
      </c>
      <c r="G37" s="49">
        <f>'DATA HISTORICAL'!$D139</f>
        <v>-8.0422187804738199E-2</v>
      </c>
      <c r="L37" s="60">
        <f>'DATA HISTORICAL'!$C247</f>
        <v>485.8</v>
      </c>
      <c r="M37" s="49">
        <f>'DATA HISTORICAL'!$D247</f>
        <v>-2.8011204481792729E-2</v>
      </c>
      <c r="R37" s="60">
        <f>'DATA HISTORICAL'!$C355</f>
        <v>27495.15</v>
      </c>
      <c r="S37" s="49">
        <f>'DATA HISTORICAL'!$D355</f>
        <v>-1.7511041550533846E-2</v>
      </c>
      <c r="X37" s="60">
        <f>'DATA HISTORICAL'!$C463</f>
        <v>4271.3</v>
      </c>
      <c r="Y37" s="49">
        <f>'DATA HISTORICAL'!$D463</f>
        <v>-3.398129615180201E-2</v>
      </c>
      <c r="AD37" s="60">
        <f>'DATA HISTORICAL'!$C571</f>
        <v>1854</v>
      </c>
      <c r="AE37" s="49">
        <f>'DATA HISTORICAL'!$D571</f>
        <v>-1.6836802333289103E-2</v>
      </c>
      <c r="AJ37" s="60">
        <f>'DATA HISTORICAL'!$C5053</f>
        <v>1607.1</v>
      </c>
      <c r="AK37" s="49">
        <f>'DATA HISTORICAL'!$D5053</f>
        <v>-5.2612963126713264E-2</v>
      </c>
    </row>
    <row r="38" spans="2:37" x14ac:dyDescent="0.3">
      <c r="B38" s="58">
        <f>'REGRESSION BETA'!$B38</f>
        <v>45691</v>
      </c>
      <c r="C38" s="60">
        <f>'REGRESSION BETA'!$F38</f>
        <v>22552.5</v>
      </c>
      <c r="D38" s="49">
        <f>'REGRESSION BETA'!$G38</f>
        <v>1.9335855401429125E-2</v>
      </c>
      <c r="F38" s="60">
        <f>'DATA HISTORICAL'!$C140</f>
        <v>871.65</v>
      </c>
      <c r="G38" s="49">
        <f>'DATA HISTORICAL'!$D140</f>
        <v>5.1447527141133875E-2</v>
      </c>
      <c r="L38" s="60">
        <f>'DATA HISTORICAL'!$C248</f>
        <v>499.8</v>
      </c>
      <c r="M38" s="49">
        <f>'DATA HISTORICAL'!$D248</f>
        <v>7.4954296160877565E-2</v>
      </c>
      <c r="R38" s="60">
        <f>'DATA HISTORICAL'!$C356</f>
        <v>27985.200000000001</v>
      </c>
      <c r="S38" s="49">
        <f>'DATA HISTORICAL'!$D356</f>
        <v>2.5700043981820908E-2</v>
      </c>
      <c r="X38" s="60">
        <f>'DATA HISTORICAL'!$C464</f>
        <v>4421.55</v>
      </c>
      <c r="Y38" s="49">
        <f>'DATA HISTORICAL'!$D464</f>
        <v>7.3359381229567422E-3</v>
      </c>
      <c r="AD38" s="60">
        <f>'DATA HISTORICAL'!$C572</f>
        <v>1885.75</v>
      </c>
      <c r="AE38" s="49">
        <f>'DATA HISTORICAL'!$D572</f>
        <v>3.6952517115284245E-2</v>
      </c>
      <c r="AJ38" s="60">
        <f>'DATA HISTORICAL'!$C5054</f>
        <v>1696.35</v>
      </c>
      <c r="AK38" s="49">
        <f>'DATA HISTORICAL'!$D5054</f>
        <v>3.9653182611782967E-3</v>
      </c>
    </row>
    <row r="39" spans="2:37" x14ac:dyDescent="0.3">
      <c r="B39" s="58" t="str">
        <f>'REGRESSION BETA'!$B39</f>
        <v>23/2/2025</v>
      </c>
      <c r="C39" s="60">
        <f>'REGRESSION BETA'!$F39</f>
        <v>22124.7</v>
      </c>
      <c r="D39" s="49">
        <f>'REGRESSION BETA'!$G39</f>
        <v>-2.9443891226053842E-2</v>
      </c>
      <c r="F39" s="60">
        <f>'DATA HISTORICAL'!$C141</f>
        <v>829</v>
      </c>
      <c r="G39" s="49">
        <f>'DATA HISTORICAL'!$D141</f>
        <v>-2.7394849533642351E-2</v>
      </c>
      <c r="L39" s="60">
        <f>'DATA HISTORICAL'!$C249</f>
        <v>464.95</v>
      </c>
      <c r="M39" s="49">
        <f>'DATA HISTORICAL'!$D249</f>
        <v>-3.5273368606701938E-2</v>
      </c>
      <c r="R39" s="60">
        <f>'DATA HISTORICAL'!$C357</f>
        <v>27284</v>
      </c>
      <c r="S39" s="49">
        <f>'DATA HISTORICAL'!$D357</f>
        <v>-3.9488553353728362E-2</v>
      </c>
      <c r="X39" s="60">
        <f>'DATA HISTORICAL'!$C465</f>
        <v>4389.3500000000004</v>
      </c>
      <c r="Y39" s="49">
        <f>'DATA HISTORICAL'!$D465</f>
        <v>-4.1658024300514018E-2</v>
      </c>
      <c r="AD39" s="60">
        <f>'DATA HISTORICAL'!$C573</f>
        <v>1818.55</v>
      </c>
      <c r="AE39" s="49">
        <f>'DATA HISTORICAL'!$D573</f>
        <v>-3.4739915074309957E-2</v>
      </c>
      <c r="AJ39" s="60">
        <f>'DATA HISTORICAL'!$C5055</f>
        <v>1689.65</v>
      </c>
      <c r="AK39" s="49">
        <f>'DATA HISTORICAL'!$D5055</f>
        <v>-2.9912444380651548E-2</v>
      </c>
    </row>
    <row r="40" spans="2:37" x14ac:dyDescent="0.3">
      <c r="B40" s="58" t="str">
        <f>'REGRESSION BETA'!$B40</f>
        <v>16/2/2025</v>
      </c>
      <c r="C40" s="60">
        <f>'REGRESSION BETA'!$F40</f>
        <v>22795.9</v>
      </c>
      <c r="D40" s="49">
        <f>'REGRESSION BETA'!$G40</f>
        <v>-5.8157157342695331E-3</v>
      </c>
      <c r="F40" s="60">
        <f>'DATA HISTORICAL'!$C142</f>
        <v>852.35</v>
      </c>
      <c r="G40" s="49">
        <f>'DATA HISTORICAL'!$D142</f>
        <v>9.1162019771504621E-3</v>
      </c>
      <c r="L40" s="60">
        <f>'DATA HISTORICAL'!$C250</f>
        <v>481.95</v>
      </c>
      <c r="M40" s="49">
        <f>'DATA HISTORICAL'!$D250</f>
        <v>-1.5423901940755935E-2</v>
      </c>
      <c r="R40" s="60">
        <f>'DATA HISTORICAL'!$C358</f>
        <v>28405.7</v>
      </c>
      <c r="S40" s="49">
        <f>'DATA HISTORICAL'!$D358</f>
        <v>-5.2650839314259956E-3</v>
      </c>
      <c r="X40" s="60">
        <f>'DATA HISTORICAL'!$C466</f>
        <v>4580.1499999999996</v>
      </c>
      <c r="Y40" s="49">
        <f>'DATA HISTORICAL'!$D466</f>
        <v>-1.6554833861184282E-2</v>
      </c>
      <c r="AD40" s="60">
        <f>'DATA HISTORICAL'!$C574</f>
        <v>1884</v>
      </c>
      <c r="AE40" s="49">
        <f>'DATA HISTORICAL'!$D574</f>
        <v>5.3630032818376971E-3</v>
      </c>
      <c r="AJ40" s="60">
        <f>'DATA HISTORICAL'!$C5056</f>
        <v>1741.75</v>
      </c>
      <c r="AK40" s="49">
        <f>'DATA HISTORICAL'!$D5056</f>
        <v>-2.2833740076860565E-2</v>
      </c>
    </row>
    <row r="41" spans="2:37" x14ac:dyDescent="0.3">
      <c r="B41" s="58">
        <f>'REGRESSION BETA'!$B41</f>
        <v>45902</v>
      </c>
      <c r="C41" s="60">
        <f>'REGRESSION BETA'!$F41</f>
        <v>22929.25</v>
      </c>
      <c r="D41" s="49">
        <f>'REGRESSION BETA'!$G41</f>
        <v>-2.6770005878620329E-2</v>
      </c>
      <c r="F41" s="60">
        <f>'DATA HISTORICAL'!$C143</f>
        <v>844.65</v>
      </c>
      <c r="G41" s="49">
        <f>'DATA HISTORICAL'!$D143</f>
        <v>-5.6046043808672286E-2</v>
      </c>
      <c r="L41" s="60">
        <f>'DATA HISTORICAL'!$C251</f>
        <v>489.5</v>
      </c>
      <c r="M41" s="49">
        <f>'DATA HISTORICAL'!$D251</f>
        <v>-4.534373476352993E-2</v>
      </c>
      <c r="R41" s="60">
        <f>'DATA HISTORICAL'!$C359</f>
        <v>28556.05</v>
      </c>
      <c r="S41" s="49">
        <f>'DATA HISTORICAL'!$D359</f>
        <v>1.0865832893791394E-2</v>
      </c>
      <c r="X41" s="60">
        <f>'DATA HISTORICAL'!$C467</f>
        <v>4657.25</v>
      </c>
      <c r="Y41" s="49">
        <f>'DATA HISTORICAL'!$D467</f>
        <v>-4.5586818861815259E-2</v>
      </c>
      <c r="AD41" s="60">
        <f>'DATA HISTORICAL'!$C575</f>
        <v>1873.95</v>
      </c>
      <c r="AE41" s="49">
        <f>'DATA HISTORICAL'!$D575</f>
        <v>-6.2603171427142112E-2</v>
      </c>
      <c r="AJ41" s="60">
        <f>'DATA HISTORICAL'!$C5057</f>
        <v>1782.45</v>
      </c>
      <c r="AK41" s="49">
        <f>'DATA HISTORICAL'!$D5057</f>
        <v>-3.6383295039870256E-2</v>
      </c>
    </row>
    <row r="42" spans="2:37" x14ac:dyDescent="0.3">
      <c r="B42" s="58">
        <f>'REGRESSION BETA'!$B42</f>
        <v>45690</v>
      </c>
      <c r="C42" s="60">
        <f>'REGRESSION BETA'!$F42</f>
        <v>23559.95</v>
      </c>
      <c r="D42" s="49">
        <f>'REGRESSION BETA'!$G42</f>
        <v>2.1928332000475947E-3</v>
      </c>
      <c r="F42" s="60">
        <f>'DATA HISTORICAL'!$C144</f>
        <v>894.8</v>
      </c>
      <c r="G42" s="49">
        <f>'DATA HISTORICAL'!$D144</f>
        <v>-2.474114441416897E-2</v>
      </c>
      <c r="L42" s="60">
        <f>'DATA HISTORICAL'!$C252</f>
        <v>512.75</v>
      </c>
      <c r="M42" s="49">
        <f>'DATA HISTORICAL'!$D252</f>
        <v>-9.7503900155948564E-5</v>
      </c>
      <c r="R42" s="60">
        <f>'DATA HISTORICAL'!$C360</f>
        <v>28249.1</v>
      </c>
      <c r="S42" s="49">
        <f>'DATA HISTORICAL'!$D360</f>
        <v>1.6304562903161957E-2</v>
      </c>
      <c r="X42" s="60">
        <f>'DATA HISTORICAL'!$C468</f>
        <v>4879.7</v>
      </c>
      <c r="Y42" s="49">
        <f>'DATA HISTORICAL'!$D468</f>
        <v>9.2763994746474232E-3</v>
      </c>
      <c r="AD42" s="60">
        <f>'DATA HISTORICAL'!$C576</f>
        <v>1999.1</v>
      </c>
      <c r="AE42" s="49">
        <f>'DATA HISTORICAL'!$D576</f>
        <v>-4.2587104325954028E-3</v>
      </c>
      <c r="AJ42" s="60">
        <f>'DATA HISTORICAL'!$C5058</f>
        <v>1849.75</v>
      </c>
      <c r="AK42" s="49">
        <f>'DATA HISTORICAL'!$D5058</f>
        <v>-8.8943660085192278E-3</v>
      </c>
    </row>
    <row r="43" spans="2:37" x14ac:dyDescent="0.3">
      <c r="B43" s="58" t="str">
        <f>'REGRESSION BETA'!$B43</f>
        <v>26/1/2025</v>
      </c>
      <c r="C43" s="60">
        <f>'REGRESSION BETA'!$F43</f>
        <v>23508.400000000001</v>
      </c>
      <c r="D43" s="49">
        <f>'REGRESSION BETA'!$G43</f>
        <v>1.8023401841314346E-2</v>
      </c>
      <c r="F43" s="60">
        <f>'DATA HISTORICAL'!$C145</f>
        <v>917.5</v>
      </c>
      <c r="G43" s="49">
        <f>'DATA HISTORICAL'!$D145</f>
        <v>3.234880450070321E-2</v>
      </c>
      <c r="L43" s="60">
        <f>'DATA HISTORICAL'!$C253</f>
        <v>512.79999999999995</v>
      </c>
      <c r="M43" s="49">
        <f>'DATA HISTORICAL'!$D253</f>
        <v>-7.0677781805001838E-2</v>
      </c>
      <c r="R43" s="60">
        <f>'DATA HISTORICAL'!$C361</f>
        <v>27795.9</v>
      </c>
      <c r="S43" s="49">
        <f>'DATA HISTORICAL'!$D361</f>
        <v>7.8064549909534042E-2</v>
      </c>
      <c r="X43" s="60">
        <f>'DATA HISTORICAL'!$C469</f>
        <v>4834.8500000000004</v>
      </c>
      <c r="Y43" s="49">
        <f>'DATA HISTORICAL'!$D469</f>
        <v>1.6600433146197524E-2</v>
      </c>
      <c r="AD43" s="60">
        <f>'DATA HISTORICAL'!$C577</f>
        <v>2007.65</v>
      </c>
      <c r="AE43" s="49">
        <f>'DATA HISTORICAL'!$D577</f>
        <v>-2.4915612326671277E-2</v>
      </c>
      <c r="AJ43" s="60">
        <f>'DATA HISTORICAL'!$C5059</f>
        <v>1866.35</v>
      </c>
      <c r="AK43" s="49">
        <f>'DATA HISTORICAL'!$D5059</f>
        <v>3.5164591364153175E-2</v>
      </c>
    </row>
    <row r="44" spans="2:37" x14ac:dyDescent="0.3">
      <c r="B44" s="58" t="str">
        <f>'REGRESSION BETA'!$B44</f>
        <v>19/1/2025</v>
      </c>
      <c r="C44" s="60">
        <f>'REGRESSION BETA'!$F44</f>
        <v>23092.2</v>
      </c>
      <c r="D44" s="49">
        <f>'REGRESSION BETA'!$G44</f>
        <v>-4.7838229209764549E-3</v>
      </c>
      <c r="F44" s="60">
        <f>'DATA HISTORICAL'!$C146</f>
        <v>888.75</v>
      </c>
      <c r="G44" s="49">
        <f>'DATA HISTORICAL'!$D146</f>
        <v>5.4301713897844106E-3</v>
      </c>
      <c r="L44" s="60">
        <f>'DATA HISTORICAL'!$C254</f>
        <v>551.79999999999995</v>
      </c>
      <c r="M44" s="49">
        <f>'DATA HISTORICAL'!$D254</f>
        <v>2.8997668997668979E-2</v>
      </c>
      <c r="R44" s="60">
        <f>'DATA HISTORICAL'!$C362</f>
        <v>25783.15</v>
      </c>
      <c r="S44" s="49">
        <f>'DATA HISTORICAL'!$D362</f>
        <v>1.8474883914763485E-2</v>
      </c>
      <c r="X44" s="60">
        <f>'DATA HISTORICAL'!$C470</f>
        <v>4755.8999999999996</v>
      </c>
      <c r="Y44" s="49">
        <f>'DATA HISTORICAL'!$D470</f>
        <v>4.7278252444287849E-2</v>
      </c>
      <c r="AD44" s="60">
        <f>'DATA HISTORICAL'!$C578</f>
        <v>2058.9499999999998</v>
      </c>
      <c r="AE44" s="49">
        <f>'DATA HISTORICAL'!$D578</f>
        <v>2.1862127152712185E-2</v>
      </c>
      <c r="AJ44" s="60">
        <f>'DATA HISTORICAL'!$C5060</f>
        <v>1802.95</v>
      </c>
      <c r="AK44" s="49">
        <f>'DATA HISTORICAL'!$D5060</f>
        <v>4.7039693370887647E-2</v>
      </c>
    </row>
    <row r="45" spans="2:37" x14ac:dyDescent="0.3">
      <c r="B45" s="58">
        <f>'REGRESSION BETA'!$B45</f>
        <v>45992</v>
      </c>
      <c r="C45" s="60">
        <f>'REGRESSION BETA'!$F45</f>
        <v>23203.200000000001</v>
      </c>
      <c r="D45" s="49">
        <f>'REGRESSION BETA'!$G45</f>
        <v>-9.7432942833365344E-3</v>
      </c>
      <c r="F45" s="60">
        <f>'DATA HISTORICAL'!$C147</f>
        <v>883.95</v>
      </c>
      <c r="G45" s="49">
        <f>'DATA HISTORICAL'!$D147</f>
        <v>-3.5252387448840294E-2</v>
      </c>
      <c r="L45" s="60">
        <f>'DATA HISTORICAL'!$C255</f>
        <v>536.25</v>
      </c>
      <c r="M45" s="49">
        <f>'DATA HISTORICAL'!$D255</f>
        <v>4.8899755501222497E-2</v>
      </c>
      <c r="R45" s="60">
        <f>'DATA HISTORICAL'!$C363</f>
        <v>25315.45</v>
      </c>
      <c r="S45" s="49">
        <f>'DATA HISTORICAL'!$D363</f>
        <v>-1.6428823970503048E-2</v>
      </c>
      <c r="X45" s="60">
        <f>'DATA HISTORICAL'!$C471</f>
        <v>4541.2</v>
      </c>
      <c r="Y45" s="49">
        <f>'DATA HISTORICAL'!$D471</f>
        <v>-5.1721671380311474E-4</v>
      </c>
      <c r="AD45" s="60">
        <f>'DATA HISTORICAL'!$C579</f>
        <v>2014.9</v>
      </c>
      <c r="AE45" s="49">
        <f>'DATA HISTORICAL'!$D579</f>
        <v>4.3421972502006856E-2</v>
      </c>
      <c r="AJ45" s="60">
        <f>'DATA HISTORICAL'!$C5061</f>
        <v>1721.95</v>
      </c>
      <c r="AK45" s="49">
        <f>'DATA HISTORICAL'!$D5061</f>
        <v>-3.2127351664253956E-3</v>
      </c>
    </row>
    <row r="46" spans="2:37" x14ac:dyDescent="0.3">
      <c r="B46" s="58">
        <f>'REGRESSION BETA'!$B46</f>
        <v>45778</v>
      </c>
      <c r="C46" s="60">
        <f>'REGRESSION BETA'!$F46</f>
        <v>23431.5</v>
      </c>
      <c r="D46" s="49">
        <f>'REGRESSION BETA'!$G46</f>
        <v>-2.3880690280048689E-2</v>
      </c>
      <c r="F46" s="60">
        <f>'DATA HISTORICAL'!$C148</f>
        <v>916.25</v>
      </c>
      <c r="G46" s="49">
        <f>'DATA HISTORICAL'!$D148</f>
        <v>-7.0457542862940037E-2</v>
      </c>
      <c r="L46" s="60">
        <f>'DATA HISTORICAL'!$C256</f>
        <v>511.25</v>
      </c>
      <c r="M46" s="49">
        <f>'DATA HISTORICAL'!$D256</f>
        <v>-6.825223254966295E-2</v>
      </c>
      <c r="R46" s="60">
        <f>'DATA HISTORICAL'!$C364</f>
        <v>25738.3</v>
      </c>
      <c r="S46" s="49">
        <f>'DATA HISTORICAL'!$D364</f>
        <v>-1.3716530152799722E-2</v>
      </c>
      <c r="X46" s="60">
        <f>'DATA HISTORICAL'!$C472</f>
        <v>4543.55</v>
      </c>
      <c r="Y46" s="49">
        <f>'DATA HISTORICAL'!$D472</f>
        <v>-3.8717457765177543E-2</v>
      </c>
      <c r="AD46" s="60">
        <f>'DATA HISTORICAL'!$C580</f>
        <v>1931.05</v>
      </c>
      <c r="AE46" s="49">
        <f>'DATA HISTORICAL'!$D580</f>
        <v>-6.029343779653995E-2</v>
      </c>
      <c r="AJ46" s="60">
        <f>'DATA HISTORICAL'!$C5062</f>
        <v>1727.5</v>
      </c>
      <c r="AK46" s="49">
        <f>'DATA HISTORICAL'!$D5062</f>
        <v>-4.4445059048040414E-2</v>
      </c>
    </row>
    <row r="47" spans="2:37" x14ac:dyDescent="0.3">
      <c r="B47" s="58" t="str">
        <f>'REGRESSION BETA'!$B47</f>
        <v>29/12/2024</v>
      </c>
      <c r="C47" s="60">
        <f>'REGRESSION BETA'!$F47</f>
        <v>24004.75</v>
      </c>
      <c r="D47" s="49">
        <f>'REGRESSION BETA'!$G47</f>
        <v>8.035391838208783E-3</v>
      </c>
      <c r="F47" s="60">
        <f>'DATA HISTORICAL'!$C149</f>
        <v>985.7</v>
      </c>
      <c r="G47" s="49">
        <f>'DATA HISTORICAL'!$D149</f>
        <v>2.0657520062127954E-2</v>
      </c>
      <c r="L47" s="60">
        <f>'DATA HISTORICAL'!$C257</f>
        <v>548.70000000000005</v>
      </c>
      <c r="M47" s="49">
        <f>'DATA HISTORICAL'!$D257</f>
        <v>1.3687380235423152E-3</v>
      </c>
      <c r="R47" s="60">
        <f>'DATA HISTORICAL'!$C365</f>
        <v>26096.25</v>
      </c>
      <c r="S47" s="49">
        <f>'DATA HISTORICAL'!$D365</f>
        <v>1.81388920879888E-3</v>
      </c>
      <c r="X47" s="60">
        <f>'DATA HISTORICAL'!$C473</f>
        <v>4726.55</v>
      </c>
      <c r="Y47" s="49">
        <f>'DATA HISTORICAL'!$D473</f>
        <v>3.3701844744065124E-2</v>
      </c>
      <c r="AD47" s="60">
        <f>'DATA HISTORICAL'!$C581</f>
        <v>2054.9499999999998</v>
      </c>
      <c r="AE47" s="49">
        <f>'DATA HISTORICAL'!$D581</f>
        <v>-5.1558869093726312E-3</v>
      </c>
      <c r="AJ47" s="60">
        <f>'DATA HISTORICAL'!$C5063</f>
        <v>1807.85</v>
      </c>
      <c r="AK47" s="49">
        <f>'DATA HISTORICAL'!$D5063</f>
        <v>3.8755458515283836E-2</v>
      </c>
    </row>
    <row r="48" spans="2:37" x14ac:dyDescent="0.3">
      <c r="B48" s="58" t="str">
        <f>'REGRESSION BETA'!$B48</f>
        <v>22/12/2024</v>
      </c>
      <c r="C48" s="60">
        <f>'REGRESSION BETA'!$F48</f>
        <v>23813.4</v>
      </c>
      <c r="D48" s="49">
        <f>'REGRESSION BETA'!$G48</f>
        <v>9.5771065182830295E-3</v>
      </c>
      <c r="F48" s="60">
        <f>'DATA HISTORICAL'!$C150</f>
        <v>965.75</v>
      </c>
      <c r="G48" s="49">
        <f>'DATA HISTORICAL'!$D150</f>
        <v>-2.063685224622247E-2</v>
      </c>
      <c r="L48" s="60">
        <f>'DATA HISTORICAL'!$C258</f>
        <v>547.95000000000005</v>
      </c>
      <c r="M48" s="49">
        <f>'DATA HISTORICAL'!$D258</f>
        <v>-1.5488338192418682E-3</v>
      </c>
      <c r="R48" s="60">
        <f>'DATA HISTORICAL'!$C366</f>
        <v>26049</v>
      </c>
      <c r="S48" s="49">
        <f>'DATA HISTORICAL'!$D366</f>
        <v>-3.7485912760729434E-2</v>
      </c>
      <c r="X48" s="60">
        <f>'DATA HISTORICAL'!$C474</f>
        <v>4572.45</v>
      </c>
      <c r="Y48" s="49">
        <f>'DATA HISTORICAL'!$D474</f>
        <v>1.2096595688166678E-2</v>
      </c>
      <c r="AD48" s="60">
        <f>'DATA HISTORICAL'!$C582</f>
        <v>2065.6</v>
      </c>
      <c r="AE48" s="49">
        <f>'DATA HISTORICAL'!$D582</f>
        <v>9.449276766893E-4</v>
      </c>
      <c r="AJ48" s="60">
        <f>'DATA HISTORICAL'!$C5064</f>
        <v>1740.4</v>
      </c>
      <c r="AK48" s="49">
        <f>'DATA HISTORICAL'!$D5064</f>
        <v>-3.4130639880126545E-2</v>
      </c>
    </row>
    <row r="49" spans="2:37" x14ac:dyDescent="0.3">
      <c r="B49" s="58" t="str">
        <f>'REGRESSION BETA'!$B49</f>
        <v>15/12/2024</v>
      </c>
      <c r="C49" s="60">
        <f>'REGRESSION BETA'!$F49</f>
        <v>23587.5</v>
      </c>
      <c r="D49" s="49">
        <f>'REGRESSION BETA'!$G49</f>
        <v>-4.7673841159869612E-2</v>
      </c>
      <c r="F49" s="60">
        <f>'DATA HISTORICAL'!$C151</f>
        <v>986.1</v>
      </c>
      <c r="G49" s="49">
        <f>'DATA HISTORICAL'!$D151</f>
        <v>-5.2464687229749174E-2</v>
      </c>
      <c r="L49" s="60">
        <f>'DATA HISTORICAL'!$C259</f>
        <v>548.79999999999995</v>
      </c>
      <c r="M49" s="49">
        <f>'DATA HISTORICAL'!$D259</f>
        <v>-4.1815800960279481E-2</v>
      </c>
      <c r="R49" s="60">
        <f>'DATA HISTORICAL'!$C367</f>
        <v>27063.5</v>
      </c>
      <c r="S49" s="49">
        <f>'DATA HISTORICAL'!$D367</f>
        <v>-1.913455073945014E-2</v>
      </c>
      <c r="X49" s="60">
        <f>'DATA HISTORICAL'!$C475</f>
        <v>4517.8</v>
      </c>
      <c r="Y49" s="49">
        <f>'DATA HISTORICAL'!$D475</f>
        <v>-4.8703964961782309E-2</v>
      </c>
      <c r="AD49" s="60">
        <f>'DATA HISTORICAL'!$C583</f>
        <v>2063.65</v>
      </c>
      <c r="AE49" s="49">
        <f>'DATA HISTORICAL'!$D583</f>
        <v>-8.2026645314828395E-2</v>
      </c>
      <c r="AJ49" s="60">
        <f>'DATA HISTORICAL'!$C5065</f>
        <v>1801.9</v>
      </c>
      <c r="AK49" s="49">
        <f>'DATA HISTORICAL'!$D5065</f>
        <v>-6.2291840133222198E-2</v>
      </c>
    </row>
    <row r="50" spans="2:37" x14ac:dyDescent="0.3">
      <c r="B50" s="58">
        <f>'REGRESSION BETA'!$B50</f>
        <v>45516</v>
      </c>
      <c r="C50" s="60">
        <f>'REGRESSION BETA'!$F50</f>
        <v>24768.3</v>
      </c>
      <c r="D50" s="49">
        <f>'REGRESSION BETA'!$G50</f>
        <v>3.6672636944945491E-3</v>
      </c>
      <c r="F50" s="60">
        <f>'DATA HISTORICAL'!$C152</f>
        <v>1040.7</v>
      </c>
      <c r="G50" s="49">
        <f>'DATA HISTORICAL'!$D152</f>
        <v>2.7293815705049296E-2</v>
      </c>
      <c r="L50" s="60">
        <f>'DATA HISTORICAL'!$C260</f>
        <v>572.75</v>
      </c>
      <c r="M50" s="49">
        <f>'DATA HISTORICAL'!$D260</f>
        <v>1.317884309216355E-2</v>
      </c>
      <c r="R50" s="60">
        <f>'DATA HISTORICAL'!$C368</f>
        <v>27591.45</v>
      </c>
      <c r="S50" s="49">
        <f>'DATA HISTORICAL'!$D368</f>
        <v>1.9012691747317234E-2</v>
      </c>
      <c r="X50" s="60">
        <f>'DATA HISTORICAL'!$C476</f>
        <v>4749.1000000000004</v>
      </c>
      <c r="Y50" s="49">
        <f>'DATA HISTORICAL'!$D476</f>
        <v>3.3165457452710267E-2</v>
      </c>
      <c r="AD50" s="60">
        <f>'DATA HISTORICAL'!$C584</f>
        <v>2248.0500000000002</v>
      </c>
      <c r="AE50" s="49">
        <f>'DATA HISTORICAL'!$D584</f>
        <v>-4.5608519494320099E-3</v>
      </c>
      <c r="AJ50" s="60">
        <f>'DATA HISTORICAL'!$C5066</f>
        <v>1921.6</v>
      </c>
      <c r="AK50" s="49">
        <f>'DATA HISTORICAL'!$D5066</f>
        <v>-2.3104280781911513E-3</v>
      </c>
    </row>
    <row r="51" spans="2:37" x14ac:dyDescent="0.3">
      <c r="B51" s="58">
        <f>'REGRESSION BETA'!$B51</f>
        <v>45303</v>
      </c>
      <c r="C51" s="60">
        <f>'REGRESSION BETA'!$F51</f>
        <v>24677.8</v>
      </c>
      <c r="D51" s="49">
        <f>'REGRESSION BETA'!$G51</f>
        <v>2.2655411481449228E-2</v>
      </c>
      <c r="F51" s="60">
        <f>'DATA HISTORICAL'!$C153</f>
        <v>1013.05</v>
      </c>
      <c r="G51" s="49">
        <f>'DATA HISTORICAL'!$D153</f>
        <v>-1.7244777296019365E-3</v>
      </c>
      <c r="L51" s="60">
        <f>'DATA HISTORICAL'!$C261</f>
        <v>565.29999999999995</v>
      </c>
      <c r="M51" s="49">
        <f>'DATA HISTORICAL'!$D261</f>
        <v>6.3593603010347888E-2</v>
      </c>
      <c r="R51" s="60">
        <f>'DATA HISTORICAL'!$C369</f>
        <v>27076.65</v>
      </c>
      <c r="S51" s="49">
        <f>'DATA HISTORICAL'!$D369</f>
        <v>3.8356448059456039E-2</v>
      </c>
      <c r="X51" s="60">
        <f>'DATA HISTORICAL'!$C477</f>
        <v>4596.6499999999996</v>
      </c>
      <c r="Y51" s="49">
        <f>'DATA HISTORICAL'!$D477</f>
        <v>7.4422953310348872E-2</v>
      </c>
      <c r="AD51" s="60">
        <f>'DATA HISTORICAL'!$C585</f>
        <v>2258.35</v>
      </c>
      <c r="AE51" s="49">
        <f>'DATA HISTORICAL'!$D585</f>
        <v>1.6107624125441422E-2</v>
      </c>
      <c r="AJ51" s="60">
        <f>'DATA HISTORICAL'!$C5067</f>
        <v>1926.05</v>
      </c>
      <c r="AK51" s="49">
        <f>'DATA HISTORICAL'!$D5067</f>
        <v>5.8065756585272021E-2</v>
      </c>
    </row>
    <row r="52" spans="2:37" x14ac:dyDescent="0.3">
      <c r="B52" s="58" t="str">
        <f>'REGRESSION BETA'!$B52</f>
        <v>24/11/2024</v>
      </c>
      <c r="C52" s="60">
        <f>'REGRESSION BETA'!$F52</f>
        <v>24131.1</v>
      </c>
      <c r="D52" s="49">
        <f>'REGRESSION BETA'!$G52</f>
        <v>9.3632684645870157E-3</v>
      </c>
      <c r="F52" s="60">
        <f>'DATA HISTORICAL'!$C154</f>
        <v>1014.8</v>
      </c>
      <c r="G52" s="49">
        <f>'DATA HISTORICAL'!$D154</f>
        <v>7.391925498703622E-2</v>
      </c>
      <c r="L52" s="60">
        <f>'DATA HISTORICAL'!$C262</f>
        <v>531.5</v>
      </c>
      <c r="M52" s="49">
        <f>'DATA HISTORICAL'!$D262</f>
        <v>6.3318995698709468E-2</v>
      </c>
      <c r="R52" s="60">
        <f>'DATA HISTORICAL'!$C370</f>
        <v>26076.45</v>
      </c>
      <c r="S52" s="49">
        <f>'DATA HISTORICAL'!$D370</f>
        <v>5.1692394559332167E-2</v>
      </c>
      <c r="X52" s="60">
        <f>'DATA HISTORICAL'!$C478</f>
        <v>4278.25</v>
      </c>
      <c r="Y52" s="49">
        <f>'DATA HISTORICAL'!$D478</f>
        <v>3.4430649080600118E-2</v>
      </c>
      <c r="AD52" s="60">
        <f>'DATA HISTORICAL'!$C586</f>
        <v>2222.5500000000002</v>
      </c>
      <c r="AE52" s="49">
        <f>'DATA HISTORICAL'!$D586</f>
        <v>6.3624617151608165E-2</v>
      </c>
      <c r="AJ52" s="60">
        <f>'DATA HISTORICAL'!$C5068</f>
        <v>1820.35</v>
      </c>
      <c r="AK52" s="49">
        <f>'DATA HISTORICAL'!$D5068</f>
        <v>6.6915526061108732E-3</v>
      </c>
    </row>
    <row r="53" spans="2:37" x14ac:dyDescent="0.3">
      <c r="B53" s="58" t="str">
        <f>'REGRESSION BETA'!$B53</f>
        <v>17/11/2024</v>
      </c>
      <c r="C53" s="60">
        <f>'REGRESSION BETA'!$F53</f>
        <v>23907.25</v>
      </c>
      <c r="D53" s="49">
        <f>'REGRESSION BETA'!$G53</f>
        <v>1.5916150717937061E-2</v>
      </c>
      <c r="F53" s="60">
        <f>'DATA HISTORICAL'!$C155</f>
        <v>944.95</v>
      </c>
      <c r="G53" s="49">
        <f>'DATA HISTORICAL'!$D155</f>
        <v>4.7210062614284842E-2</v>
      </c>
      <c r="L53" s="60">
        <f>'DATA HISTORICAL'!$C263</f>
        <v>499.85</v>
      </c>
      <c r="M53" s="49">
        <f>'DATA HISTORICAL'!$D263</f>
        <v>-8.2001836547291096E-2</v>
      </c>
      <c r="R53" s="60">
        <f>'DATA HISTORICAL'!$C371</f>
        <v>24794.75</v>
      </c>
      <c r="S53" s="49">
        <f>'DATA HISTORICAL'!$D371</f>
        <v>2.9182249488413081E-2</v>
      </c>
      <c r="X53" s="60">
        <f>'DATA HISTORICAL'!$C479</f>
        <v>4135.8500000000004</v>
      </c>
      <c r="Y53" s="49">
        <f>'DATA HISTORICAL'!$D479</f>
        <v>3.4143475108143972E-2</v>
      </c>
      <c r="AD53" s="60">
        <f>'DATA HISTORICAL'!$C587</f>
        <v>2089.6</v>
      </c>
      <c r="AE53" s="49">
        <f>'DATA HISTORICAL'!$D587</f>
        <v>-4.5038045837808238E-2</v>
      </c>
      <c r="AJ53" s="60">
        <f>'DATA HISTORICAL'!$C5069</f>
        <v>1808.25</v>
      </c>
      <c r="AK53" s="49">
        <f>'DATA HISTORICAL'!$D5069</f>
        <v>5.5111448243668981E-2</v>
      </c>
    </row>
    <row r="54" spans="2:37" x14ac:dyDescent="0.3">
      <c r="B54" s="58">
        <f>'REGRESSION BETA'!$B54</f>
        <v>45576</v>
      </c>
      <c r="C54" s="60">
        <f>'REGRESSION BETA'!$F54</f>
        <v>23532.7</v>
      </c>
      <c r="D54" s="49">
        <f>'REGRESSION BETA'!$G54</f>
        <v>-2.5488442202731498E-2</v>
      </c>
      <c r="F54" s="60">
        <f>'DATA HISTORICAL'!$C156</f>
        <v>902.35</v>
      </c>
      <c r="G54" s="49">
        <f>'DATA HISTORICAL'!$D156</f>
        <v>4.2215292215292299E-2</v>
      </c>
      <c r="L54" s="60">
        <f>'DATA HISTORICAL'!$C264</f>
        <v>544.5</v>
      </c>
      <c r="M54" s="49">
        <f>'DATA HISTORICAL'!$D264</f>
        <v>-3.6112586298459814E-2</v>
      </c>
      <c r="R54" s="60">
        <f>'DATA HISTORICAL'!$C372</f>
        <v>24091.7</v>
      </c>
      <c r="S54" s="49">
        <f>'DATA HISTORICAL'!$D372</f>
        <v>-1.7988016141523677E-2</v>
      </c>
      <c r="X54" s="60">
        <f>'DATA HISTORICAL'!$C480</f>
        <v>3999.3</v>
      </c>
      <c r="Y54" s="49">
        <f>'DATA HISTORICAL'!$D480</f>
        <v>-2.009163746845366E-2</v>
      </c>
      <c r="AD54" s="60">
        <f>'DATA HISTORICAL'!$C588</f>
        <v>2188.15</v>
      </c>
      <c r="AE54" s="49">
        <f>'DATA HISTORICAL'!$D588</f>
        <v>-4.5059788775421161E-2</v>
      </c>
      <c r="AJ54" s="60">
        <f>'DATA HISTORICAL'!$C5070</f>
        <v>1713.8</v>
      </c>
      <c r="AK54" s="49">
        <f>'DATA HISTORICAL'!$D5070</f>
        <v>-3.0683521393625734E-2</v>
      </c>
    </row>
    <row r="55" spans="2:37" x14ac:dyDescent="0.3">
      <c r="B55" s="58">
        <f>'REGRESSION BETA'!$B55</f>
        <v>45362</v>
      </c>
      <c r="C55" s="60">
        <f>'REGRESSION BETA'!$F55</f>
        <v>24148.2</v>
      </c>
      <c r="D55" s="49">
        <f>'REGRESSION BETA'!$G55</f>
        <v>-6.4247758117372822E-3</v>
      </c>
      <c r="F55" s="60">
        <f>'DATA HISTORICAL'!$C157</f>
        <v>865.8</v>
      </c>
      <c r="G55" s="49">
        <f>'DATA HISTORICAL'!$D157</f>
        <v>-2.9807261317794764E-2</v>
      </c>
      <c r="L55" s="60">
        <f>'DATA HISTORICAL'!$C265</f>
        <v>564.9</v>
      </c>
      <c r="M55" s="49">
        <f>'DATA HISTORICAL'!$D265</f>
        <v>-3.0131341746072793E-2</v>
      </c>
      <c r="R55" s="60">
        <f>'DATA HISTORICAL'!$C373</f>
        <v>24533</v>
      </c>
      <c r="S55" s="49">
        <f>'DATA HISTORICAL'!$D373</f>
        <v>-2.805152717497883E-2</v>
      </c>
      <c r="X55" s="60">
        <f>'DATA HISTORICAL'!$C481</f>
        <v>4081.3</v>
      </c>
      <c r="Y55" s="49">
        <f>'DATA HISTORICAL'!$D481</f>
        <v>-6.0744491110983234E-2</v>
      </c>
      <c r="AD55" s="60">
        <f>'DATA HISTORICAL'!$C589</f>
        <v>2291.4</v>
      </c>
      <c r="AE55" s="49">
        <f>'DATA HISTORICAL'!$D589</f>
        <v>-1.5658225401121162E-2</v>
      </c>
      <c r="AJ55" s="60">
        <f>'DATA HISTORICAL'!$C5071</f>
        <v>1768.05</v>
      </c>
      <c r="AK55" s="49">
        <f>'DATA HISTORICAL'!$D5071</f>
        <v>-3.8162332716788261E-2</v>
      </c>
    </row>
    <row r="56" spans="2:37" x14ac:dyDescent="0.3">
      <c r="B56" s="58" t="str">
        <f>'REGRESSION BETA'!$B56</f>
        <v>27/10/2024</v>
      </c>
      <c r="C56" s="60">
        <f>'REGRESSION BETA'!$F56</f>
        <v>24304.35</v>
      </c>
      <c r="D56" s="49">
        <f>'REGRESSION BETA'!$G56</f>
        <v>5.1094256600276999E-3</v>
      </c>
      <c r="F56" s="60">
        <f>'DATA HISTORICAL'!$C158</f>
        <v>892.4</v>
      </c>
      <c r="G56" s="49">
        <f>'DATA HISTORICAL'!$D158</f>
        <v>4.6128597385850734E-2</v>
      </c>
      <c r="L56" s="60">
        <f>'DATA HISTORICAL'!$C266</f>
        <v>582.45000000000005</v>
      </c>
      <c r="M56" s="49">
        <f>'DATA HISTORICAL'!$D266</f>
        <v>5.3826669079066303E-2</v>
      </c>
      <c r="R56" s="60">
        <f>'DATA HISTORICAL'!$C374</f>
        <v>25241.05</v>
      </c>
      <c r="S56" s="49">
        <f>'DATA HISTORICAL'!$D374</f>
        <v>1.1389681369406324E-2</v>
      </c>
      <c r="X56" s="60">
        <f>'DATA HISTORICAL'!$C482</f>
        <v>4345.25</v>
      </c>
      <c r="Y56" s="49">
        <f>'DATA HISTORICAL'!$D482</f>
        <v>5.8526187576126709E-2</v>
      </c>
      <c r="AD56" s="60">
        <f>'DATA HISTORICAL'!$C590</f>
        <v>2327.85</v>
      </c>
      <c r="AE56" s="49">
        <f>'DATA HISTORICAL'!$D590</f>
        <v>4.0240414693001991E-2</v>
      </c>
      <c r="AJ56" s="60">
        <f>'DATA HISTORICAL'!$C5072</f>
        <v>1838.2</v>
      </c>
      <c r="AK56" s="49">
        <f>'DATA HISTORICAL'!$D5072</f>
        <v>3.7680995794405758E-2</v>
      </c>
    </row>
    <row r="57" spans="2:37" x14ac:dyDescent="0.3">
      <c r="B57" s="58" t="str">
        <f>'REGRESSION BETA'!$B57</f>
        <v>20/10/2024</v>
      </c>
      <c r="C57" s="60">
        <f>'REGRESSION BETA'!$F57</f>
        <v>24180.799999999999</v>
      </c>
      <c r="D57" s="49">
        <f>'REGRESSION BETA'!$G57</f>
        <v>-2.7088140564616281E-2</v>
      </c>
      <c r="F57" s="60">
        <f>'DATA HISTORICAL'!$C159</f>
        <v>853.05</v>
      </c>
      <c r="G57" s="49">
        <f>'DATA HISTORICAL'!$D159</f>
        <v>2.055679548925271E-3</v>
      </c>
      <c r="L57" s="60">
        <f>'DATA HISTORICAL'!$C267</f>
        <v>552.70000000000005</v>
      </c>
      <c r="M57" s="49">
        <f>'DATA HISTORICAL'!$D267</f>
        <v>-3.7024131021865969E-2</v>
      </c>
      <c r="R57" s="60">
        <f>'DATA HISTORICAL'!$C375</f>
        <v>24956.799999999999</v>
      </c>
      <c r="S57" s="49">
        <f>'DATA HISTORICAL'!$D375</f>
        <v>2.5962734195948522E-2</v>
      </c>
      <c r="X57" s="60">
        <f>'DATA HISTORICAL'!$C483</f>
        <v>4105</v>
      </c>
      <c r="Y57" s="49">
        <f>'DATA HISTORICAL'!$D483</f>
        <v>-4.5947893183349908E-2</v>
      </c>
      <c r="AD57" s="60">
        <f>'DATA HISTORICAL'!$C591</f>
        <v>2237.8000000000002</v>
      </c>
      <c r="AE57" s="49">
        <f>'DATA HISTORICAL'!$D591</f>
        <v>-2.0934963795856687E-2</v>
      </c>
      <c r="AJ57" s="60">
        <f>'DATA HISTORICAL'!$C5073</f>
        <v>1771.45</v>
      </c>
      <c r="AK57" s="49">
        <f>'DATA HISTORICAL'!$D5073</f>
        <v>-4.3570985071403556E-2</v>
      </c>
    </row>
    <row r="58" spans="2:37" x14ac:dyDescent="0.3">
      <c r="B58" s="58" t="str">
        <f>'REGRESSION BETA'!$B58</f>
        <v>13/10/2024</v>
      </c>
      <c r="C58" s="60">
        <f>'REGRESSION BETA'!$F58</f>
        <v>24854.05</v>
      </c>
      <c r="D58" s="49">
        <f>'REGRESSION BETA'!$G58</f>
        <v>-4.4143124668275524E-3</v>
      </c>
      <c r="F58" s="60">
        <f>'DATA HISTORICAL'!$C160</f>
        <v>851.3</v>
      </c>
      <c r="G58" s="49">
        <f>'DATA HISTORICAL'!$D160</f>
        <v>-1.1897162091579094E-2</v>
      </c>
      <c r="L58" s="60">
        <f>'DATA HISTORICAL'!$C268</f>
        <v>573.95000000000005</v>
      </c>
      <c r="M58" s="49">
        <f>'DATA HISTORICAL'!$D268</f>
        <v>-1.922419685577581E-2</v>
      </c>
      <c r="R58" s="60">
        <f>'DATA HISTORICAL'!$C376</f>
        <v>24325.25</v>
      </c>
      <c r="S58" s="49">
        <f>'DATA HISTORICAL'!$D376</f>
        <v>-4.8485744985526935E-4</v>
      </c>
      <c r="X58" s="60">
        <f>'DATA HISTORICAL'!$C484</f>
        <v>4302.7</v>
      </c>
      <c r="Y58" s="49">
        <f>'DATA HISTORICAL'!$D484</f>
        <v>1.5086994986729607E-2</v>
      </c>
      <c r="AD58" s="60">
        <f>'DATA HISTORICAL'!$C592</f>
        <v>2285.65</v>
      </c>
      <c r="AE58" s="49">
        <f>'DATA HISTORICAL'!$D592</f>
        <v>-1.1589439771670595E-2</v>
      </c>
      <c r="AJ58" s="60">
        <f>'DATA HISTORICAL'!$C5074</f>
        <v>1852.15</v>
      </c>
      <c r="AK58" s="49">
        <f>'DATA HISTORICAL'!$D5074</f>
        <v>-1.1105475319682867E-2</v>
      </c>
    </row>
    <row r="59" spans="2:37" x14ac:dyDescent="0.3">
      <c r="B59" s="58">
        <f>'REGRESSION BETA'!$B59</f>
        <v>45453</v>
      </c>
      <c r="C59" s="60">
        <f>'REGRESSION BETA'!$F59</f>
        <v>24964.25</v>
      </c>
      <c r="D59" s="49">
        <f>'REGRESSION BETA'!$G59</f>
        <v>-2.0128245104857889E-3</v>
      </c>
      <c r="F59" s="60">
        <f>'DATA HISTORICAL'!$C161</f>
        <v>861.55</v>
      </c>
      <c r="G59" s="49">
        <f>'DATA HISTORICAL'!$D161</f>
        <v>-7.9451897057978282E-3</v>
      </c>
      <c r="L59" s="60">
        <f>'DATA HISTORICAL'!$C269</f>
        <v>585.20000000000005</v>
      </c>
      <c r="M59" s="49">
        <f>'DATA HISTORICAL'!$D269</f>
        <v>-4.1755362698542631E-2</v>
      </c>
      <c r="R59" s="60">
        <f>'DATA HISTORICAL'!$C377</f>
        <v>24337.05</v>
      </c>
      <c r="S59" s="49">
        <f>'DATA HISTORICAL'!$D377</f>
        <v>-6.5189251062064524E-2</v>
      </c>
      <c r="X59" s="60">
        <f>'DATA HISTORICAL'!$C485</f>
        <v>4238.75</v>
      </c>
      <c r="Y59" s="49">
        <f>'DATA HISTORICAL'!$D485</f>
        <v>-7.1579546823493323E-2</v>
      </c>
      <c r="AD59" s="60">
        <f>'DATA HISTORICAL'!$C593</f>
        <v>2312.4499999999998</v>
      </c>
      <c r="AE59" s="49">
        <f>'DATA HISTORICAL'!$D593</f>
        <v>-4.9840780688238384E-2</v>
      </c>
      <c r="AJ59" s="60">
        <f>'DATA HISTORICAL'!$C5075</f>
        <v>1872.95</v>
      </c>
      <c r="AK59" s="49">
        <f>'DATA HISTORICAL'!$D5075</f>
        <v>-3.3316129032258002E-2</v>
      </c>
    </row>
    <row r="60" spans="2:37" x14ac:dyDescent="0.3">
      <c r="B60" s="58" t="str">
        <f>'REGRESSION BETA'!$B60</f>
        <v>29/9/2024</v>
      </c>
      <c r="C60" s="60">
        <f>'REGRESSION BETA'!$F60</f>
        <v>25014.6</v>
      </c>
      <c r="D60" s="49">
        <f>'REGRESSION BETA'!$G60</f>
        <v>-4.4476573735768743E-2</v>
      </c>
      <c r="F60" s="60">
        <f>'DATA HISTORICAL'!$C162</f>
        <v>868.45</v>
      </c>
      <c r="G60" s="49">
        <f>'DATA HISTORICAL'!$D162</f>
        <v>5.9072218683038358E-3</v>
      </c>
      <c r="L60" s="60">
        <f>'DATA HISTORICAL'!$C270</f>
        <v>610.70000000000005</v>
      </c>
      <c r="M60" s="49">
        <f>'DATA HISTORICAL'!$D270</f>
        <v>-3.6750788643533094E-2</v>
      </c>
      <c r="R60" s="60">
        <f>'DATA HISTORICAL'!$C378</f>
        <v>26034.2</v>
      </c>
      <c r="S60" s="49">
        <f>'DATA HISTORICAL'!$D378</f>
        <v>-8.1416037092491012E-3</v>
      </c>
      <c r="X60" s="60">
        <f>'DATA HISTORICAL'!$C486</f>
        <v>4565.55</v>
      </c>
      <c r="Y60" s="49">
        <f>'DATA HISTORICAL'!$D486</f>
        <v>-1.5249393367484432E-2</v>
      </c>
      <c r="AD60" s="60">
        <f>'DATA HISTORICAL'!$C594</f>
        <v>2433.75</v>
      </c>
      <c r="AE60" s="49">
        <f>'DATA HISTORICAL'!$D594</f>
        <v>-1.9953287963596855E-2</v>
      </c>
      <c r="AJ60" s="60">
        <f>'DATA HISTORICAL'!$C5076</f>
        <v>1937.5</v>
      </c>
      <c r="AK60" s="49">
        <f>'DATA HISTORICAL'!$D5076</f>
        <v>2.2562343317060307E-2</v>
      </c>
    </row>
    <row r="61" spans="2:37" x14ac:dyDescent="0.3">
      <c r="B61" s="58" t="str">
        <f>'REGRESSION BETA'!$B61</f>
        <v>22/9/2024</v>
      </c>
      <c r="C61" s="60">
        <f>'REGRESSION BETA'!$F61</f>
        <v>26178.95</v>
      </c>
      <c r="D61" s="49">
        <f>'REGRESSION BETA'!$G61</f>
        <v>1.5044036764834123E-2</v>
      </c>
      <c r="F61" s="60">
        <f>'DATA HISTORICAL'!$C163</f>
        <v>863.35</v>
      </c>
      <c r="G61" s="49">
        <f>'DATA HISTORICAL'!$D163</f>
        <v>3.3518884299994056E-2</v>
      </c>
      <c r="L61" s="60">
        <f>'DATA HISTORICAL'!$C271</f>
        <v>634</v>
      </c>
      <c r="M61" s="49">
        <f>'DATA HISTORICAL'!$D271</f>
        <v>2.8302651853053362E-2</v>
      </c>
      <c r="R61" s="60">
        <f>'DATA HISTORICAL'!$C379</f>
        <v>26247.9</v>
      </c>
      <c r="S61" s="49">
        <f>'DATA HISTORICAL'!$D379</f>
        <v>4.3998615845388445E-2</v>
      </c>
      <c r="X61" s="60">
        <f>'DATA HISTORICAL'!$C487</f>
        <v>4636.25</v>
      </c>
      <c r="Y61" s="49">
        <f>'DATA HISTORICAL'!$D487</f>
        <v>7.662917952813153E-4</v>
      </c>
      <c r="AD61" s="60">
        <f>'DATA HISTORICAL'!$C595</f>
        <v>2483.3000000000002</v>
      </c>
      <c r="AE61" s="49">
        <f>'DATA HISTORICAL'!$D595</f>
        <v>1.6412901113294298E-2</v>
      </c>
      <c r="AJ61" s="60">
        <f>'DATA HISTORICAL'!$C5077</f>
        <v>1894.75</v>
      </c>
      <c r="AK61" s="49">
        <f>'DATA HISTORICAL'!$D5077</f>
        <v>3.2055122828040794E-2</v>
      </c>
    </row>
    <row r="62" spans="2:37" x14ac:dyDescent="0.3">
      <c r="B62" s="58" t="str">
        <f>'REGRESSION BETA'!$B62</f>
        <v>15/9/2024</v>
      </c>
      <c r="C62" s="60">
        <f>'REGRESSION BETA'!$F62</f>
        <v>25790.95</v>
      </c>
      <c r="D62" s="49">
        <f>'REGRESSION BETA'!$G62</f>
        <v>1.7133673811448702E-2</v>
      </c>
      <c r="F62" s="60">
        <f>'DATA HISTORICAL'!$C164</f>
        <v>835.35</v>
      </c>
      <c r="G62" s="49">
        <f>'DATA HISTORICAL'!$D164</f>
        <v>-1.7466478475652858E-2</v>
      </c>
      <c r="L62" s="60">
        <f>'DATA HISTORICAL'!$C272</f>
        <v>616.54999999999995</v>
      </c>
      <c r="M62" s="49">
        <f>'DATA HISTORICAL'!$D272</f>
        <v>-2.0727445997458793E-2</v>
      </c>
      <c r="R62" s="60">
        <f>'DATA HISTORICAL'!$C380</f>
        <v>25141.7</v>
      </c>
      <c r="S62" s="49">
        <f>'DATA HISTORICAL'!$D380</f>
        <v>-2.8644173225000014E-2</v>
      </c>
      <c r="X62" s="60">
        <f>'DATA HISTORICAL'!$C488</f>
        <v>4632.7</v>
      </c>
      <c r="Y62" s="49">
        <f>'DATA HISTORICAL'!$D488</f>
        <v>-2.8050520308828375E-2</v>
      </c>
      <c r="AD62" s="60">
        <f>'DATA HISTORICAL'!$C596</f>
        <v>2443.1999999999998</v>
      </c>
      <c r="AE62" s="49">
        <f>'DATA HISTORICAL'!$D596</f>
        <v>-2.949413096585829E-2</v>
      </c>
      <c r="AJ62" s="60">
        <f>'DATA HISTORICAL'!$C5078</f>
        <v>1835.9</v>
      </c>
      <c r="AK62" s="49">
        <f>'DATA HISTORICAL'!$D5078</f>
        <v>-3.4803638084222599E-2</v>
      </c>
    </row>
    <row r="63" spans="2:37" x14ac:dyDescent="0.3">
      <c r="B63" s="58">
        <f>'REGRESSION BETA'!$B63</f>
        <v>45513</v>
      </c>
      <c r="C63" s="60">
        <f>'REGRESSION BETA'!$F63</f>
        <v>25356.5</v>
      </c>
      <c r="D63" s="49">
        <f>'REGRESSION BETA'!$G63</f>
        <v>2.0294018827344829E-2</v>
      </c>
      <c r="F63" s="60">
        <f>'DATA HISTORICAL'!$C165</f>
        <v>850.2</v>
      </c>
      <c r="G63" s="49">
        <f>'DATA HISTORICAL'!$D165</f>
        <v>2.4460778407036976E-2</v>
      </c>
      <c r="L63" s="60">
        <f>'DATA HISTORICAL'!$C273</f>
        <v>629.6</v>
      </c>
      <c r="M63" s="49">
        <f>'DATA HISTORICAL'!$D273</f>
        <v>1.0188527878058684E-2</v>
      </c>
      <c r="R63" s="60">
        <f>'DATA HISTORICAL'!$C381</f>
        <v>25883.1</v>
      </c>
      <c r="S63" s="49">
        <f>'DATA HISTORICAL'!$D381</f>
        <v>1.0646044876212457E-2</v>
      </c>
      <c r="X63" s="60">
        <f>'DATA HISTORICAL'!$C489</f>
        <v>4766.3999999999996</v>
      </c>
      <c r="Y63" s="49">
        <f>'DATA HISTORICAL'!$D489</f>
        <v>1.4570184867867875E-2</v>
      </c>
      <c r="AD63" s="60">
        <f>'DATA HISTORICAL'!$C597</f>
        <v>2517.4499999999998</v>
      </c>
      <c r="AE63" s="49">
        <f>'DATA HISTORICAL'!$D597</f>
        <v>3.624351691775729E-2</v>
      </c>
      <c r="AJ63" s="60">
        <f>'DATA HISTORICAL'!$C5079</f>
        <v>1902.1</v>
      </c>
      <c r="AK63" s="49">
        <f>'DATA HISTORICAL'!$D5079</f>
        <v>1.377748167888071E-2</v>
      </c>
    </row>
    <row r="64" spans="2:37" x14ac:dyDescent="0.3">
      <c r="B64" s="58">
        <f>'REGRESSION BETA'!$B64</f>
        <v>45300</v>
      </c>
      <c r="C64" s="60">
        <f>'REGRESSION BETA'!$F64</f>
        <v>24852.15</v>
      </c>
      <c r="D64" s="49">
        <f>'REGRESSION BETA'!$G64</f>
        <v>-1.5206511358818231E-2</v>
      </c>
      <c r="F64" s="60">
        <f>'DATA HISTORICAL'!$C166</f>
        <v>829.9</v>
      </c>
      <c r="G64" s="49">
        <f>'DATA HISTORICAL'!$D166</f>
        <v>-1.6240601503759722E-3</v>
      </c>
      <c r="L64" s="60">
        <f>'DATA HISTORICAL'!$C274</f>
        <v>623.25</v>
      </c>
      <c r="M64" s="49">
        <f>'DATA HISTORICAL'!$D274</f>
        <v>1.0047808119277191E-2</v>
      </c>
      <c r="R64" s="60">
        <f>'DATA HISTORICAL'!$C382</f>
        <v>25610.45</v>
      </c>
      <c r="S64" s="49">
        <f>'DATA HISTORICAL'!$D382</f>
        <v>5.0408131229888742E-3</v>
      </c>
      <c r="X64" s="60">
        <f>'DATA HISTORICAL'!$C490</f>
        <v>4697.95</v>
      </c>
      <c r="Y64" s="49">
        <f>'DATA HISTORICAL'!$D490</f>
        <v>5.4794674330362225E-2</v>
      </c>
      <c r="AD64" s="60">
        <f>'DATA HISTORICAL'!$C598</f>
        <v>2429.4</v>
      </c>
      <c r="AE64" s="49">
        <f>'DATA HISTORICAL'!$D598</f>
        <v>4.30414528905394E-2</v>
      </c>
      <c r="AJ64" s="60">
        <f>'DATA HISTORICAL'!$C5080</f>
        <v>1876.25</v>
      </c>
      <c r="AK64" s="49">
        <f>'DATA HISTORICAL'!$D5080</f>
        <v>-7.8263398640966431E-3</v>
      </c>
    </row>
    <row r="65" spans="2:37" x14ac:dyDescent="0.3">
      <c r="B65" s="58" t="str">
        <f>'REGRESSION BETA'!$B65</f>
        <v>25/8/2024</v>
      </c>
      <c r="C65" s="60">
        <f>'REGRESSION BETA'!$F65</f>
        <v>25235.9</v>
      </c>
      <c r="D65" s="49">
        <f>'REGRESSION BETA'!$G65</f>
        <v>1.6627623810837822E-2</v>
      </c>
      <c r="F65" s="60">
        <f>'DATA HISTORICAL'!$C167</f>
        <v>831.25</v>
      </c>
      <c r="G65" s="49">
        <f>'DATA HISTORICAL'!$D167</f>
        <v>1.3966821175896538E-2</v>
      </c>
      <c r="L65" s="60">
        <f>'DATA HISTORICAL'!$C275</f>
        <v>617.04999999999995</v>
      </c>
      <c r="M65" s="49">
        <f>'DATA HISTORICAL'!$D275</f>
        <v>-2.6120580808080884E-2</v>
      </c>
      <c r="R65" s="60">
        <f>'DATA HISTORICAL'!$C383</f>
        <v>25482</v>
      </c>
      <c r="S65" s="49">
        <f>'DATA HISTORICAL'!$D383</f>
        <v>3.1407286879124863E-2</v>
      </c>
      <c r="X65" s="60">
        <f>'DATA HISTORICAL'!$C491</f>
        <v>4453.8999999999996</v>
      </c>
      <c r="Y65" s="49">
        <f>'DATA HISTORICAL'!$D491</f>
        <v>1.3782193542512866E-2</v>
      </c>
      <c r="AD65" s="60">
        <f>'DATA HISTORICAL'!$C599</f>
        <v>2329.15</v>
      </c>
      <c r="AE65" s="49">
        <f>'DATA HISTORICAL'!$D599</f>
        <v>2.3238300161376735E-3</v>
      </c>
      <c r="AJ65" s="60">
        <f>'DATA HISTORICAL'!$C5081</f>
        <v>1891.05</v>
      </c>
      <c r="AK65" s="49">
        <f>'DATA HISTORICAL'!$D5081</f>
        <v>4.8224827471522458E-2</v>
      </c>
    </row>
    <row r="66" spans="2:37" x14ac:dyDescent="0.3">
      <c r="B66" s="58" t="str">
        <f>'REGRESSION BETA'!$B66</f>
        <v>18/8/2024</v>
      </c>
      <c r="C66" s="60">
        <f>'REGRESSION BETA'!$F66</f>
        <v>24823.15</v>
      </c>
      <c r="D66" s="49">
        <f>'REGRESSION BETA'!$G66</f>
        <v>1.1490904052988471E-2</v>
      </c>
      <c r="F66" s="60">
        <f>'DATA HISTORICAL'!$C168</f>
        <v>819.8</v>
      </c>
      <c r="G66" s="49">
        <f>'DATA HISTORICAL'!$D168</f>
        <v>1.8448350829243898E-2</v>
      </c>
      <c r="L66" s="60">
        <f>'DATA HISTORICAL'!$C276</f>
        <v>633.6</v>
      </c>
      <c r="M66" s="49">
        <f>'DATA HISTORICAL'!$D276</f>
        <v>-1.0772833723653341E-2</v>
      </c>
      <c r="R66" s="60">
        <f>'DATA HISTORICAL'!$C384</f>
        <v>24706.05</v>
      </c>
      <c r="S66" s="49">
        <f>'DATA HISTORICAL'!$D384</f>
        <v>2.5646384245328058E-3</v>
      </c>
      <c r="X66" s="60">
        <f>'DATA HISTORICAL'!$C492</f>
        <v>4393.3500000000004</v>
      </c>
      <c r="Y66" s="49">
        <f>'DATA HISTORICAL'!$D492</f>
        <v>3.6179671930093749E-2</v>
      </c>
      <c r="AD66" s="60">
        <f>'DATA HISTORICAL'!$C600</f>
        <v>2323.75</v>
      </c>
      <c r="AE66" s="49">
        <f>'DATA HISTORICAL'!$D600</f>
        <v>-6.0524402241327602E-3</v>
      </c>
      <c r="AJ66" s="60">
        <f>'DATA HISTORICAL'!$C5082</f>
        <v>1804.05</v>
      </c>
      <c r="AK66" s="49">
        <f>'DATA HISTORICAL'!$D5082</f>
        <v>3.0414667580534571E-2</v>
      </c>
    </row>
    <row r="67" spans="2:37" x14ac:dyDescent="0.3">
      <c r="B67" s="58">
        <f>'REGRESSION BETA'!$B67</f>
        <v>45604</v>
      </c>
      <c r="C67" s="60">
        <f>'REGRESSION BETA'!$F67</f>
        <v>24541.15</v>
      </c>
      <c r="D67" s="49">
        <f>'REGRESSION BETA'!$G67</f>
        <v>7.1262952703396998E-3</v>
      </c>
      <c r="F67" s="60">
        <f>'DATA HISTORICAL'!$C169</f>
        <v>804.95</v>
      </c>
      <c r="G67" s="49">
        <f>'DATA HISTORICAL'!$D169</f>
        <v>6.5020318849640102E-3</v>
      </c>
      <c r="L67" s="60">
        <f>'DATA HISTORICAL'!$C277</f>
        <v>640.5</v>
      </c>
      <c r="M67" s="49">
        <f>'DATA HISTORICAL'!$D277</f>
        <v>1.3449367088607556E-2</v>
      </c>
      <c r="R67" s="60">
        <f>'DATA HISTORICAL'!$C385</f>
        <v>24642.85</v>
      </c>
      <c r="S67" s="49">
        <f>'DATA HISTORICAL'!$D385</f>
        <v>1.4250965155618411E-2</v>
      </c>
      <c r="X67" s="60">
        <f>'DATA HISTORICAL'!$C493</f>
        <v>4239.95</v>
      </c>
      <c r="Y67" s="49">
        <f>'DATA HISTORICAL'!$D493</f>
        <v>-5.8959483043241612E-5</v>
      </c>
      <c r="AD67" s="60">
        <f>'DATA HISTORICAL'!$C601</f>
        <v>2337.9</v>
      </c>
      <c r="AE67" s="49">
        <f>'DATA HISTORICAL'!$D601</f>
        <v>-5.8046820182433567E-3</v>
      </c>
      <c r="AJ67" s="60">
        <f>'DATA HISTORICAL'!$C5083</f>
        <v>1750.8</v>
      </c>
      <c r="AK67" s="49">
        <f>'DATA HISTORICAL'!$D5083</f>
        <v>5.8600482592210401E-3</v>
      </c>
    </row>
    <row r="68" spans="2:37" x14ac:dyDescent="0.3">
      <c r="B68" s="58">
        <f>'REGRESSION BETA'!$B68</f>
        <v>45390</v>
      </c>
      <c r="C68" s="60">
        <f>'REGRESSION BETA'!$F68</f>
        <v>24367.5</v>
      </c>
      <c r="D68" s="49">
        <f>'REGRESSION BETA'!$G68</f>
        <v>-1.4167984885325113E-2</v>
      </c>
      <c r="F68" s="60">
        <f>'DATA HISTORICAL'!$C170</f>
        <v>799.75</v>
      </c>
      <c r="G68" s="49">
        <f>'DATA HISTORICAL'!$D170</f>
        <v>-3.3826638477801318E-2</v>
      </c>
      <c r="L68" s="60">
        <f>'DATA HISTORICAL'!$C278</f>
        <v>632</v>
      </c>
      <c r="M68" s="49">
        <f>'DATA HISTORICAL'!$D278</f>
        <v>-3.1862745098039102E-2</v>
      </c>
      <c r="R68" s="60">
        <f>'DATA HISTORICAL'!$C386</f>
        <v>24296.6</v>
      </c>
      <c r="S68" s="49">
        <f>'DATA HISTORICAL'!$D386</f>
        <v>-0.10986303527890284</v>
      </c>
      <c r="X68" s="60">
        <f>'DATA HISTORICAL'!$C494</f>
        <v>4240.2</v>
      </c>
      <c r="Y68" s="49">
        <f>'DATA HISTORICAL'!$D494</f>
        <v>-1.0362694300518283E-2</v>
      </c>
      <c r="AD68" s="60">
        <f>'DATA HISTORICAL'!$C602</f>
        <v>2351.5500000000002</v>
      </c>
      <c r="AE68" s="49">
        <f>'DATA HISTORICAL'!$D602</f>
        <v>-3.4390013550691934E-2</v>
      </c>
      <c r="AJ68" s="60">
        <f>'DATA HISTORICAL'!$C5084</f>
        <v>1740.6</v>
      </c>
      <c r="AK68" s="49">
        <f>'DATA HISTORICAL'!$D5084</f>
        <v>-3.2301106354589493E-2</v>
      </c>
    </row>
    <row r="69" spans="2:37" x14ac:dyDescent="0.3">
      <c r="B69" s="58" t="str">
        <f>'REGRESSION BETA'!$B69</f>
        <v>28/7/2024</v>
      </c>
      <c r="C69" s="60">
        <f>'REGRESSION BETA'!$F69</f>
        <v>24717.7</v>
      </c>
      <c r="D69" s="49">
        <f>'REGRESSION BETA'!$G69</f>
        <v>-4.7171615693268887E-3</v>
      </c>
      <c r="F69" s="60">
        <f>'DATA HISTORICAL'!$C171</f>
        <v>827.75</v>
      </c>
      <c r="G69" s="49">
        <f>'DATA HISTORICAL'!$D171</f>
        <v>-4.8300428666303574E-4</v>
      </c>
      <c r="L69" s="60">
        <f>'DATA HISTORICAL'!$C279</f>
        <v>652.79999999999995</v>
      </c>
      <c r="M69" s="49">
        <f>'DATA HISTORICAL'!$D279</f>
        <v>-4.8951048951048959E-2</v>
      </c>
      <c r="R69" s="60">
        <f>'DATA HISTORICAL'!$C387</f>
        <v>27295.35</v>
      </c>
      <c r="S69" s="49">
        <f>'DATA HISTORICAL'!$D387</f>
        <v>-9.8451939383497056E-3</v>
      </c>
      <c r="X69" s="60">
        <f>'DATA HISTORICAL'!$C495</f>
        <v>4284.6000000000004</v>
      </c>
      <c r="Y69" s="49">
        <f>'DATA HISTORICAL'!$D495</f>
        <v>-2.3486376534135434E-2</v>
      </c>
      <c r="AD69" s="60">
        <f>'DATA HISTORICAL'!$C603</f>
        <v>2435.3000000000002</v>
      </c>
      <c r="AE69" s="49">
        <f>'DATA HISTORICAL'!$D603</f>
        <v>-6.8416119962511623E-2</v>
      </c>
      <c r="AJ69" s="60">
        <f>'DATA HISTORICAL'!$C5085</f>
        <v>1798.7</v>
      </c>
      <c r="AK69" s="49">
        <f>'DATA HISTORICAL'!$D5085</f>
        <v>-7.4495088842291279E-3</v>
      </c>
    </row>
    <row r="70" spans="2:37" x14ac:dyDescent="0.3">
      <c r="B70" s="58" t="str">
        <f>'REGRESSION BETA'!$B70</f>
        <v>21/7/2024</v>
      </c>
      <c r="C70" s="60">
        <f>'REGRESSION BETA'!$F70</f>
        <v>24834.85</v>
      </c>
      <c r="D70" s="49">
        <f>'REGRESSION BETA'!$G70</f>
        <v>1.2390495252925682E-2</v>
      </c>
      <c r="F70" s="60">
        <f>'DATA HISTORICAL'!$C172</f>
        <v>828.15</v>
      </c>
      <c r="G70" s="49">
        <f>'DATA HISTORICAL'!$D172</f>
        <v>6.4733864746721492E-2</v>
      </c>
      <c r="L70" s="60">
        <f>'DATA HISTORICAL'!$C280</f>
        <v>686.4</v>
      </c>
      <c r="M70" s="49">
        <f>'DATA HISTORICAL'!$D280</f>
        <v>1.25387225254463E-2</v>
      </c>
      <c r="R70" s="60">
        <f>'DATA HISTORICAL'!$C388</f>
        <v>27566.75</v>
      </c>
      <c r="S70" s="49">
        <f>'DATA HISTORICAL'!$D388</f>
        <v>1.0357661865955103E-2</v>
      </c>
      <c r="X70" s="60">
        <f>'DATA HISTORICAL'!$C496</f>
        <v>4387.6499999999996</v>
      </c>
      <c r="Y70" s="49">
        <f>'DATA HISTORICAL'!$D496</f>
        <v>2.4063203837042302E-2</v>
      </c>
      <c r="AD70" s="60">
        <f>'DATA HISTORICAL'!$C604</f>
        <v>2614.15</v>
      </c>
      <c r="AE70" s="49">
        <f>'DATA HISTORICAL'!$D604</f>
        <v>-2.1566531796320954E-3</v>
      </c>
      <c r="AJ70" s="60">
        <f>'DATA HISTORICAL'!$C5086</f>
        <v>1812.2</v>
      </c>
      <c r="AK70" s="49">
        <f>'DATA HISTORICAL'!$D5086</f>
        <v>-3.5739814152966343E-3</v>
      </c>
    </row>
    <row r="71" spans="2:37" x14ac:dyDescent="0.3">
      <c r="B71" s="58" t="str">
        <f>'REGRESSION BETA'!$B71</f>
        <v>14/7/2024</v>
      </c>
      <c r="C71" s="60">
        <f>'REGRESSION BETA'!$F71</f>
        <v>24530.9</v>
      </c>
      <c r="D71" s="49">
        <f>'REGRESSION BETA'!$G71</f>
        <v>1.1733664188653403E-3</v>
      </c>
      <c r="F71" s="60">
        <f>'DATA HISTORICAL'!$C173</f>
        <v>777.8</v>
      </c>
      <c r="G71" s="49">
        <f>'DATA HISTORICAL'!$D173</f>
        <v>-2.0279632195490671E-2</v>
      </c>
      <c r="L71" s="60">
        <f>'DATA HISTORICAL'!$C281</f>
        <v>677.9</v>
      </c>
      <c r="M71" s="49">
        <f>'DATA HISTORICAL'!$D281</f>
        <v>2.0694752402068417E-3</v>
      </c>
      <c r="R71" s="60">
        <f>'DATA HISTORICAL'!$C389</f>
        <v>27284.15</v>
      </c>
      <c r="S71" s="49">
        <f>'DATA HISTORICAL'!$D389</f>
        <v>-1.3784316206104985E-2</v>
      </c>
      <c r="X71" s="60">
        <f>'DATA HISTORICAL'!$C497</f>
        <v>4284.55</v>
      </c>
      <c r="Y71" s="49">
        <f>'DATA HISTORICAL'!$D497</f>
        <v>-1.2639996312854174E-2</v>
      </c>
      <c r="AD71" s="60">
        <f>'DATA HISTORICAL'!$C605</f>
        <v>2619.8000000000002</v>
      </c>
      <c r="AE71" s="49">
        <f>'DATA HISTORICAL'!$D605</f>
        <v>-2.4700779926660754E-2</v>
      </c>
      <c r="AJ71" s="60">
        <f>'DATA HISTORICAL'!$C5087</f>
        <v>1818.7</v>
      </c>
      <c r="AK71" s="49">
        <f>'DATA HISTORICAL'!$D5087</f>
        <v>-5.9422838229209685E-2</v>
      </c>
    </row>
    <row r="72" spans="2:37" x14ac:dyDescent="0.3">
      <c r="B72" s="58">
        <f>'REGRESSION BETA'!$B72</f>
        <v>45480</v>
      </c>
      <c r="C72" s="60">
        <f>'REGRESSION BETA'!$F72</f>
        <v>24502.15</v>
      </c>
      <c r="D72" s="49">
        <f>'REGRESSION BETA'!$G72</f>
        <v>7.3302540510651326E-3</v>
      </c>
      <c r="F72" s="60">
        <f>'DATA HISTORICAL'!$C174</f>
        <v>793.9</v>
      </c>
      <c r="G72" s="49">
        <f>'DATA HISTORICAL'!$D174</f>
        <v>-1.7632865185918445E-2</v>
      </c>
      <c r="L72" s="60">
        <f>'DATA HISTORICAL'!$C282</f>
        <v>676.5</v>
      </c>
      <c r="M72" s="49">
        <f>'DATA HISTORICAL'!$D282</f>
        <v>-1.3848396501457749E-2</v>
      </c>
      <c r="R72" s="60">
        <f>'DATA HISTORICAL'!$C390</f>
        <v>27665.5</v>
      </c>
      <c r="S72" s="49">
        <f>'DATA HISTORICAL'!$D390</f>
        <v>4.9693592505275497E-3</v>
      </c>
      <c r="X72" s="60">
        <f>'DATA HISTORICAL'!$C498</f>
        <v>4339.3999999999996</v>
      </c>
      <c r="Y72" s="49">
        <f>'DATA HISTORICAL'!$D498</f>
        <v>3.0039047200825841E-2</v>
      </c>
      <c r="AD72" s="60">
        <f>'DATA HISTORICAL'!$C606</f>
        <v>2686.15</v>
      </c>
      <c r="AE72" s="49">
        <f>'DATA HISTORICAL'!$D606</f>
        <v>6.2371230567521696E-3</v>
      </c>
      <c r="AJ72" s="60">
        <f>'DATA HISTORICAL'!$C5088</f>
        <v>1933.6</v>
      </c>
      <c r="AK72" s="49">
        <f>'DATA HISTORICAL'!$D5088</f>
        <v>4.0604902725829284E-2</v>
      </c>
    </row>
    <row r="73" spans="2:37" x14ac:dyDescent="0.3">
      <c r="B73" s="58" t="str">
        <f>'REGRESSION BETA'!$B73</f>
        <v>30/6/2024</v>
      </c>
      <c r="C73" s="60">
        <f>'REGRESSION BETA'!$F73</f>
        <v>24323.85</v>
      </c>
      <c r="D73" s="49">
        <f>'REGRESSION BETA'!$G73</f>
        <v>1.3046321208133094E-2</v>
      </c>
      <c r="F73" s="60">
        <f>'DATA HISTORICAL'!$C175</f>
        <v>808.15</v>
      </c>
      <c r="G73" s="49">
        <f>'DATA HISTORICAL'!$D175</f>
        <v>-3.3833462848945062E-2</v>
      </c>
      <c r="L73" s="60">
        <f>'DATA HISTORICAL'!$C283</f>
        <v>686</v>
      </c>
      <c r="M73" s="49">
        <f>'DATA HISTORICAL'!$D283</f>
        <v>2.3498694516971286E-2</v>
      </c>
      <c r="R73" s="60">
        <f>'DATA HISTORICAL'!$C391</f>
        <v>27528.7</v>
      </c>
      <c r="S73" s="49">
        <f>'DATA HISTORICAL'!$D391</f>
        <v>-1.2260319191687241E-2</v>
      </c>
      <c r="X73" s="60">
        <f>'DATA HISTORICAL'!$C499</f>
        <v>4212.8500000000004</v>
      </c>
      <c r="Y73" s="49">
        <f>'DATA HISTORICAL'!$D499</f>
        <v>-3.8993656174223568E-2</v>
      </c>
      <c r="AD73" s="60">
        <f>'DATA HISTORICAL'!$C607</f>
        <v>2669.5</v>
      </c>
      <c r="AE73" s="49">
        <f>'DATA HISTORICAL'!$D607</f>
        <v>1.9262709761172836E-2</v>
      </c>
      <c r="AJ73" s="60">
        <f>'DATA HISTORICAL'!$C5089</f>
        <v>1858.15</v>
      </c>
      <c r="AK73" s="49">
        <f>'DATA HISTORICAL'!$D5089</f>
        <v>2.4649149411342997E-2</v>
      </c>
    </row>
    <row r="74" spans="2:37" x14ac:dyDescent="0.3">
      <c r="B74" s="58" t="str">
        <f>'REGRESSION BETA'!$B74</f>
        <v>23/6/2024</v>
      </c>
      <c r="C74" s="60">
        <f>'REGRESSION BETA'!$F74</f>
        <v>24010.6</v>
      </c>
      <c r="D74" s="49">
        <f>'REGRESSION BETA'!$G74</f>
        <v>2.1679836262983532E-2</v>
      </c>
      <c r="F74" s="60">
        <f>'DATA HISTORICAL'!$C176</f>
        <v>836.45</v>
      </c>
      <c r="G74" s="49">
        <f>'DATA HISTORICAL'!$D176</f>
        <v>-1.0703725606150183E-2</v>
      </c>
      <c r="L74" s="60">
        <f>'DATA HISTORICAL'!$C284</f>
        <v>670.25</v>
      </c>
      <c r="M74" s="49">
        <f>'DATA HISTORICAL'!$D284</f>
        <v>1.9469161152939396E-2</v>
      </c>
      <c r="R74" s="60">
        <f>'DATA HISTORICAL'!$C392</f>
        <v>27870.400000000001</v>
      </c>
      <c r="S74" s="49">
        <f>'DATA HISTORICAL'!$D392</f>
        <v>1.7026835694319953E-2</v>
      </c>
      <c r="X74" s="60">
        <f>'DATA HISTORICAL'!$C500</f>
        <v>4383.79</v>
      </c>
      <c r="Y74" s="49">
        <f>'DATA HISTORICAL'!$D500</f>
        <v>3.0304241042574898E-2</v>
      </c>
      <c r="AD74" s="60">
        <f>'DATA HISTORICAL'!$C608</f>
        <v>2619.0500000000002</v>
      </c>
      <c r="AE74" s="49">
        <f>'DATA HISTORICAL'!$D608</f>
        <v>1.1138136051270342E-2</v>
      </c>
      <c r="AJ74" s="60">
        <f>'DATA HISTORICAL'!$C5090</f>
        <v>1813.45</v>
      </c>
      <c r="AK74" s="49">
        <f>'DATA HISTORICAL'!$D5090</f>
        <v>-5.3477402369460636E-3</v>
      </c>
    </row>
    <row r="75" spans="2:37" x14ac:dyDescent="0.3">
      <c r="B75" s="58" t="str">
        <f>'REGRESSION BETA'!$B75</f>
        <v>16/6/2024</v>
      </c>
      <c r="C75" s="60">
        <f>'REGRESSION BETA'!$F75</f>
        <v>23501.1</v>
      </c>
      <c r="D75" s="49">
        <f>'REGRESSION BETA'!$G75</f>
        <v>1.5128528569481325E-3</v>
      </c>
      <c r="F75" s="60">
        <f>'DATA HISTORICAL'!$C177</f>
        <v>845.5</v>
      </c>
      <c r="G75" s="49">
        <f>'DATA HISTORICAL'!$D177</f>
        <v>-2.7434289986771776E-2</v>
      </c>
      <c r="L75" s="60">
        <f>'DATA HISTORICAL'!$C285</f>
        <v>657.45</v>
      </c>
      <c r="M75" s="49">
        <f>'DATA HISTORICAL'!$D285</f>
        <v>-2.9164205552274058E-2</v>
      </c>
      <c r="R75" s="60">
        <f>'DATA HISTORICAL'!$C393</f>
        <v>27403.8</v>
      </c>
      <c r="S75" s="49">
        <f>'DATA HISTORICAL'!$D393</f>
        <v>-4.8732660323915766E-3</v>
      </c>
      <c r="X75" s="60">
        <f>'DATA HISTORICAL'!$C501</f>
        <v>4254.8500000000004</v>
      </c>
      <c r="Y75" s="49">
        <f>'DATA HISTORICAL'!$D501</f>
        <v>-1.5438833572058108E-2</v>
      </c>
      <c r="AD75" s="60">
        <f>'DATA HISTORICAL'!$C609</f>
        <v>2590.1999999999998</v>
      </c>
      <c r="AE75" s="49">
        <f>'DATA HISTORICAL'!$D609</f>
        <v>-2.686253146485329E-2</v>
      </c>
      <c r="AJ75" s="60">
        <f>'DATA HISTORICAL'!$C5091</f>
        <v>1823.2</v>
      </c>
      <c r="AK75" s="49">
        <f>'DATA HISTORICAL'!$D5091</f>
        <v>-3.1423486599197692E-2</v>
      </c>
    </row>
    <row r="76" spans="2:37" x14ac:dyDescent="0.3">
      <c r="B76" s="58">
        <f>'REGRESSION BETA'!$B76</f>
        <v>45541</v>
      </c>
      <c r="C76" s="60">
        <f>'REGRESSION BETA'!$F76</f>
        <v>23465.599999999999</v>
      </c>
      <c r="D76" s="49">
        <f>'REGRESSION BETA'!$G76</f>
        <v>7.5332275661599279E-3</v>
      </c>
      <c r="F76" s="60">
        <f>'DATA HISTORICAL'!$C178</f>
        <v>869.35</v>
      </c>
      <c r="G76" s="49">
        <f>'DATA HISTORICAL'!$D178</f>
        <v>4.5143063236354974E-2</v>
      </c>
      <c r="L76" s="60">
        <f>'DATA HISTORICAL'!$C286</f>
        <v>677.2</v>
      </c>
      <c r="M76" s="49">
        <f>'DATA HISTORICAL'!$D286</f>
        <v>8.9972638017061124E-2</v>
      </c>
      <c r="R76" s="60">
        <f>'DATA HISTORICAL'!$C394</f>
        <v>27538</v>
      </c>
      <c r="S76" s="49">
        <f>'DATA HISTORICAL'!$D394</f>
        <v>5.6006135557473025E-2</v>
      </c>
      <c r="X76" s="60">
        <f>'DATA HISTORICAL'!$C502</f>
        <v>4321.57</v>
      </c>
      <c r="Y76" s="49">
        <f>'DATA HISTORICAL'!$D502</f>
        <v>3.3341861682922191E-2</v>
      </c>
      <c r="AD76" s="60">
        <f>'DATA HISTORICAL'!$C610</f>
        <v>2661.7</v>
      </c>
      <c r="AE76" s="49">
        <f>'DATA HISTORICAL'!$D610</f>
        <v>6.5063422832219553E-2</v>
      </c>
      <c r="AJ76" s="60">
        <f>'DATA HISTORICAL'!$C5092</f>
        <v>1882.35</v>
      </c>
      <c r="AK76" s="49">
        <f>'DATA HISTORICAL'!$D5092</f>
        <v>4.000110500290055E-2</v>
      </c>
    </row>
    <row r="77" spans="2:37" x14ac:dyDescent="0.3">
      <c r="B77" s="58">
        <f>'REGRESSION BETA'!$B77</f>
        <v>45328</v>
      </c>
      <c r="C77" s="60">
        <f>'REGRESSION BETA'!$F77</f>
        <v>23290.15</v>
      </c>
      <c r="D77" s="49">
        <f>'REGRESSION BETA'!$G77</f>
        <v>3.3707341538434354E-2</v>
      </c>
      <c r="F77" s="60">
        <f>'DATA HISTORICAL'!$C179</f>
        <v>831.8</v>
      </c>
      <c r="G77" s="49">
        <f>'DATA HISTORICAL'!$D179</f>
        <v>0.12125092673721083</v>
      </c>
      <c r="L77" s="60">
        <f>'DATA HISTORICAL'!$C287</f>
        <v>621.29999999999995</v>
      </c>
      <c r="M77" s="49">
        <f>'DATA HISTORICAL'!$D287</f>
        <v>-2.0108824225218869E-2</v>
      </c>
      <c r="R77" s="60">
        <f>'DATA HISTORICAL'!$C395</f>
        <v>26077.5</v>
      </c>
      <c r="S77" s="49">
        <f>'DATA HISTORICAL'!$D395</f>
        <v>5.659911023232822E-2</v>
      </c>
      <c r="X77" s="60">
        <f>'DATA HISTORICAL'!$C503</f>
        <v>4182.13</v>
      </c>
      <c r="Y77" s="49">
        <f>'DATA HISTORICAL'!$D503</f>
        <v>8.1307560643903543E-2</v>
      </c>
      <c r="AD77" s="60">
        <f>'DATA HISTORICAL'!$C611</f>
        <v>2499.1</v>
      </c>
      <c r="AE77" s="49">
        <f>'DATA HISTORICAL'!$D611</f>
        <v>-1.857524348099282E-2</v>
      </c>
      <c r="AJ77" s="60">
        <f>'DATA HISTORICAL'!$C5093</f>
        <v>1809.95</v>
      </c>
      <c r="AK77" s="49">
        <f>'DATA HISTORICAL'!$D5093</f>
        <v>1.9288168046404319E-2</v>
      </c>
    </row>
    <row r="78" spans="2:37" x14ac:dyDescent="0.3">
      <c r="B78" s="58" t="str">
        <f>'REGRESSION BETA'!$B78</f>
        <v>26/5/2024</v>
      </c>
      <c r="C78" s="60">
        <f>'REGRESSION BETA'!$F78</f>
        <v>22530.7</v>
      </c>
      <c r="D78" s="49">
        <f>'REGRESSION BETA'!$G78</f>
        <v>-1.8573774562117951E-2</v>
      </c>
      <c r="F78" s="60">
        <f>'DATA HISTORICAL'!$C180</f>
        <v>741.85</v>
      </c>
      <c r="G78" s="49">
        <f>'DATA HISTORICAL'!$D180</f>
        <v>-4.6587842179668382E-2</v>
      </c>
      <c r="L78" s="60">
        <f>'DATA HISTORICAL'!$C288</f>
        <v>634.04999999999995</v>
      </c>
      <c r="M78" s="49">
        <f>'DATA HISTORICAL'!$D288</f>
        <v>-1.9675743743113872E-3</v>
      </c>
      <c r="R78" s="60">
        <f>'DATA HISTORICAL'!$C396</f>
        <v>24680.6</v>
      </c>
      <c r="S78" s="49">
        <f>'DATA HISTORICAL'!$D396</f>
        <v>-3.0477541055410451E-2</v>
      </c>
      <c r="X78" s="60">
        <f>'DATA HISTORICAL'!$C504</f>
        <v>3867.66</v>
      </c>
      <c r="Y78" s="49">
        <f>'DATA HISTORICAL'!$D504</f>
        <v>-2.9620746063446446E-2</v>
      </c>
      <c r="AD78" s="60">
        <f>'DATA HISTORICAL'!$C612</f>
        <v>2546.4</v>
      </c>
      <c r="AE78" s="49">
        <f>'DATA HISTORICAL'!$D612</f>
        <v>-2.4087381431445731E-2</v>
      </c>
      <c r="AJ78" s="60">
        <f>'DATA HISTORICAL'!$C5094</f>
        <v>1775.7</v>
      </c>
      <c r="AK78" s="49">
        <f>'DATA HISTORICAL'!$D5094</f>
        <v>-9.3447515969762307E-3</v>
      </c>
    </row>
    <row r="79" spans="2:37" x14ac:dyDescent="0.3">
      <c r="B79" s="58" t="str">
        <f>'REGRESSION BETA'!$B79</f>
        <v>19/5/2024</v>
      </c>
      <c r="C79" s="60">
        <f>'REGRESSION BETA'!$F79</f>
        <v>22957.1</v>
      </c>
      <c r="D79" s="49">
        <f>'REGRESSION BETA'!$G79</f>
        <v>2.1855150649200406E-2</v>
      </c>
      <c r="F79" s="60">
        <f>'DATA HISTORICAL'!$C181</f>
        <v>778.1</v>
      </c>
      <c r="G79" s="49">
        <f>'DATA HISTORICAL'!$D181</f>
        <v>1.286835671084896E-3</v>
      </c>
      <c r="L79" s="60">
        <f>'DATA HISTORICAL'!$C289</f>
        <v>635.29999999999995</v>
      </c>
      <c r="M79" s="49">
        <f>'DATA HISTORICAL'!$D289</f>
        <v>2.3521830191718829E-2</v>
      </c>
      <c r="R79" s="60">
        <f>'DATA HISTORICAL'!$C397</f>
        <v>25456.45</v>
      </c>
      <c r="S79" s="49">
        <f>'DATA HISTORICAL'!$D397</f>
        <v>-3.2287556356392799E-2</v>
      </c>
      <c r="X79" s="60">
        <f>'DATA HISTORICAL'!$C505</f>
        <v>3985.72</v>
      </c>
      <c r="Y79" s="49">
        <f>'DATA HISTORICAL'!$D505</f>
        <v>2.4059114920556679E-2</v>
      </c>
      <c r="AD79" s="60">
        <f>'DATA HISTORICAL'!$C613</f>
        <v>2609.25</v>
      </c>
      <c r="AE79" s="49">
        <f>'DATA HISTORICAL'!$D613</f>
        <v>3.4616070897519835E-2</v>
      </c>
      <c r="AJ79" s="60">
        <f>'DATA HISTORICAL'!$C5095</f>
        <v>1792.45</v>
      </c>
      <c r="AK79" s="49">
        <f>'DATA HISTORICAL'!$D5095</f>
        <v>-1.2152108018737895E-2</v>
      </c>
    </row>
    <row r="80" spans="2:37" x14ac:dyDescent="0.3">
      <c r="B80" s="58">
        <f>'REGRESSION BETA'!$B80</f>
        <v>45631</v>
      </c>
      <c r="C80" s="60">
        <f>'REGRESSION BETA'!$F80</f>
        <v>22466.1</v>
      </c>
      <c r="D80" s="49">
        <f>'REGRESSION BETA'!$G80</f>
        <v>1.8630527041241907E-2</v>
      </c>
      <c r="F80" s="60">
        <f>'DATA HISTORICAL'!$C182</f>
        <v>777.1</v>
      </c>
      <c r="G80" s="49">
        <f>'DATA HISTORICAL'!$D182</f>
        <v>2.2230991844251591E-2</v>
      </c>
      <c r="L80" s="60">
        <f>'DATA HISTORICAL'!$C290</f>
        <v>620.70000000000005</v>
      </c>
      <c r="M80" s="49">
        <f>'DATA HISTORICAL'!$D290</f>
        <v>6.6861464420763239E-2</v>
      </c>
      <c r="R80" s="60">
        <f>'DATA HISTORICAL'!$C398</f>
        <v>26305.8</v>
      </c>
      <c r="S80" s="49">
        <f>'DATA HISTORICAL'!$D398</f>
        <v>2.5117638462662573E-2</v>
      </c>
      <c r="X80" s="60">
        <f>'DATA HISTORICAL'!$C506</f>
        <v>3892.08</v>
      </c>
      <c r="Y80" s="49">
        <f>'DATA HISTORICAL'!$D506</f>
        <v>1.4529473404338411E-2</v>
      </c>
      <c r="AD80" s="60">
        <f>'DATA HISTORICAL'!$C614</f>
        <v>2521.9499999999998</v>
      </c>
      <c r="AE80" s="49">
        <f>'DATA HISTORICAL'!$D614</f>
        <v>6.8554964726817991E-2</v>
      </c>
      <c r="AJ80" s="60">
        <f>'DATA HISTORICAL'!$C5096</f>
        <v>1814.5</v>
      </c>
      <c r="AK80" s="49">
        <f>'DATA HISTORICAL'!$D5096</f>
        <v>5.8110038778901973E-2</v>
      </c>
    </row>
    <row r="81" spans="2:37" x14ac:dyDescent="0.3">
      <c r="B81" s="58">
        <f>'REGRESSION BETA'!$B81</f>
        <v>45417</v>
      </c>
      <c r="C81" s="60">
        <f>'REGRESSION BETA'!$F81</f>
        <v>22055.200000000001</v>
      </c>
      <c r="D81" s="49">
        <f>'REGRESSION BETA'!$G81</f>
        <v>-1.8715643679771743E-2</v>
      </c>
      <c r="F81" s="60">
        <f>'DATA HISTORICAL'!$C183</f>
        <v>760.2</v>
      </c>
      <c r="G81" s="49">
        <f>'DATA HISTORICAL'!$D183</f>
        <v>-1.5667486727955371E-2</v>
      </c>
      <c r="L81" s="60">
        <f>'DATA HISTORICAL'!$C291</f>
        <v>581.79999999999995</v>
      </c>
      <c r="M81" s="49">
        <f>'DATA HISTORICAL'!$D291</f>
        <v>-6.5306450317294651E-2</v>
      </c>
      <c r="R81" s="60">
        <f>'DATA HISTORICAL'!$C399</f>
        <v>25661.25</v>
      </c>
      <c r="S81" s="49">
        <f>'DATA HISTORICAL'!$D399</f>
        <v>-3.3130652456347942E-3</v>
      </c>
      <c r="X81" s="60">
        <f>'DATA HISTORICAL'!$C507</f>
        <v>3836.34</v>
      </c>
      <c r="Y81" s="49">
        <f>'DATA HISTORICAL'!$D507</f>
        <v>-3.4319401512329151E-2</v>
      </c>
      <c r="AD81" s="60">
        <f>'DATA HISTORICAL'!$C615</f>
        <v>2360.15</v>
      </c>
      <c r="AE81" s="49">
        <f>'DATA HISTORICAL'!$D615</f>
        <v>-6.7650312080271835E-2</v>
      </c>
      <c r="AJ81" s="60">
        <f>'DATA HISTORICAL'!$C5097</f>
        <v>1714.85</v>
      </c>
      <c r="AK81" s="49">
        <f>'DATA HISTORICAL'!$D5097</f>
        <v>-4.5236902176938876E-2</v>
      </c>
    </row>
    <row r="82" spans="2:37" x14ac:dyDescent="0.3">
      <c r="B82" s="58" t="str">
        <f>'REGRESSION BETA'!$B82</f>
        <v>28/4/2024</v>
      </c>
      <c r="C82" s="60">
        <f>'REGRESSION BETA'!$F82</f>
        <v>22475.85</v>
      </c>
      <c r="D82" s="49">
        <f>'REGRESSION BETA'!$G82</f>
        <v>2.4933151055197555E-3</v>
      </c>
      <c r="F82" s="60">
        <f>'DATA HISTORICAL'!$C184</f>
        <v>772.3</v>
      </c>
      <c r="G82" s="49">
        <f>'DATA HISTORICAL'!$D184</f>
        <v>-3.1720160481444437E-2</v>
      </c>
      <c r="L82" s="60">
        <f>'DATA HISTORICAL'!$C292</f>
        <v>622.45000000000005</v>
      </c>
      <c r="M82" s="49">
        <f>'DATA HISTORICAL'!$D292</f>
        <v>-1.5655886771566374E-2</v>
      </c>
      <c r="R82" s="60">
        <f>'DATA HISTORICAL'!$C400</f>
        <v>25746.55</v>
      </c>
      <c r="S82" s="49">
        <f>'DATA HISTORICAL'!$D400</f>
        <v>6.6529276526998249E-2</v>
      </c>
      <c r="X82" s="60">
        <f>'DATA HISTORICAL'!$C508</f>
        <v>3972.68</v>
      </c>
      <c r="Y82" s="49">
        <f>'DATA HISTORICAL'!$D508</f>
        <v>-2.337644458757504E-2</v>
      </c>
      <c r="AD82" s="60">
        <f>'DATA HISTORICAL'!$C616</f>
        <v>2531.4</v>
      </c>
      <c r="AE82" s="49">
        <f>'DATA HISTORICAL'!$D616</f>
        <v>-6.5138864215075198E-4</v>
      </c>
      <c r="AJ82" s="60">
        <f>'DATA HISTORICAL'!$C5098</f>
        <v>1796.1</v>
      </c>
      <c r="AK82" s="49">
        <f>'DATA HISTORICAL'!$D5098</f>
        <v>-2.0280594527017914E-3</v>
      </c>
    </row>
    <row r="83" spans="2:37" x14ac:dyDescent="0.3">
      <c r="B83" s="58" t="str">
        <f>'REGRESSION BETA'!$B83</f>
        <v>21/4/2024</v>
      </c>
      <c r="C83" s="60">
        <f>'REGRESSION BETA'!$F83</f>
        <v>22419.95</v>
      </c>
      <c r="D83" s="49">
        <f>'REGRESSION BETA'!$G83</f>
        <v>1.2324468325281002E-2</v>
      </c>
      <c r="F83" s="60">
        <f>'DATA HISTORICAL'!$C185</f>
        <v>797.6</v>
      </c>
      <c r="G83" s="49">
        <f>'DATA HISTORICAL'!$D185</f>
        <v>-3.1869024557894532E-3</v>
      </c>
      <c r="L83" s="60">
        <f>'DATA HISTORICAL'!$C293</f>
        <v>632.35</v>
      </c>
      <c r="M83" s="49">
        <f>'DATA HISTORICAL'!$D293</f>
        <v>3.7234478799311077E-2</v>
      </c>
      <c r="R83" s="60">
        <f>'DATA HISTORICAL'!$C401</f>
        <v>24140.5</v>
      </c>
      <c r="S83" s="49">
        <f>'DATA HISTORICAL'!$D401</f>
        <v>-9.3665042318543668E-3</v>
      </c>
      <c r="X83" s="60">
        <f>'DATA HISTORICAL'!$C509</f>
        <v>4067.77</v>
      </c>
      <c r="Y83" s="49">
        <f>'DATA HISTORICAL'!$D509</f>
        <v>-1.9006024241664199E-2</v>
      </c>
      <c r="AD83" s="60">
        <f>'DATA HISTORICAL'!$C617</f>
        <v>2533.0500000000002</v>
      </c>
      <c r="AE83" s="49">
        <f>'DATA HISTORICAL'!$D617</f>
        <v>5.3177556493358091E-2</v>
      </c>
      <c r="AJ83" s="60">
        <f>'DATA HISTORICAL'!$C5099</f>
        <v>1799.75</v>
      </c>
      <c r="AK83" s="49">
        <f>'DATA HISTORICAL'!$D5099</f>
        <v>-7.3940672515372174E-2</v>
      </c>
    </row>
    <row r="84" spans="2:37" x14ac:dyDescent="0.3">
      <c r="B84" s="58" t="str">
        <f>'REGRESSION BETA'!$B84</f>
        <v>14/4/2024</v>
      </c>
      <c r="C84" s="60">
        <f>'REGRESSION BETA'!$F84</f>
        <v>22147</v>
      </c>
      <c r="D84" s="49">
        <f>'REGRESSION BETA'!$G84</f>
        <v>-1.6536852669254087E-2</v>
      </c>
      <c r="F84" s="60">
        <f>'DATA HISTORICAL'!$C186</f>
        <v>800.15</v>
      </c>
      <c r="G84" s="49">
        <f>'DATA HISTORICAL'!$D186</f>
        <v>-4.431173484622275E-2</v>
      </c>
      <c r="L84" s="60">
        <f>'DATA HISTORICAL'!$C294</f>
        <v>609.65</v>
      </c>
      <c r="M84" s="49">
        <f>'DATA HISTORICAL'!$D294</f>
        <v>1.3139525334646684E-3</v>
      </c>
      <c r="R84" s="60">
        <f>'DATA HISTORICAL'!$C402</f>
        <v>24368.75</v>
      </c>
      <c r="S84" s="49">
        <f>'DATA HISTORICAL'!$D402</f>
        <v>-4.4030967610327543E-2</v>
      </c>
      <c r="X84" s="60">
        <f>'DATA HISTORICAL'!$C510</f>
        <v>4146.58</v>
      </c>
      <c r="Y84" s="49">
        <f>'DATA HISTORICAL'!$D510</f>
        <v>-3.0191759420161057E-2</v>
      </c>
      <c r="AD84" s="60">
        <f>'DATA HISTORICAL'!$C618</f>
        <v>2405.15</v>
      </c>
      <c r="AE84" s="49">
        <f>'DATA HISTORICAL'!$D618</f>
        <v>-2.558441032289438E-2</v>
      </c>
      <c r="AJ84" s="60">
        <f>'DATA HISTORICAL'!$C5100</f>
        <v>1943.45</v>
      </c>
      <c r="AK84" s="49">
        <f>'DATA HISTORICAL'!$D5100</f>
        <v>-4.4056248559206646E-3</v>
      </c>
    </row>
    <row r="85" spans="2:37" x14ac:dyDescent="0.3">
      <c r="B85" s="58">
        <f>'REGRESSION BETA'!$B85</f>
        <v>45477</v>
      </c>
      <c r="C85" s="60">
        <f>'REGRESSION BETA'!$F85</f>
        <v>22519.4</v>
      </c>
      <c r="D85" s="49">
        <f>'REGRESSION BETA'!$G85</f>
        <v>2.5317917534661838E-4</v>
      </c>
      <c r="F85" s="60">
        <f>'DATA HISTORICAL'!$C187</f>
        <v>837.25</v>
      </c>
      <c r="G85" s="49">
        <f>'DATA HISTORICAL'!$D187</f>
        <v>-2.7395628610564771E-3</v>
      </c>
      <c r="L85" s="60">
        <f>'DATA HISTORICAL'!$C295</f>
        <v>608.85</v>
      </c>
      <c r="M85" s="49">
        <f>'DATA HISTORICAL'!$D295</f>
        <v>-2.9257015306122458E-2</v>
      </c>
      <c r="R85" s="60">
        <f>'DATA HISTORICAL'!$C403</f>
        <v>25491.15</v>
      </c>
      <c r="S85" s="49">
        <f>'DATA HISTORICAL'!$D403</f>
        <v>-1.2393916558993023E-2</v>
      </c>
      <c r="X85" s="60">
        <f>'DATA HISTORICAL'!$C511</f>
        <v>4275.67</v>
      </c>
      <c r="Y85" s="49">
        <f>'DATA HISTORICAL'!$D511</f>
        <v>-1.7906896084416868E-2</v>
      </c>
      <c r="AD85" s="60">
        <f>'DATA HISTORICAL'!$C619</f>
        <v>2468.3000000000002</v>
      </c>
      <c r="AE85" s="49">
        <f>'DATA HISTORICAL'!$D619</f>
        <v>-4.147411750999952E-2</v>
      </c>
      <c r="AJ85" s="60">
        <f>'DATA HISTORICAL'!$C5101</f>
        <v>1952.05</v>
      </c>
      <c r="AK85" s="49">
        <f>'DATA HISTORICAL'!$D5101</f>
        <v>-1.8626514504047065E-2</v>
      </c>
    </row>
    <row r="86" spans="2:37" x14ac:dyDescent="0.3">
      <c r="B86" s="58" t="str">
        <f>'REGRESSION BETA'!$B86</f>
        <v>31/3/2024</v>
      </c>
      <c r="C86" s="60">
        <f>'REGRESSION BETA'!$F86</f>
        <v>22513.7</v>
      </c>
      <c r="D86" s="49">
        <f>'REGRESSION BETA'!$G86</f>
        <v>8.3665891816597782E-3</v>
      </c>
      <c r="F86" s="60">
        <f>'DATA HISTORICAL'!$C188</f>
        <v>839.55</v>
      </c>
      <c r="G86" s="49">
        <f>'DATA HISTORICAL'!$D188</f>
        <v>3.5778175313059046E-2</v>
      </c>
      <c r="L86" s="60">
        <f>'DATA HISTORICAL'!$C296</f>
        <v>627.20000000000005</v>
      </c>
      <c r="M86" s="49">
        <f>'DATA HISTORICAL'!$D296</f>
        <v>2.4250836939658793E-2</v>
      </c>
      <c r="R86" s="60">
        <f>'DATA HISTORICAL'!$C404</f>
        <v>25811.05</v>
      </c>
      <c r="S86" s="49">
        <f>'DATA HISTORICAL'!$D404</f>
        <v>4.9916578572861692E-3</v>
      </c>
      <c r="X86" s="60">
        <f>'DATA HISTORICAL'!$C512</f>
        <v>4353.63</v>
      </c>
      <c r="Y86" s="49">
        <f>'DATA HISTORICAL'!$D512</f>
        <v>6.9341147342876441E-2</v>
      </c>
      <c r="AD86" s="60">
        <f>'DATA HISTORICAL'!$C620</f>
        <v>2575.1</v>
      </c>
      <c r="AE86" s="49">
        <f>'DATA HISTORICAL'!$D620</f>
        <v>3.3471124132118613E-2</v>
      </c>
      <c r="AJ86" s="60">
        <f>'DATA HISTORICAL'!$C5102</f>
        <v>1989.1</v>
      </c>
      <c r="AK86" s="49">
        <f>'DATA HISTORICAL'!$D5102</f>
        <v>2.4174239888782978E-2</v>
      </c>
    </row>
    <row r="87" spans="2:37" x14ac:dyDescent="0.3">
      <c r="B87" s="58" t="str">
        <f>'REGRESSION BETA'!$B87</f>
        <v>24/3/2024</v>
      </c>
      <c r="C87" s="60">
        <f>'REGRESSION BETA'!$F87</f>
        <v>22326.9</v>
      </c>
      <c r="D87" s="49">
        <f>'REGRESSION BETA'!$G87</f>
        <v>1.0415558849152129E-2</v>
      </c>
      <c r="F87" s="60">
        <f>'DATA HISTORICAL'!$C189</f>
        <v>810.55</v>
      </c>
      <c r="G87" s="49">
        <f>'DATA HISTORICAL'!$D189</f>
        <v>5.084010168020292E-3</v>
      </c>
      <c r="L87" s="60">
        <f>'DATA HISTORICAL'!$C297</f>
        <v>612.35</v>
      </c>
      <c r="M87" s="49">
        <f>'DATA HISTORICAL'!$D297</f>
        <v>3.9026045643505647E-2</v>
      </c>
      <c r="R87" s="60">
        <f>'DATA HISTORICAL'!$C405</f>
        <v>25682.85</v>
      </c>
      <c r="S87" s="49">
        <f>'DATA HISTORICAL'!$D405</f>
        <v>1.2489134098529364E-2</v>
      </c>
      <c r="X87" s="60">
        <f>'DATA HISTORICAL'!$C513</f>
        <v>4071.32</v>
      </c>
      <c r="Y87" s="49">
        <f>'DATA HISTORICAL'!$D513</f>
        <v>-6.687437328147805E-3</v>
      </c>
      <c r="AD87" s="60">
        <f>'DATA HISTORICAL'!$C621</f>
        <v>2491.6999999999998</v>
      </c>
      <c r="AE87" s="49">
        <f>'DATA HISTORICAL'!$D621</f>
        <v>1.9830144275043482E-2</v>
      </c>
      <c r="AJ87" s="60">
        <f>'DATA HISTORICAL'!$C5103</f>
        <v>1942.15</v>
      </c>
      <c r="AK87" s="49">
        <f>'DATA HISTORICAL'!$D5103</f>
        <v>-8.727829526604558E-3</v>
      </c>
    </row>
    <row r="88" spans="2:37" x14ac:dyDescent="0.3">
      <c r="B88" s="58" t="str">
        <f>'REGRESSION BETA'!$B88</f>
        <v>17/3/2024</v>
      </c>
      <c r="C88" s="60">
        <f>'REGRESSION BETA'!$F88</f>
        <v>22096.75</v>
      </c>
      <c r="D88" s="49">
        <f>'REGRESSION BETA'!$G88</f>
        <v>3.3328262957270649E-3</v>
      </c>
      <c r="F88" s="60">
        <f>'DATA HISTORICAL'!$C190</f>
        <v>806.45</v>
      </c>
      <c r="G88" s="49">
        <f>'DATA HISTORICAL'!$D190</f>
        <v>-3.7186241090791938E-4</v>
      </c>
      <c r="L88" s="60">
        <f>'DATA HISTORICAL'!$C298</f>
        <v>589.35</v>
      </c>
      <c r="M88" s="49">
        <f>'DATA HISTORICAL'!$D298</f>
        <v>-1.8976279650436911E-2</v>
      </c>
      <c r="R88" s="60">
        <f>'DATA HISTORICAL'!$C406</f>
        <v>25366.05</v>
      </c>
      <c r="S88" s="49">
        <f>'DATA HISTORICAL'!$D406</f>
        <v>1.1790773599995141E-2</v>
      </c>
      <c r="X88" s="60">
        <f>'DATA HISTORICAL'!$C514</f>
        <v>4098.7299999999996</v>
      </c>
      <c r="Y88" s="49">
        <f>'DATA HISTORICAL'!$D514</f>
        <v>8.218295238751061E-3</v>
      </c>
      <c r="AD88" s="60">
        <f>'DATA HISTORICAL'!$C622</f>
        <v>2443.25</v>
      </c>
      <c r="AE88" s="49">
        <f>'DATA HISTORICAL'!$D622</f>
        <v>-2.385185481132257E-2</v>
      </c>
      <c r="AJ88" s="60">
        <f>'DATA HISTORICAL'!$C5104</f>
        <v>1959.25</v>
      </c>
      <c r="AK88" s="49">
        <f>'DATA HISTORICAL'!$D5104</f>
        <v>4.1932567538821575E-2</v>
      </c>
    </row>
    <row r="89" spans="2:37" x14ac:dyDescent="0.3">
      <c r="B89" s="58">
        <f>'REGRESSION BETA'!$B89</f>
        <v>45568</v>
      </c>
      <c r="C89" s="60">
        <f>'REGRESSION BETA'!$F89</f>
        <v>22023.35</v>
      </c>
      <c r="D89" s="49">
        <f>'REGRESSION BETA'!$G89</f>
        <v>-2.0903770191899484E-2</v>
      </c>
      <c r="F89" s="60">
        <f>'DATA HISTORICAL'!$C191</f>
        <v>806.75</v>
      </c>
      <c r="G89" s="49">
        <f>'DATA HISTORICAL'!$D191</f>
        <v>-4.9950666008879985E-3</v>
      </c>
      <c r="L89" s="60">
        <f>'DATA HISTORICAL'!$C299</f>
        <v>600.75</v>
      </c>
      <c r="M89" s="49">
        <f>'DATA HISTORICAL'!$D299</f>
        <v>-3.9791096742103349E-3</v>
      </c>
      <c r="R89" s="60">
        <f>'DATA HISTORICAL'!$C407</f>
        <v>25070.45</v>
      </c>
      <c r="S89" s="49">
        <f>'DATA HISTORICAL'!$D407</f>
        <v>1.4755584698391777E-2</v>
      </c>
      <c r="X89" s="60">
        <f>'DATA HISTORICAL'!$C515</f>
        <v>4065.32</v>
      </c>
      <c r="Y89" s="49">
        <f>'DATA HISTORICAL'!$D515</f>
        <v>-4.5148137187201898E-2</v>
      </c>
      <c r="AD89" s="60">
        <f>'DATA HISTORICAL'!$C623</f>
        <v>2502.9499999999998</v>
      </c>
      <c r="AE89" s="49">
        <f>'DATA HISTORICAL'!$D623</f>
        <v>-5.1481734121570533E-2</v>
      </c>
      <c r="AJ89" s="60">
        <f>'DATA HISTORICAL'!$C5105</f>
        <v>1880.4</v>
      </c>
      <c r="AK89" s="49">
        <f>'DATA HISTORICAL'!$D5105</f>
        <v>-4.1199265755659797E-2</v>
      </c>
    </row>
    <row r="90" spans="2:37" x14ac:dyDescent="0.3">
      <c r="B90" s="58">
        <f>'REGRESSION BETA'!$B90</f>
        <v>45354</v>
      </c>
      <c r="C90" s="60">
        <f>'REGRESSION BETA'!$F90</f>
        <v>22493.55</v>
      </c>
      <c r="D90" s="49">
        <f>'REGRESSION BETA'!$G90</f>
        <v>6.929662581836471E-3</v>
      </c>
      <c r="F90" s="60">
        <f>'DATA HISTORICAL'!$C192</f>
        <v>810.8</v>
      </c>
      <c r="G90" s="49">
        <f>'DATA HISTORICAL'!$D192</f>
        <v>-3.5852309887627221E-2</v>
      </c>
      <c r="L90" s="60">
        <f>'DATA HISTORICAL'!$C300</f>
        <v>603.15</v>
      </c>
      <c r="M90" s="49">
        <f>'DATA HISTORICAL'!$D300</f>
        <v>-2.3397020725388629E-2</v>
      </c>
      <c r="R90" s="60">
        <f>'DATA HISTORICAL'!$C408</f>
        <v>24705.9</v>
      </c>
      <c r="S90" s="49">
        <f>'DATA HISTORICAL'!$D408</f>
        <v>-3.6348672663020887E-2</v>
      </c>
      <c r="X90" s="60">
        <f>'DATA HISTORICAL'!$C516</f>
        <v>4257.54</v>
      </c>
      <c r="Y90" s="49">
        <f>'DATA HISTORICAL'!$D516</f>
        <v>-5.2966638936218446E-2</v>
      </c>
      <c r="AD90" s="60">
        <f>'DATA HISTORICAL'!$C624</f>
        <v>2638.8</v>
      </c>
      <c r="AE90" s="49">
        <f>'DATA HISTORICAL'!$D624</f>
        <v>-2.1016898848058685E-2</v>
      </c>
      <c r="AJ90" s="60">
        <f>'DATA HISTORICAL'!$C5106</f>
        <v>1961.2</v>
      </c>
      <c r="AK90" s="49">
        <f>'DATA HISTORICAL'!$D5106</f>
        <v>-4.5853706001118821E-2</v>
      </c>
    </row>
    <row r="91" spans="2:37" x14ac:dyDescent="0.3">
      <c r="B91" s="58" t="str">
        <f>'REGRESSION BETA'!$B91</f>
        <v>25/2/2024</v>
      </c>
      <c r="C91" s="60">
        <f>'REGRESSION BETA'!$F91</f>
        <v>22338.75</v>
      </c>
      <c r="D91" s="49">
        <f>'REGRESSION BETA'!$G91</f>
        <v>5.6746816010659895E-3</v>
      </c>
      <c r="F91" s="60">
        <f>'DATA HISTORICAL'!$C193</f>
        <v>840.95</v>
      </c>
      <c r="G91" s="49">
        <f>'DATA HISTORICAL'!$D193</f>
        <v>-3.0437539632213073E-2</v>
      </c>
      <c r="L91" s="60">
        <f>'DATA HISTORICAL'!$C301</f>
        <v>617.6</v>
      </c>
      <c r="M91" s="49">
        <f>'DATA HISTORICAL'!$D301</f>
        <v>2.4297205406750066E-2</v>
      </c>
      <c r="R91" s="60">
        <f>'DATA HISTORICAL'!$C409</f>
        <v>25637.8</v>
      </c>
      <c r="S91" s="49">
        <f>'DATA HISTORICAL'!$D409</f>
        <v>-3.2157842780104806E-2</v>
      </c>
      <c r="X91" s="60">
        <f>'DATA HISTORICAL'!$C517</f>
        <v>4495.66</v>
      </c>
      <c r="Y91" s="49">
        <f>'DATA HISTORICAL'!$D517</f>
        <v>3.6224501555837341E-2</v>
      </c>
      <c r="AD91" s="60">
        <f>'DATA HISTORICAL'!$C625</f>
        <v>2695.45</v>
      </c>
      <c r="AE91" s="49">
        <f>'DATA HISTORICAL'!$D625</f>
        <v>5.9338321733124477E-3</v>
      </c>
      <c r="AJ91" s="60">
        <f>'DATA HISTORICAL'!$C5107</f>
        <v>2055.4499999999998</v>
      </c>
      <c r="AK91" s="49">
        <f>'DATA HISTORICAL'!$D5107</f>
        <v>-1.6389912427621223E-2</v>
      </c>
    </row>
    <row r="92" spans="2:37" x14ac:dyDescent="0.3">
      <c r="B92" s="58" t="str">
        <f>'REGRESSION BETA'!$B92</f>
        <v>18/2/2024</v>
      </c>
      <c r="C92" s="60">
        <f>'REGRESSION BETA'!$F92</f>
        <v>22212.7</v>
      </c>
      <c r="D92" s="49">
        <f>'REGRESSION BETA'!$G92</f>
        <v>7.8037448901351336E-3</v>
      </c>
      <c r="F92" s="60">
        <f>'DATA HISTORICAL'!$C194</f>
        <v>867.35</v>
      </c>
      <c r="G92" s="49">
        <f>'DATA HISTORICAL'!$D194</f>
        <v>-1.4965751453404064E-3</v>
      </c>
      <c r="L92" s="60">
        <f>'DATA HISTORICAL'!$C302</f>
        <v>602.95000000000005</v>
      </c>
      <c r="M92" s="49">
        <f>'DATA HISTORICAL'!$D302</f>
        <v>3.0507605537515081E-2</v>
      </c>
      <c r="R92" s="60">
        <f>'DATA HISTORICAL'!$C410</f>
        <v>26489.65</v>
      </c>
      <c r="S92" s="49">
        <f>'DATA HISTORICAL'!$D410</f>
        <v>7.287626435470429E-3</v>
      </c>
      <c r="X92" s="60">
        <f>'DATA HISTORICAL'!$C518</f>
        <v>4338.5</v>
      </c>
      <c r="Y92" s="49">
        <f>'DATA HISTORICAL'!$D518</f>
        <v>3.1524687879674218E-2</v>
      </c>
      <c r="AD92" s="60">
        <f>'DATA HISTORICAL'!$C626</f>
        <v>2679.55</v>
      </c>
      <c r="AE92" s="49">
        <f>'DATA HISTORICAL'!$D626</f>
        <v>-1.5016174092045254E-2</v>
      </c>
      <c r="AJ92" s="60">
        <f>'DATA HISTORICAL'!$C5108</f>
        <v>2089.6999999999998</v>
      </c>
      <c r="AK92" s="49">
        <f>'DATA HISTORICAL'!$D5108</f>
        <v>2.4465125203876337E-3</v>
      </c>
    </row>
    <row r="93" spans="2:37" x14ac:dyDescent="0.3">
      <c r="B93" s="58">
        <f>'REGRESSION BETA'!$B93</f>
        <v>45598</v>
      </c>
      <c r="C93" s="60">
        <f>'REGRESSION BETA'!$F93</f>
        <v>22040.7</v>
      </c>
      <c r="D93" s="49">
        <f>'REGRESSION BETA'!$G93</f>
        <v>1.1853552163433978E-2</v>
      </c>
      <c r="F93" s="60">
        <f>'DATA HISTORICAL'!$C195</f>
        <v>868.65</v>
      </c>
      <c r="G93" s="49">
        <f>'DATA HISTORICAL'!$D195</f>
        <v>-3.6706404214028265E-2</v>
      </c>
      <c r="L93" s="60">
        <f>'DATA HISTORICAL'!$C303</f>
        <v>585.1</v>
      </c>
      <c r="M93" s="49">
        <f>'DATA HISTORICAL'!$D303</f>
        <v>1.5446025685525777E-2</v>
      </c>
      <c r="R93" s="60">
        <f>'DATA HISTORICAL'!$C411</f>
        <v>26298</v>
      </c>
      <c r="S93" s="49">
        <f>'DATA HISTORICAL'!$D411</f>
        <v>-4.8211913818625329E-2</v>
      </c>
      <c r="X93" s="60">
        <f>'DATA HISTORICAL'!$C519</f>
        <v>4205.91</v>
      </c>
      <c r="Y93" s="49">
        <f>'DATA HISTORICAL'!$D519</f>
        <v>-4.8080677104652692E-3</v>
      </c>
      <c r="AD93" s="60">
        <f>'DATA HISTORICAL'!$C627</f>
        <v>2720.4</v>
      </c>
      <c r="AE93" s="49">
        <f>'DATA HISTORICAL'!$D627</f>
        <v>3.5140122904815385E-2</v>
      </c>
      <c r="AJ93" s="60">
        <f>'DATA HISTORICAL'!$C5109</f>
        <v>2084.6</v>
      </c>
      <c r="AK93" s="49">
        <f>'DATA HISTORICAL'!$D5109</f>
        <v>-2.0026325686348212E-2</v>
      </c>
    </row>
    <row r="94" spans="2:37" x14ac:dyDescent="0.3">
      <c r="B94" s="58">
        <f>'REGRESSION BETA'!$B94</f>
        <v>45384</v>
      </c>
      <c r="C94" s="60">
        <f>'REGRESSION BETA'!$F94</f>
        <v>21782.5</v>
      </c>
      <c r="D94" s="49">
        <f>'REGRESSION BETA'!$G94</f>
        <v>-3.2625904876955047E-3</v>
      </c>
      <c r="F94" s="60">
        <f>'DATA HISTORICAL'!$C196</f>
        <v>901.75</v>
      </c>
      <c r="G94" s="49">
        <f>'DATA HISTORICAL'!$D196</f>
        <v>-9.1938975882382534E-2</v>
      </c>
      <c r="L94" s="60">
        <f>'DATA HISTORICAL'!$C304</f>
        <v>576.20000000000005</v>
      </c>
      <c r="M94" s="49">
        <f>'DATA HISTORICAL'!$D304</f>
        <v>3.3728022963760429E-2</v>
      </c>
      <c r="R94" s="60">
        <f>'DATA HISTORICAL'!$C412</f>
        <v>27630.1</v>
      </c>
      <c r="S94" s="49">
        <f>'DATA HISTORICAL'!$D412</f>
        <v>-2.8953800790399997E-2</v>
      </c>
      <c r="X94" s="60">
        <f>'DATA HISTORICAL'!$C520</f>
        <v>4226.2299999999996</v>
      </c>
      <c r="Y94" s="49">
        <f>'DATA HISTORICAL'!$D520</f>
        <v>-3.0907906865825119E-2</v>
      </c>
      <c r="AD94" s="60">
        <f>'DATA HISTORICAL'!$C628</f>
        <v>2628.05</v>
      </c>
      <c r="AE94" s="49">
        <f>'DATA HISTORICAL'!$D628</f>
        <v>5.1451319290243935E-2</v>
      </c>
      <c r="AJ94" s="60">
        <f>'DATA HISTORICAL'!$C5110</f>
        <v>2127.1999999999998</v>
      </c>
      <c r="AK94" s="49">
        <f>'DATA HISTORICAL'!$D5110</f>
        <v>-5.8386082953388541E-2</v>
      </c>
    </row>
    <row r="95" spans="2:37" x14ac:dyDescent="0.3">
      <c r="B95" s="58" t="str">
        <f>'REGRESSION BETA'!$B95</f>
        <v>28/1/2024</v>
      </c>
      <c r="C95" s="60">
        <f>'REGRESSION BETA'!$F95</f>
        <v>21853.8</v>
      </c>
      <c r="D95" s="49">
        <f>'REGRESSION BETA'!$G95</f>
        <v>2.3472551352060167E-2</v>
      </c>
      <c r="F95" s="60">
        <f>'DATA HISTORICAL'!$C197</f>
        <v>993.05</v>
      </c>
      <c r="G95" s="49">
        <f>'DATA HISTORICAL'!$D197</f>
        <v>2.4978066780203312E-2</v>
      </c>
      <c r="L95" s="60">
        <f>'DATA HISTORICAL'!$C305</f>
        <v>557.4</v>
      </c>
      <c r="M95" s="49">
        <f>'DATA HISTORICAL'!$D305</f>
        <v>-4.9093992680532272E-3</v>
      </c>
      <c r="R95" s="60">
        <f>'DATA HISTORICAL'!$C413</f>
        <v>28453.95</v>
      </c>
      <c r="S95" s="49">
        <f>'DATA HISTORICAL'!$D413</f>
        <v>1.8074121250286179E-2</v>
      </c>
      <c r="X95" s="60">
        <f>'DATA HISTORICAL'!$C521</f>
        <v>4361.0200000000004</v>
      </c>
      <c r="Y95" s="49">
        <f>'DATA HISTORICAL'!$D521</f>
        <v>4.768997551957832E-2</v>
      </c>
      <c r="AD95" s="60">
        <f>'DATA HISTORICAL'!$C629</f>
        <v>2499.4499999999998</v>
      </c>
      <c r="AE95" s="49">
        <f>'DATA HISTORICAL'!$D629</f>
        <v>1.2886754604583217E-2</v>
      </c>
      <c r="AJ95" s="60">
        <f>'DATA HISTORICAL'!$C5111</f>
        <v>2259.1</v>
      </c>
      <c r="AK95" s="49">
        <f>'DATA HISTORICAL'!$D5111</f>
        <v>2.4511915829572795E-2</v>
      </c>
    </row>
    <row r="96" spans="2:37" x14ac:dyDescent="0.3">
      <c r="B96" s="58" t="str">
        <f>'REGRESSION BETA'!$B96</f>
        <v>21/1/2024</v>
      </c>
      <c r="C96" s="60">
        <f>'REGRESSION BETA'!$F96</f>
        <v>21352.6</v>
      </c>
      <c r="D96" s="49">
        <f>'REGRESSION BETA'!$G96</f>
        <v>-1.2477800799171379E-2</v>
      </c>
      <c r="F96" s="60">
        <f>'DATA HISTORICAL'!$C198</f>
        <v>968.85</v>
      </c>
      <c r="G96" s="49">
        <f>'DATA HISTORICAL'!$D198</f>
        <v>1.1748120300751896E-2</v>
      </c>
      <c r="L96" s="60">
        <f>'DATA HISTORICAL'!$C306</f>
        <v>560.15</v>
      </c>
      <c r="M96" s="49">
        <f>'DATA HISTORICAL'!$D306</f>
        <v>4.2915658164215165E-2</v>
      </c>
      <c r="R96" s="60">
        <f>'DATA HISTORICAL'!$C414</f>
        <v>27948.799999999999</v>
      </c>
      <c r="S96" s="49">
        <f>'DATA HISTORICAL'!$D414</f>
        <v>4.8755136118876496E-2</v>
      </c>
      <c r="X96" s="60">
        <f>'DATA HISTORICAL'!$C522</f>
        <v>4162.51</v>
      </c>
      <c r="Y96" s="49">
        <f>'DATA HISTORICAL'!$D522</f>
        <v>2.8176285186392924E-2</v>
      </c>
      <c r="AD96" s="60">
        <f>'DATA HISTORICAL'!$C630</f>
        <v>2467.65</v>
      </c>
      <c r="AE96" s="49">
        <f>'DATA HISTORICAL'!$D630</f>
        <v>8.3680997760309239E-2</v>
      </c>
      <c r="AJ96" s="60">
        <f>'DATA HISTORICAL'!$C5112</f>
        <v>2205.0500000000002</v>
      </c>
      <c r="AK96" s="49">
        <f>'DATA HISTORICAL'!$D5112</f>
        <v>-4.2223627167630173E-3</v>
      </c>
    </row>
    <row r="97" spans="2:37" x14ac:dyDescent="0.3">
      <c r="B97" s="58" t="str">
        <f>'REGRESSION BETA'!$B97</f>
        <v>14/1/2024</v>
      </c>
      <c r="C97" s="60">
        <f>'REGRESSION BETA'!$F97</f>
        <v>21622.400000000001</v>
      </c>
      <c r="D97" s="49">
        <f>'REGRESSION BETA'!$G97</f>
        <v>-1.2430033958222397E-2</v>
      </c>
      <c r="F97" s="60">
        <f>'DATA HISTORICAL'!$C199</f>
        <v>957.6</v>
      </c>
      <c r="G97" s="49">
        <f>'DATA HISTORICAL'!$D199</f>
        <v>-3.6280380415639302E-2</v>
      </c>
      <c r="L97" s="60">
        <f>'DATA HISTORICAL'!$C307</f>
        <v>537.1</v>
      </c>
      <c r="M97" s="49">
        <f>'DATA HISTORICAL'!$D307</f>
        <v>8.8279489105935749E-3</v>
      </c>
      <c r="R97" s="60">
        <f>'DATA HISTORICAL'!$C415</f>
        <v>26649.5</v>
      </c>
      <c r="S97" s="49">
        <f>'DATA HISTORICAL'!$D415</f>
        <v>-8.3537992111334392E-3</v>
      </c>
      <c r="X97" s="60">
        <f>'DATA HISTORICAL'!$C523</f>
        <v>4048.44</v>
      </c>
      <c r="Y97" s="49">
        <f>'DATA HISTORICAL'!$D523</f>
        <v>1.3083857883087191E-3</v>
      </c>
      <c r="AD97" s="60">
        <f>'DATA HISTORICAL'!$C631</f>
        <v>2277.1</v>
      </c>
      <c r="AE97" s="49">
        <f>'DATA HISTORICAL'!$D631</f>
        <v>-2.370948379351745E-2</v>
      </c>
      <c r="AJ97" s="60">
        <f>'DATA HISTORICAL'!$C5113</f>
        <v>2214.4</v>
      </c>
      <c r="AK97" s="49">
        <f>'DATA HISTORICAL'!$D5113</f>
        <v>-3.8680269155632718E-2</v>
      </c>
    </row>
    <row r="98" spans="2:37" x14ac:dyDescent="0.3">
      <c r="B98" s="58">
        <f>'REGRESSION BETA'!$B98</f>
        <v>45474</v>
      </c>
      <c r="C98" s="60">
        <f>'REGRESSION BETA'!$F98</f>
        <v>21894.55</v>
      </c>
      <c r="D98" s="49">
        <f>'REGRESSION BETA'!$G98</f>
        <v>8.4635296718684749E-3</v>
      </c>
      <c r="F98" s="60">
        <f>'DATA HISTORICAL'!$C200</f>
        <v>993.65</v>
      </c>
      <c r="G98" s="49">
        <f>'DATA HISTORICAL'!$D200</f>
        <v>-3.3508413578445584E-2</v>
      </c>
      <c r="L98" s="60">
        <f>'DATA HISTORICAL'!$C308</f>
        <v>532.4</v>
      </c>
      <c r="M98" s="49">
        <f>'DATA HISTORICAL'!$D308</f>
        <v>-1.8346086475523271E-2</v>
      </c>
      <c r="R98" s="60">
        <f>'DATA HISTORICAL'!$C416</f>
        <v>26874</v>
      </c>
      <c r="S98" s="49">
        <f>'DATA HISTORICAL'!$D416</f>
        <v>-5.5248618784530246E-3</v>
      </c>
      <c r="X98" s="60">
        <f>'DATA HISTORICAL'!$C524</f>
        <v>4043.15</v>
      </c>
      <c r="Y98" s="49">
        <f>'DATA HISTORICAL'!$D524</f>
        <v>2.9855270330162886E-2</v>
      </c>
      <c r="AD98" s="60">
        <f>'DATA HISTORICAL'!$C632</f>
        <v>2332.4</v>
      </c>
      <c r="AE98" s="49">
        <f>'DATA HISTORICAL'!$D632</f>
        <v>-1.8948873793349863E-2</v>
      </c>
      <c r="AJ98" s="60">
        <f>'DATA HISTORICAL'!$C5114</f>
        <v>2303.5</v>
      </c>
      <c r="AK98" s="49">
        <f>'DATA HISTORICAL'!$D5114</f>
        <v>-3.6474672690007037E-2</v>
      </c>
    </row>
    <row r="99" spans="2:37" x14ac:dyDescent="0.3">
      <c r="B99" s="58" t="str">
        <f>'REGRESSION BETA'!$B99</f>
        <v>31/12/2023</v>
      </c>
      <c r="C99" s="60">
        <f>'REGRESSION BETA'!$F99</f>
        <v>21710.799999999999</v>
      </c>
      <c r="D99" s="49">
        <f>'REGRESSION BETA'!$G99</f>
        <v>-9.479370864280412E-4</v>
      </c>
      <c r="F99" s="60">
        <f>'DATA HISTORICAL'!$C201</f>
        <v>1028.0999999999999</v>
      </c>
      <c r="G99" s="49">
        <f>'DATA HISTORICAL'!$D201</f>
        <v>7.59543293967746E-3</v>
      </c>
      <c r="L99" s="60">
        <f>'DATA HISTORICAL'!$C309</f>
        <v>542.35</v>
      </c>
      <c r="M99" s="49">
        <f>'DATA HISTORICAL'!$D309</f>
        <v>4.1178729122672397E-2</v>
      </c>
      <c r="R99" s="60">
        <f>'DATA HISTORICAL'!$C417</f>
        <v>27023.3</v>
      </c>
      <c r="S99" s="49">
        <f>'DATA HISTORICAL'!$D417</f>
        <v>-5.6886990329211629E-2</v>
      </c>
      <c r="X99" s="60">
        <f>'DATA HISTORICAL'!$C525</f>
        <v>3925.94</v>
      </c>
      <c r="Y99" s="49">
        <f>'DATA HISTORICAL'!$D525</f>
        <v>3.7576379051525333E-2</v>
      </c>
      <c r="AD99" s="60">
        <f>'DATA HISTORICAL'!$C633</f>
        <v>2377.4499999999998</v>
      </c>
      <c r="AE99" s="49">
        <f>'DATA HISTORICAL'!$D633</f>
        <v>7.5161107970604712E-2</v>
      </c>
      <c r="AJ99" s="60">
        <f>'DATA HISTORICAL'!$C5115</f>
        <v>2390.6999999999998</v>
      </c>
      <c r="AK99" s="49">
        <f>'DATA HISTORICAL'!$D5115</f>
        <v>5.0764767932489407E-2</v>
      </c>
    </row>
    <row r="100" spans="2:37" x14ac:dyDescent="0.3">
      <c r="B100" s="58" t="str">
        <f>'REGRESSION BETA'!$B100</f>
        <v>24/12/2023</v>
      </c>
      <c r="C100" s="60">
        <f>'REGRESSION BETA'!$F100</f>
        <v>21731.4</v>
      </c>
      <c r="D100" s="49">
        <f>'REGRESSION BETA'!$G100</f>
        <v>1.7892774504201459E-2</v>
      </c>
      <c r="F100" s="60">
        <f>'DATA HISTORICAL'!$C202</f>
        <v>1020.35</v>
      </c>
      <c r="G100" s="49">
        <f>'DATA HISTORICAL'!$D202</f>
        <v>4.1439142638428184E-2</v>
      </c>
      <c r="L100" s="60">
        <f>'DATA HISTORICAL'!$C310</f>
        <v>520.9</v>
      </c>
      <c r="M100" s="49">
        <f>'DATA HISTORICAL'!$D310</f>
        <v>3.3942040492258796E-2</v>
      </c>
      <c r="R100" s="60">
        <f>'DATA HISTORICAL'!$C418</f>
        <v>28653.3</v>
      </c>
      <c r="S100" s="49">
        <f>'DATA HISTORICAL'!$D418</f>
        <v>1.6559316411550951E-2</v>
      </c>
      <c r="X100" s="60">
        <f>'DATA HISTORICAL'!$C526</f>
        <v>3783.76</v>
      </c>
      <c r="Y100" s="49">
        <f>'DATA HISTORICAL'!$D526</f>
        <v>1.6014993210173856E-3</v>
      </c>
      <c r="AD100" s="60">
        <f>'DATA HISTORICAL'!$C634</f>
        <v>2211.25</v>
      </c>
      <c r="AE100" s="49">
        <f>'DATA HISTORICAL'!$D634</f>
        <v>5.7634820040655343E-2</v>
      </c>
      <c r="AJ100" s="60">
        <f>'DATA HISTORICAL'!$C5116</f>
        <v>2275.1999999999998</v>
      </c>
      <c r="AK100" s="49">
        <f>'DATA HISTORICAL'!$D5116</f>
        <v>3.6915504511894959E-2</v>
      </c>
    </row>
    <row r="101" spans="2:37" x14ac:dyDescent="0.3">
      <c r="B101" s="58" t="str">
        <f>'REGRESSION BETA'!$B101</f>
        <v>17/12/2023</v>
      </c>
      <c r="C101" s="60">
        <f>'REGRESSION BETA'!$F101</f>
        <v>21349.4</v>
      </c>
      <c r="D101" s="49">
        <f>'REGRESSION BETA'!$G101</f>
        <v>-4.9984503638732525E-3</v>
      </c>
      <c r="F101" s="60">
        <f>'DATA HISTORICAL'!$C203</f>
        <v>979.75</v>
      </c>
      <c r="G101" s="49">
        <f>'DATA HISTORICAL'!$D203</f>
        <v>-5.3427370658422291E-2</v>
      </c>
      <c r="L101" s="60">
        <f>'DATA HISTORICAL'!$C311</f>
        <v>503.8</v>
      </c>
      <c r="M101" s="49">
        <f>'DATA HISTORICAL'!$D311</f>
        <v>-3.5604900459417999E-2</v>
      </c>
      <c r="R101" s="60">
        <f>'DATA HISTORICAL'!$C419</f>
        <v>28186.55</v>
      </c>
      <c r="S101" s="49">
        <f>'DATA HISTORICAL'!$D419</f>
        <v>-1.9901665223635234E-2</v>
      </c>
      <c r="X101" s="60">
        <f>'DATA HISTORICAL'!$C527</f>
        <v>3777.71</v>
      </c>
      <c r="Y101" s="49">
        <f>'DATA HISTORICAL'!$D527</f>
        <v>-3.5609619115694824E-2</v>
      </c>
      <c r="AD101" s="60">
        <f>'DATA HISTORICAL'!$C635</f>
        <v>2090.75</v>
      </c>
      <c r="AE101" s="49">
        <f>'DATA HISTORICAL'!$D635</f>
        <v>-5.4964178362374772E-2</v>
      </c>
      <c r="AJ101" s="60">
        <f>'DATA HISTORICAL'!$C5117</f>
        <v>2194.1999999999998</v>
      </c>
      <c r="AK101" s="49">
        <f>'DATA HISTORICAL'!$D5117</f>
        <v>-7.1041490262489515E-2</v>
      </c>
    </row>
    <row r="102" spans="2:37" x14ac:dyDescent="0.3">
      <c r="B102" s="58">
        <f>'REGRESSION BETA'!$B102</f>
        <v>45211</v>
      </c>
      <c r="C102" s="60">
        <f>'REGRESSION BETA'!$F102</f>
        <v>21456.65</v>
      </c>
      <c r="D102" s="49">
        <f>'REGRESSION BETA'!$G102</f>
        <v>2.3236239472755438E-2</v>
      </c>
      <c r="F102" s="60">
        <f>'DATA HISTORICAL'!$C204</f>
        <v>1035.05</v>
      </c>
      <c r="G102" s="49">
        <f>'DATA HISTORICAL'!$D204</f>
        <v>1.575073601570165E-2</v>
      </c>
      <c r="L102" s="60">
        <f>'DATA HISTORICAL'!$C312</f>
        <v>522.4</v>
      </c>
      <c r="M102" s="49">
        <f>'DATA HISTORICAL'!$D312</f>
        <v>5.6741175280671463E-2</v>
      </c>
      <c r="R102" s="60">
        <f>'DATA HISTORICAL'!$C420</f>
        <v>28758.9</v>
      </c>
      <c r="S102" s="49">
        <f>'DATA HISTORICAL'!$D420</f>
        <v>3.9343699460612003E-2</v>
      </c>
      <c r="X102" s="60">
        <f>'DATA HISTORICAL'!$C528</f>
        <v>3917.2</v>
      </c>
      <c r="Y102" s="49">
        <f>'DATA HISTORICAL'!$D528</f>
        <v>3.2594799066836933E-2</v>
      </c>
      <c r="AD102" s="60">
        <f>'DATA HISTORICAL'!$C636</f>
        <v>2212.35</v>
      </c>
      <c r="AE102" s="49">
        <f>'DATA HISTORICAL'!$D636</f>
        <v>3.4872298624754272E-2</v>
      </c>
      <c r="AJ102" s="60">
        <f>'DATA HISTORICAL'!$C5118</f>
        <v>2362</v>
      </c>
      <c r="AK102" s="49">
        <f>'DATA HISTORICAL'!$D5118</f>
        <v>1.3212079615648742E-2</v>
      </c>
    </row>
    <row r="103" spans="2:37" x14ac:dyDescent="0.3">
      <c r="B103" s="58">
        <f>'REGRESSION BETA'!$B103</f>
        <v>44997</v>
      </c>
      <c r="C103" s="60">
        <f>'REGRESSION BETA'!$F103</f>
        <v>20969.400000000001</v>
      </c>
      <c r="D103" s="49">
        <f>'REGRESSION BETA'!$G103</f>
        <v>3.4611380557433069E-2</v>
      </c>
      <c r="F103" s="60">
        <f>'DATA HISTORICAL'!$C205</f>
        <v>1019</v>
      </c>
      <c r="G103" s="49">
        <f>'DATA HISTORICAL'!$D205</f>
        <v>1.3224619667892901E-2</v>
      </c>
      <c r="L103" s="60">
        <f>'DATA HISTORICAL'!$C313</f>
        <v>494.35</v>
      </c>
      <c r="M103" s="49">
        <f>'DATA HISTORICAL'!$D313</f>
        <v>0.11843891402714934</v>
      </c>
      <c r="R103" s="60">
        <f>'DATA HISTORICAL'!$C421</f>
        <v>27670.25</v>
      </c>
      <c r="S103" s="49">
        <f>'DATA HISTORICAL'!$D421</f>
        <v>2.3817320375704609E-2</v>
      </c>
      <c r="X103" s="60">
        <f>'DATA HISTORICAL'!$C529</f>
        <v>3793.55</v>
      </c>
      <c r="Y103" s="49">
        <f>'DATA HISTORICAL'!$D529</f>
        <v>3.7293965809535257E-2</v>
      </c>
      <c r="AD103" s="60">
        <f>'DATA HISTORICAL'!$C637</f>
        <v>2137.8000000000002</v>
      </c>
      <c r="AE103" s="49">
        <f>'DATA HISTORICAL'!$D637</f>
        <v>0.12500986712274709</v>
      </c>
      <c r="AJ103" s="60">
        <f>'DATA HISTORICAL'!$C5119</f>
        <v>2331.1999999999998</v>
      </c>
      <c r="AK103" s="49">
        <f>'DATA HISTORICAL'!$D5119</f>
        <v>2.915921682890743E-2</v>
      </c>
    </row>
    <row r="104" spans="2:37" x14ac:dyDescent="0.3">
      <c r="B104" s="58" t="str">
        <f>'REGRESSION BETA'!$B104</f>
        <v>26/11/2023</v>
      </c>
      <c r="C104" s="60">
        <f>'REGRESSION BETA'!$F104</f>
        <v>20267.900000000001</v>
      </c>
      <c r="D104" s="49">
        <f>'REGRESSION BETA'!$G104</f>
        <v>2.3905388816198414E-2</v>
      </c>
      <c r="F104" s="60">
        <f>'DATA HISTORICAL'!$C206</f>
        <v>1005.7</v>
      </c>
      <c r="G104" s="49">
        <f>'DATA HISTORICAL'!$D206</f>
        <v>4.558922908977503E-2</v>
      </c>
      <c r="L104" s="60">
        <f>'DATA HISTORICAL'!$C314</f>
        <v>442</v>
      </c>
      <c r="M104" s="49">
        <f>'DATA HISTORICAL'!$D314</f>
        <v>6.6859763456432519E-2</v>
      </c>
      <c r="R104" s="60">
        <f>'DATA HISTORICAL'!$C422</f>
        <v>27026.55</v>
      </c>
      <c r="S104" s="49">
        <f>'DATA HISTORICAL'!$D422</f>
        <v>5.3855662224024492E-2</v>
      </c>
      <c r="X104" s="60">
        <f>'DATA HISTORICAL'!$C530</f>
        <v>3657.16</v>
      </c>
      <c r="Y104" s="49">
        <f>'DATA HISTORICAL'!$D530</f>
        <v>3.7824891383620773E-2</v>
      </c>
      <c r="AD104" s="60">
        <f>'DATA HISTORICAL'!$C638</f>
        <v>1900.25</v>
      </c>
      <c r="AE104" s="49">
        <f>'DATA HISTORICAL'!$D638</f>
        <v>4.3806646525679671E-2</v>
      </c>
      <c r="AJ104" s="60">
        <f>'DATA HISTORICAL'!$C5120</f>
        <v>2265.15</v>
      </c>
      <c r="AK104" s="49">
        <f>'DATA HISTORICAL'!$D5120</f>
        <v>1.526153018690346E-2</v>
      </c>
    </row>
    <row r="105" spans="2:37" x14ac:dyDescent="0.3">
      <c r="B105" s="58" t="str">
        <f>'REGRESSION BETA'!$B105</f>
        <v>19/11/2023</v>
      </c>
      <c r="C105" s="60">
        <f>'REGRESSION BETA'!$F105</f>
        <v>19794.7</v>
      </c>
      <c r="D105" s="49">
        <f>'REGRESSION BETA'!$G105</f>
        <v>3.1877476966115648E-3</v>
      </c>
      <c r="F105" s="60">
        <f>'DATA HISTORICAL'!$C207</f>
        <v>961.85</v>
      </c>
      <c r="G105" s="49">
        <f>'DATA HISTORICAL'!$D207</f>
        <v>-4.4409120262281943E-2</v>
      </c>
      <c r="L105" s="60">
        <f>'DATA HISTORICAL'!$C315</f>
        <v>414.3</v>
      </c>
      <c r="M105" s="49">
        <f>'DATA HISTORICAL'!$D315</f>
        <v>-1.6148183329375509E-2</v>
      </c>
      <c r="R105" s="60">
        <f>'DATA HISTORICAL'!$C423</f>
        <v>25645.4</v>
      </c>
      <c r="S105" s="49">
        <f>'DATA HISTORICAL'!$D423</f>
        <v>-2.1160466873792805E-2</v>
      </c>
      <c r="X105" s="60">
        <f>'DATA HISTORICAL'!$C531</f>
        <v>3523.87</v>
      </c>
      <c r="Y105" s="49">
        <f>'DATA HISTORICAL'!$D531</f>
        <v>5.3866059532268196E-3</v>
      </c>
      <c r="AD105" s="60">
        <f>'DATA HISTORICAL'!$C639</f>
        <v>1820.5</v>
      </c>
      <c r="AE105" s="49">
        <f>'DATA HISTORICAL'!$D639</f>
        <v>-1.5014202624103912E-2</v>
      </c>
      <c r="AJ105" s="60">
        <f>'DATA HISTORICAL'!$C5121</f>
        <v>2231.1</v>
      </c>
      <c r="AK105" s="49">
        <f>'DATA HISTORICAL'!$D5121</f>
        <v>1.0622154779969639E-2</v>
      </c>
    </row>
    <row r="106" spans="2:37" x14ac:dyDescent="0.3">
      <c r="B106" s="58">
        <f>'REGRESSION BETA'!$B106</f>
        <v>45271</v>
      </c>
      <c r="C106" s="60">
        <f>'REGRESSION BETA'!$F106</f>
        <v>19731.8</v>
      </c>
      <c r="D106" s="49">
        <f>'REGRESSION BETA'!$G106</f>
        <v>1.5775777527818002E-2</v>
      </c>
      <c r="F106" s="60">
        <f>'DATA HISTORICAL'!$C208</f>
        <v>1006.55</v>
      </c>
      <c r="G106" s="49">
        <f>'DATA HISTORICAL'!$D208</f>
        <v>2.0634759683634041E-2</v>
      </c>
      <c r="L106" s="60">
        <f>'DATA HISTORICAL'!$C316</f>
        <v>421.1</v>
      </c>
      <c r="M106" s="49">
        <f>'DATA HISTORICAL'!$D316</f>
        <v>7.1753169098300873E-3</v>
      </c>
      <c r="R106" s="60">
        <f>'DATA HISTORICAL'!$C424</f>
        <v>26199.8</v>
      </c>
      <c r="S106" s="49">
        <f>'DATA HISTORICAL'!$D424</f>
        <v>-6.0208281958381571E-3</v>
      </c>
      <c r="X106" s="60">
        <f>'DATA HISTORICAL'!$C532</f>
        <v>3504.99</v>
      </c>
      <c r="Y106" s="49">
        <f>'DATA HISTORICAL'!$D532</f>
        <v>1.3181514660099092E-2</v>
      </c>
      <c r="AD106" s="60">
        <f>'DATA HISTORICAL'!$C640</f>
        <v>1848.25</v>
      </c>
      <c r="AE106" s="49">
        <f>'DATA HISTORICAL'!$D640</f>
        <v>1.2573275625924474E-2</v>
      </c>
      <c r="AJ106" s="60">
        <f>'DATA HISTORICAL'!$C5122</f>
        <v>2207.65</v>
      </c>
      <c r="AK106" s="49">
        <f>'DATA HISTORICAL'!$D5122</f>
        <v>5.6544627901411904E-2</v>
      </c>
    </row>
    <row r="107" spans="2:37" x14ac:dyDescent="0.3">
      <c r="B107" s="58">
        <f>'REGRESSION BETA'!$B107</f>
        <v>45057</v>
      </c>
      <c r="C107" s="60">
        <f>'REGRESSION BETA'!$F107</f>
        <v>19425.349999999999</v>
      </c>
      <c r="D107" s="49">
        <f>'REGRESSION BETA'!$G107</f>
        <v>1.0127089118384225E-2</v>
      </c>
      <c r="F107" s="60">
        <f>'DATA HISTORICAL'!$C209</f>
        <v>986.2</v>
      </c>
      <c r="G107" s="49">
        <f>'DATA HISTORICAL'!$D209</f>
        <v>2.6433509556731405E-3</v>
      </c>
      <c r="L107" s="60">
        <f>'DATA HISTORICAL'!$C317</f>
        <v>418.1</v>
      </c>
      <c r="M107" s="49">
        <f>'DATA HISTORICAL'!$D317</f>
        <v>-6.652411499168287E-3</v>
      </c>
      <c r="R107" s="60">
        <f>'DATA HISTORICAL'!$C425</f>
        <v>26358.5</v>
      </c>
      <c r="S107" s="49">
        <f>'DATA HISTORICAL'!$D425</f>
        <v>1.5434637306248389E-2</v>
      </c>
      <c r="X107" s="60">
        <f>'DATA HISTORICAL'!$C533</f>
        <v>3459.39</v>
      </c>
      <c r="Y107" s="49">
        <f>'DATA HISTORICAL'!$D533</f>
        <v>0.10596430877830132</v>
      </c>
      <c r="AD107" s="60">
        <f>'DATA HISTORICAL'!$C641</f>
        <v>1825.3</v>
      </c>
      <c r="AE107" s="49">
        <f>'DATA HISTORICAL'!$D641</f>
        <v>-1.8576766943570688E-2</v>
      </c>
      <c r="AJ107" s="60">
        <f>'DATA HISTORICAL'!$C5123</f>
        <v>2089.5</v>
      </c>
      <c r="AK107" s="49">
        <f>'DATA HISTORICAL'!$D5123</f>
        <v>7.6435271140260497E-3</v>
      </c>
    </row>
    <row r="108" spans="2:37" x14ac:dyDescent="0.3">
      <c r="B108" s="58" t="str">
        <f>'REGRESSION BETA'!$B108</f>
        <v>29/10/2023</v>
      </c>
      <c r="C108" s="60">
        <f>'REGRESSION BETA'!$F108</f>
        <v>19230.599999999999</v>
      </c>
      <c r="D108" s="49">
        <f>'REGRESSION BETA'!$G108</f>
        <v>9.6260615049414966E-3</v>
      </c>
      <c r="F108" s="60">
        <f>'DATA HISTORICAL'!$C210</f>
        <v>983.6</v>
      </c>
      <c r="G108" s="49">
        <f>'DATA HISTORICAL'!$D210</f>
        <v>1.1257903665244484E-2</v>
      </c>
      <c r="L108" s="60">
        <f>'DATA HISTORICAL'!$C318</f>
        <v>420.9</v>
      </c>
      <c r="M108" s="49">
        <f>'DATA HISTORICAL'!$D318</f>
        <v>8.747753145596171E-3</v>
      </c>
      <c r="R108" s="60">
        <f>'DATA HISTORICAL'!$C426</f>
        <v>25957.85</v>
      </c>
      <c r="S108" s="49">
        <f>'DATA HISTORICAL'!$D426</f>
        <v>1.7376393815281554E-2</v>
      </c>
      <c r="X108" s="60">
        <f>'DATA HISTORICAL'!$C534</f>
        <v>3127.94</v>
      </c>
      <c r="Y108" s="49">
        <f>'DATA HISTORICAL'!$D534</f>
        <v>1.8060505459812193E-2</v>
      </c>
      <c r="AD108" s="60">
        <f>'DATA HISTORICAL'!$C642</f>
        <v>1859.85</v>
      </c>
      <c r="AE108" s="49">
        <f>'DATA HISTORICAL'!$D642</f>
        <v>-9.664536741214147E-3</v>
      </c>
      <c r="AJ108" s="60">
        <f>'DATA HISTORICAL'!$C5124</f>
        <v>2073.65</v>
      </c>
      <c r="AK108" s="49">
        <f>'DATA HISTORICAL'!$D5124</f>
        <v>1.7243070885454959E-2</v>
      </c>
    </row>
    <row r="109" spans="2:37" x14ac:dyDescent="0.3">
      <c r="B109" s="58" t="str">
        <f>'REGRESSION BETA'!$B109</f>
        <v>22/10/2023</v>
      </c>
      <c r="C109" s="60">
        <f>'REGRESSION BETA'!$F109</f>
        <v>19047.25</v>
      </c>
      <c r="D109" s="49">
        <f>'REGRESSION BETA'!$G109</f>
        <v>-2.5349683896503383E-2</v>
      </c>
      <c r="F109" s="60">
        <f>'DATA HISTORICAL'!$C211</f>
        <v>972.65</v>
      </c>
      <c r="G109" s="49">
        <f>'DATA HISTORICAL'!$D211</f>
        <v>-2.1774112440913207E-2</v>
      </c>
      <c r="L109" s="60">
        <f>'DATA HISTORICAL'!$C319</f>
        <v>417.25</v>
      </c>
      <c r="M109" s="49">
        <f>'DATA HISTORICAL'!$D319</f>
        <v>-3.156551003829644E-2</v>
      </c>
      <c r="R109" s="60">
        <f>'DATA HISTORICAL'!$C427</f>
        <v>25514.5</v>
      </c>
      <c r="S109" s="49">
        <f>'DATA HISTORICAL'!$D427</f>
        <v>-2.1857682583435123E-2</v>
      </c>
      <c r="X109" s="60">
        <f>'DATA HISTORICAL'!$C535</f>
        <v>3072.45</v>
      </c>
      <c r="Y109" s="49">
        <f>'DATA HISTORICAL'!$D535</f>
        <v>-6.8313658183053239E-2</v>
      </c>
      <c r="AD109" s="60">
        <f>'DATA HISTORICAL'!$C643</f>
        <v>1878</v>
      </c>
      <c r="AE109" s="49">
        <f>'DATA HISTORICAL'!$D643</f>
        <v>-4.3374169065023116E-2</v>
      </c>
      <c r="AJ109" s="60">
        <f>'DATA HISTORICAL'!$C5125</f>
        <v>2038.5</v>
      </c>
      <c r="AK109" s="49">
        <f>'DATA HISTORICAL'!$D5125</f>
        <v>-5.5397233613679098E-2</v>
      </c>
    </row>
    <row r="110" spans="2:37" x14ac:dyDescent="0.3">
      <c r="B110" s="58" t="str">
        <f>'REGRESSION BETA'!$B110</f>
        <v>15/10/2023</v>
      </c>
      <c r="C110" s="60">
        <f>'REGRESSION BETA'!$F110</f>
        <v>19542.650000000001</v>
      </c>
      <c r="D110" s="49">
        <f>'REGRESSION BETA'!$G110</f>
        <v>-1.0551337776978809E-2</v>
      </c>
      <c r="F110" s="60">
        <f>'DATA HISTORICAL'!$C212</f>
        <v>994.3</v>
      </c>
      <c r="G110" s="49">
        <f>'DATA HISTORICAL'!$D212</f>
        <v>-1.8070474851923368E-3</v>
      </c>
      <c r="L110" s="60">
        <f>'DATA HISTORICAL'!$C320</f>
        <v>430.85</v>
      </c>
      <c r="M110" s="49">
        <f>'DATA HISTORICAL'!$D320</f>
        <v>-2.0572857467606176E-2</v>
      </c>
      <c r="R110" s="60">
        <f>'DATA HISTORICAL'!$C428</f>
        <v>26084.65</v>
      </c>
      <c r="S110" s="49">
        <f>'DATA HISTORICAL'!$D428</f>
        <v>-2.85462633816429E-2</v>
      </c>
      <c r="X110" s="60">
        <f>'DATA HISTORICAL'!$C536</f>
        <v>3297.73</v>
      </c>
      <c r="Y110" s="49">
        <f>'DATA HISTORICAL'!$D536</f>
        <v>1.5873944920214544E-2</v>
      </c>
      <c r="AD110" s="60">
        <f>'DATA HISTORICAL'!$C644</f>
        <v>1963.15</v>
      </c>
      <c r="AE110" s="49">
        <f>'DATA HISTORICAL'!$D644</f>
        <v>-2.3527071053744186E-2</v>
      </c>
      <c r="AJ110" s="60">
        <f>'DATA HISTORICAL'!$C5126</f>
        <v>2158.0500000000002</v>
      </c>
      <c r="AK110" s="49">
        <f>'DATA HISTORICAL'!$D5126</f>
        <v>-5.8668295129877257E-2</v>
      </c>
    </row>
    <row r="111" spans="2:37" x14ac:dyDescent="0.3">
      <c r="B111" s="58">
        <f>'REGRESSION BETA'!$B111</f>
        <v>45148</v>
      </c>
      <c r="C111" s="60">
        <f>'REGRESSION BETA'!$F111</f>
        <v>19751.05</v>
      </c>
      <c r="D111" s="49">
        <f>'REGRESSION BETA'!$G111</f>
        <v>4.9634925076957881E-3</v>
      </c>
      <c r="F111" s="60">
        <f>'DATA HISTORICAL'!$C213</f>
        <v>996.1</v>
      </c>
      <c r="G111" s="49">
        <f>'DATA HISTORICAL'!$D213</f>
        <v>4.8857533958091892E-2</v>
      </c>
      <c r="L111" s="60">
        <f>'DATA HISTORICAL'!$C321</f>
        <v>439.9</v>
      </c>
      <c r="M111" s="49">
        <f>'DATA HISTORICAL'!$D321</f>
        <v>9.6396603167316908E-3</v>
      </c>
      <c r="R111" s="60">
        <f>'DATA HISTORICAL'!$C429</f>
        <v>26851.15</v>
      </c>
      <c r="S111" s="49">
        <f>'DATA HISTORICAL'!$D429</f>
        <v>4.1256822654606395E-2</v>
      </c>
      <c r="X111" s="60">
        <f>'DATA HISTORICAL'!$C537</f>
        <v>3246.2</v>
      </c>
      <c r="Y111" s="49">
        <f>'DATA HISTORICAL'!$D537</f>
        <v>2.8156969562600942E-2</v>
      </c>
      <c r="AD111" s="60">
        <f>'DATA HISTORICAL'!$C645</f>
        <v>2010.45</v>
      </c>
      <c r="AE111" s="49">
        <f>'DATA HISTORICAL'!$D645</f>
        <v>2.4876240702509378E-4</v>
      </c>
      <c r="AJ111" s="60">
        <f>'DATA HISTORICAL'!$C5127</f>
        <v>2292.5500000000002</v>
      </c>
      <c r="AK111" s="49">
        <f>'DATA HISTORICAL'!$D5127</f>
        <v>3.0915549959528832E-2</v>
      </c>
    </row>
    <row r="112" spans="2:37" x14ac:dyDescent="0.3">
      <c r="B112" s="58">
        <f>'REGRESSION BETA'!$B112</f>
        <v>44936</v>
      </c>
      <c r="C112" s="60">
        <f>'REGRESSION BETA'!$F112</f>
        <v>19653.5</v>
      </c>
      <c r="D112" s="49">
        <f>'REGRESSION BETA'!$G112</f>
        <v>7.7399774929598486E-4</v>
      </c>
      <c r="F112" s="60">
        <f>'DATA HISTORICAL'!$C214</f>
        <v>949.7</v>
      </c>
      <c r="G112" s="49">
        <f>'DATA HISTORICAL'!$D214</f>
        <v>4.3397055592177436E-2</v>
      </c>
      <c r="L112" s="60">
        <f>'DATA HISTORICAL'!$C322</f>
        <v>435.7</v>
      </c>
      <c r="M112" s="49">
        <f>'DATA HISTORICAL'!$D322</f>
        <v>2.5659133709981186E-2</v>
      </c>
      <c r="R112" s="60">
        <f>'DATA HISTORICAL'!$C430</f>
        <v>25787.25</v>
      </c>
      <c r="S112" s="49">
        <f>'DATA HISTORICAL'!$D430</f>
        <v>1.2654623993716863E-2</v>
      </c>
      <c r="X112" s="60">
        <f>'DATA HISTORICAL'!$C538</f>
        <v>3157.3</v>
      </c>
      <c r="Y112" s="49">
        <f>'DATA HISTORICAL'!$D538</f>
        <v>-5.7877367996774787E-3</v>
      </c>
      <c r="AD112" s="60">
        <f>'DATA HISTORICAL'!$C646</f>
        <v>2009.95</v>
      </c>
      <c r="AE112" s="49">
        <f>'DATA HISTORICAL'!$D646</f>
        <v>-1.1429991303266718E-3</v>
      </c>
      <c r="AJ112" s="60">
        <f>'DATA HISTORICAL'!$C5128</f>
        <v>2223.8000000000002</v>
      </c>
      <c r="AK112" s="49">
        <f>'DATA HISTORICAL'!$D5128</f>
        <v>-7.5093060494520247E-2</v>
      </c>
    </row>
    <row r="113" spans="2:40" x14ac:dyDescent="0.3">
      <c r="B113" s="58" t="str">
        <f>'REGRESSION BETA'!$B113</f>
        <v>24/9/2023</v>
      </c>
      <c r="C113" s="60">
        <f>'REGRESSION BETA'!$F113</f>
        <v>19638.3</v>
      </c>
      <c r="D113" s="49">
        <f>'REGRESSION BETA'!$G113</f>
        <v>-1.8272615220402688E-3</v>
      </c>
      <c r="F113" s="60">
        <f>'DATA HISTORICAL'!$C215</f>
        <v>910.2</v>
      </c>
      <c r="G113" s="49">
        <f>'DATA HISTORICAL'!$D215</f>
        <v>5.9974379876557515E-2</v>
      </c>
      <c r="L113" s="60">
        <f>'DATA HISTORICAL'!$C323</f>
        <v>424.8</v>
      </c>
      <c r="M113" s="49">
        <f>'DATA HISTORICAL'!$D323</f>
        <v>9.1459793324624172E-3</v>
      </c>
      <c r="R113" s="60">
        <f>'DATA HISTORICAL'!$C431</f>
        <v>25465</v>
      </c>
      <c r="S113" s="49">
        <f>'DATA HISTORICAL'!$D431</f>
        <v>-1.8300134542805102E-2</v>
      </c>
      <c r="X113" s="60">
        <f>'DATA HISTORICAL'!$C539</f>
        <v>3175.68</v>
      </c>
      <c r="Y113" s="49">
        <f>'DATA HISTORICAL'!$D539</f>
        <v>7.4615501751180702E-3</v>
      </c>
      <c r="AD113" s="60">
        <f>'DATA HISTORICAL'!$C647</f>
        <v>2012.25</v>
      </c>
      <c r="AE113" s="49">
        <f>'DATA HISTORICAL'!$D647</f>
        <v>1.7058377558756721E-2</v>
      </c>
      <c r="AJ113" s="60">
        <f>'DATA HISTORICAL'!$C5129</f>
        <v>2404.35</v>
      </c>
      <c r="AK113" s="49">
        <f>'DATA HISTORICAL'!$D5129</f>
        <v>7.0693801211257679E-2</v>
      </c>
    </row>
    <row r="114" spans="2:40" x14ac:dyDescent="0.3">
      <c r="B114" s="58" t="str">
        <f>'REGRESSION BETA'!$B114</f>
        <v>17/9/2023</v>
      </c>
      <c r="C114" s="60">
        <f>'REGRESSION BETA'!$F114</f>
        <v>19674.25</v>
      </c>
      <c r="D114" s="49">
        <f>'REGRESSION BETA'!$G114</f>
        <v>-2.5658231954180599E-2</v>
      </c>
      <c r="F114" s="60">
        <f>'DATA HISTORICAL'!$C216</f>
        <v>858.7</v>
      </c>
      <c r="G114" s="49">
        <f>'DATA HISTORICAL'!$D216</f>
        <v>-4.0397832038889137E-2</v>
      </c>
      <c r="L114" s="60">
        <f>'DATA HISTORICAL'!$C324</f>
        <v>420.95</v>
      </c>
      <c r="M114" s="49">
        <f>'DATA HISTORICAL'!$D324</f>
        <v>-5.4151218964161418E-2</v>
      </c>
      <c r="R114" s="60">
        <f>'DATA HISTORICAL'!$C432</f>
        <v>25939.7</v>
      </c>
      <c r="S114" s="49">
        <f>'DATA HISTORICAL'!$D432</f>
        <v>-3.1893036752288273E-2</v>
      </c>
      <c r="X114" s="60">
        <f>'DATA HISTORICAL'!$C540</f>
        <v>3152.16</v>
      </c>
      <c r="Y114" s="49">
        <f>'DATA HISTORICAL'!$D540</f>
        <v>-3.6893773430983434E-2</v>
      </c>
      <c r="AD114" s="60">
        <f>'DATA HISTORICAL'!$C648</f>
        <v>1978.5</v>
      </c>
      <c r="AE114" s="49">
        <f>'DATA HISTORICAL'!$D648</f>
        <v>-2.3854749981498391E-2</v>
      </c>
      <c r="AJ114" s="60">
        <f>'DATA HISTORICAL'!$C5130</f>
        <v>2245.6</v>
      </c>
      <c r="AK114" s="49">
        <f>'DATA HISTORICAL'!$D5130</f>
        <v>-5.9473948735131565E-2</v>
      </c>
    </row>
    <row r="115" spans="2:40" x14ac:dyDescent="0.3">
      <c r="B115" s="58">
        <f>'REGRESSION BETA'!$B115</f>
        <v>45208</v>
      </c>
      <c r="C115" s="60">
        <f>'REGRESSION BETA'!$F115</f>
        <v>20192.349999999999</v>
      </c>
      <c r="D115" s="49"/>
      <c r="F115" s="60">
        <f>'DATA HISTORICAL'!$C217</f>
        <v>894.85</v>
      </c>
      <c r="G115" s="49"/>
      <c r="L115" s="60">
        <f>'DATA HISTORICAL'!$C325</f>
        <v>445.05</v>
      </c>
      <c r="M115" s="49"/>
      <c r="R115" s="60">
        <f>'DATA HISTORICAL'!$C433</f>
        <v>26794.25</v>
      </c>
      <c r="S115" s="49"/>
      <c r="X115" s="60">
        <f>'DATA HISTORICAL'!$C541</f>
        <v>3272.91</v>
      </c>
      <c r="Y115" s="49"/>
      <c r="AD115" s="60">
        <f>'DATA HISTORICAL'!$C649</f>
        <v>2026.85</v>
      </c>
      <c r="AE115" s="49"/>
      <c r="AJ115" s="60">
        <f>'DATA HISTORICAL'!$C5131</f>
        <v>2387.6</v>
      </c>
      <c r="AK115" s="49"/>
    </row>
    <row r="117" spans="2:40" x14ac:dyDescent="0.3">
      <c r="B117" s="127"/>
      <c r="C117" s="127"/>
      <c r="D117" s="127"/>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c r="AA117" s="127"/>
      <c r="AB117" s="127"/>
      <c r="AC117" s="127"/>
      <c r="AD117" s="127"/>
      <c r="AE117" s="127"/>
      <c r="AF117" s="127"/>
      <c r="AG117" s="127"/>
      <c r="AH117" s="127"/>
      <c r="AI117" s="127"/>
      <c r="AJ117" s="127"/>
      <c r="AK117" s="127"/>
      <c r="AL117" s="127"/>
      <c r="AM117" s="127"/>
      <c r="AN117" s="127"/>
    </row>
  </sheetData>
  <sortState ref="B12:B115">
    <sortCondition ref="B12:B115"/>
  </sortState>
  <mergeCells count="14">
    <mergeCell ref="B9:C9"/>
    <mergeCell ref="E7:F7"/>
    <mergeCell ref="F9:G9"/>
    <mergeCell ref="L9:M9"/>
    <mergeCell ref="R9:S9"/>
    <mergeCell ref="O20:P20"/>
    <mergeCell ref="I20:J20"/>
    <mergeCell ref="AJ9:AK9"/>
    <mergeCell ref="AG20:AH20"/>
    <mergeCell ref="AM20:AN20"/>
    <mergeCell ref="AA20:AB20"/>
    <mergeCell ref="U20:V20"/>
    <mergeCell ref="AD9:AE9"/>
    <mergeCell ref="X9:Y9"/>
  </mergeCells>
  <printOptions horizontalCentered="1" verticalCentered="1"/>
  <pageMargins left="0" right="0" top="0" bottom="0" header="0" footer="0"/>
  <pageSetup paperSize="9" scale="28" orientation="landscape" horizontalDpi="1200" verticalDpi="12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M46"/>
  <sheetViews>
    <sheetView zoomScale="70" zoomScaleNormal="70" workbookViewId="0">
      <pane xSplit="1" ySplit="7" topLeftCell="B8" activePane="bottomRight" state="frozen"/>
      <selection pane="topRight" activeCell="B1" sqref="B1"/>
      <selection pane="bottomLeft" activeCell="A8" sqref="A8"/>
      <selection pane="bottomRight"/>
    </sheetView>
  </sheetViews>
  <sheetFormatPr defaultColWidth="16.77734375" defaultRowHeight="14.4" customHeight="1" x14ac:dyDescent="0.3"/>
  <cols>
    <col min="1" max="1" width="2" style="53" customWidth="1"/>
    <col min="2" max="2" width="44.77734375" style="53" customWidth="1"/>
    <col min="3" max="3" width="16.77734375" style="53"/>
    <col min="4" max="4" width="20.21875" style="53" bestFit="1" customWidth="1"/>
    <col min="5" max="9" width="16.77734375" style="53"/>
    <col min="10" max="10" width="20.21875" style="53" bestFit="1" customWidth="1"/>
    <col min="11" max="16384" width="16.77734375" style="53"/>
  </cols>
  <sheetData>
    <row r="1" spans="2:10" ht="14.4" customHeight="1" x14ac:dyDescent="0.4">
      <c r="B1" s="104" t="s">
        <v>342</v>
      </c>
      <c r="C1" s="105"/>
      <c r="D1" s="105"/>
      <c r="E1" s="105"/>
      <c r="F1" s="105"/>
      <c r="G1" s="105"/>
      <c r="H1" s="105"/>
      <c r="I1" s="105"/>
      <c r="J1" s="105"/>
    </row>
    <row r="2" spans="2:10" ht="23.25" customHeight="1" x14ac:dyDescent="0.45">
      <c r="B2" s="106" t="s">
        <v>341</v>
      </c>
      <c r="C2" s="105"/>
      <c r="D2" s="105"/>
      <c r="E2" s="105"/>
      <c r="F2" s="105"/>
      <c r="G2" s="105"/>
      <c r="H2" s="105"/>
      <c r="I2" s="105"/>
      <c r="J2" s="105"/>
    </row>
    <row r="3" spans="2:10" ht="14.4" customHeight="1" x14ac:dyDescent="0.3">
      <c r="B3" s="105" t="s">
        <v>343</v>
      </c>
      <c r="C3" s="105"/>
      <c r="D3" s="105"/>
      <c r="E3" s="105"/>
      <c r="F3" s="105"/>
      <c r="G3" s="105"/>
      <c r="H3" s="105"/>
      <c r="I3" s="105"/>
      <c r="J3" s="105"/>
    </row>
    <row r="4" spans="2:10" ht="14.4" customHeight="1" x14ac:dyDescent="0.3">
      <c r="B4" s="3"/>
      <c r="C4" s="3"/>
      <c r="D4" s="3"/>
      <c r="E4" s="3"/>
      <c r="F4" s="3"/>
      <c r="G4" s="3"/>
      <c r="H4" s="3"/>
      <c r="I4" s="3"/>
      <c r="J4" s="3"/>
    </row>
    <row r="5" spans="2:10" ht="14.4" customHeight="1" x14ac:dyDescent="0.3">
      <c r="B5" s="107" t="s">
        <v>55</v>
      </c>
      <c r="C5" s="107"/>
      <c r="D5" s="107"/>
      <c r="E5" s="107"/>
      <c r="F5" s="107"/>
      <c r="G5" s="107"/>
      <c r="H5" s="107"/>
      <c r="I5" s="107"/>
      <c r="J5" s="107"/>
    </row>
    <row r="6" spans="2:10" ht="14.4" customHeight="1" x14ac:dyDescent="0.3">
      <c r="B6" s="3"/>
      <c r="C6" s="3"/>
      <c r="D6" s="3"/>
      <c r="E6" s="3"/>
      <c r="F6" s="3"/>
      <c r="G6" s="3"/>
      <c r="H6" s="3"/>
      <c r="I6" s="3"/>
      <c r="J6" s="3"/>
    </row>
    <row r="7" spans="2:10" ht="14.4" customHeight="1" x14ac:dyDescent="0.3">
      <c r="B7" s="107" t="s">
        <v>1</v>
      </c>
      <c r="C7" s="110"/>
      <c r="D7" s="110"/>
      <c r="E7" s="110"/>
      <c r="F7" s="110"/>
      <c r="G7" s="110"/>
      <c r="H7" s="537" t="s">
        <v>460</v>
      </c>
      <c r="I7" s="537"/>
      <c r="J7" s="239">
        <v>2</v>
      </c>
    </row>
    <row r="8" spans="2:10" ht="7.05" customHeight="1" x14ac:dyDescent="0.3"/>
    <row r="9" spans="2:10" ht="14.4" customHeight="1" x14ac:dyDescent="0.3">
      <c r="B9" s="5" t="s">
        <v>69</v>
      </c>
    </row>
    <row r="10" spans="2:10" ht="14.4" customHeight="1" x14ac:dyDescent="0.3">
      <c r="B10" s="6"/>
      <c r="C10" s="10"/>
      <c r="D10" s="10"/>
      <c r="E10" s="10"/>
      <c r="F10" s="10"/>
      <c r="G10" s="10" t="s">
        <v>61</v>
      </c>
      <c r="H10" s="10" t="s">
        <v>61</v>
      </c>
      <c r="I10" s="10" t="s">
        <v>64</v>
      </c>
      <c r="J10" s="10" t="s">
        <v>65</v>
      </c>
    </row>
    <row r="11" spans="2:10" ht="14.4" customHeight="1" x14ac:dyDescent="0.3">
      <c r="B11" s="8" t="s">
        <v>58</v>
      </c>
      <c r="C11" s="11" t="s">
        <v>59</v>
      </c>
      <c r="D11" s="11" t="s">
        <v>60</v>
      </c>
      <c r="E11" s="11" t="s">
        <v>42</v>
      </c>
      <c r="F11" s="11" t="s">
        <v>66</v>
      </c>
      <c r="G11" s="11" t="s">
        <v>62</v>
      </c>
      <c r="H11" s="11" t="s">
        <v>63</v>
      </c>
      <c r="I11" s="11" t="s">
        <v>67</v>
      </c>
      <c r="J11" s="11" t="s">
        <v>68</v>
      </c>
    </row>
    <row r="12" spans="2:10" ht="7.05" customHeight="1" x14ac:dyDescent="0.3"/>
    <row r="13" spans="2:10" ht="14.4" customHeight="1" x14ac:dyDescent="0.3">
      <c r="B13" s="62" t="s">
        <v>470</v>
      </c>
      <c r="C13" s="63" t="s">
        <v>70</v>
      </c>
      <c r="D13" s="157">
        <f>'RELATIVE VALUATION'!$G13</f>
        <v>4699</v>
      </c>
      <c r="E13" s="157">
        <v>7238</v>
      </c>
      <c r="F13" s="156">
        <v>0.25</v>
      </c>
      <c r="G13" s="142">
        <f>D13/E13</f>
        <v>0.64921248963802158</v>
      </c>
      <c r="H13" s="143">
        <f>D13/(D13+E13)</f>
        <v>0.39364999581134286</v>
      </c>
      <c r="I13" s="144">
        <f>'COMPS. REGRESSION BETA'!J17</f>
        <v>0.969141330959991</v>
      </c>
      <c r="J13" s="145">
        <f>I13/(1+(1-F13)*G13)</f>
        <v>0.65178238319017068</v>
      </c>
    </row>
    <row r="14" spans="2:10" ht="14.4" customHeight="1" x14ac:dyDescent="0.3">
      <c r="B14" s="53" t="s">
        <v>440</v>
      </c>
      <c r="C14" s="63" t="s">
        <v>70</v>
      </c>
      <c r="D14" s="157">
        <f>'RELATIVE VALUATION'!$G14</f>
        <v>188</v>
      </c>
      <c r="E14" s="157">
        <v>37006</v>
      </c>
      <c r="F14" s="156">
        <v>0.25</v>
      </c>
      <c r="G14" s="146">
        <f t="shared" ref="G14:G17" si="0">D14/E14</f>
        <v>5.0802572555801763E-3</v>
      </c>
      <c r="H14" s="445">
        <f t="shared" ref="H14:H17" si="1">D14/(D14+E14)</f>
        <v>5.0545786954885197E-3</v>
      </c>
      <c r="I14" s="446">
        <f>'COMPS. REGRESSION BETA'!P17</f>
        <v>1.1269596433902132</v>
      </c>
      <c r="J14" s="147">
        <f t="shared" ref="J14:J17" si="2">I14/(1+(1-F14)*G14)</f>
        <v>1.1226820083263311</v>
      </c>
    </row>
    <row r="15" spans="2:10" ht="14.4" customHeight="1" x14ac:dyDescent="0.3">
      <c r="B15" s="53" t="s">
        <v>441</v>
      </c>
      <c r="C15" s="63" t="s">
        <v>70</v>
      </c>
      <c r="D15" s="157">
        <f>'RELATIVE VALUATION'!$G15</f>
        <v>1473</v>
      </c>
      <c r="E15" s="157">
        <v>20384</v>
      </c>
      <c r="F15" s="156">
        <v>0.25</v>
      </c>
      <c r="G15" s="146">
        <f t="shared" si="0"/>
        <v>7.2262558869701732E-2</v>
      </c>
      <c r="H15" s="445">
        <f t="shared" si="1"/>
        <v>6.73925973372375E-2</v>
      </c>
      <c r="I15" s="446">
        <f>'COMPS. REGRESSION BETA'!V17</f>
        <v>0.85982907118442997</v>
      </c>
      <c r="J15" s="147">
        <f t="shared" si="2"/>
        <v>0.8156247239613017</v>
      </c>
    </row>
    <row r="16" spans="2:10" ht="14.4" customHeight="1" x14ac:dyDescent="0.3">
      <c r="B16" s="53" t="s">
        <v>442</v>
      </c>
      <c r="C16" s="63" t="s">
        <v>70</v>
      </c>
      <c r="D16" s="157">
        <f>'RELATIVE VALUATION'!$G16</f>
        <v>5177</v>
      </c>
      <c r="E16" s="157">
        <v>5353</v>
      </c>
      <c r="F16" s="156">
        <v>0.25</v>
      </c>
      <c r="G16" s="146">
        <f t="shared" si="0"/>
        <v>0.9671212404259294</v>
      </c>
      <c r="H16" s="445">
        <f t="shared" si="1"/>
        <v>0.49164292497625833</v>
      </c>
      <c r="I16" s="446">
        <f>'COMPS. REGRESSION BETA'!AB17</f>
        <v>1.0529593984262826</v>
      </c>
      <c r="J16" s="147">
        <f t="shared" si="2"/>
        <v>0.61029062715815074</v>
      </c>
    </row>
    <row r="17" spans="2:10" ht="14.4" customHeight="1" x14ac:dyDescent="0.3">
      <c r="B17" s="53" t="s">
        <v>439</v>
      </c>
      <c r="C17" s="63" t="s">
        <v>70</v>
      </c>
      <c r="D17" s="157">
        <f>'RELATIVE VALUATION'!$G17</f>
        <v>430</v>
      </c>
      <c r="E17" s="157">
        <v>16021</v>
      </c>
      <c r="F17" s="156">
        <v>0.25</v>
      </c>
      <c r="G17" s="146">
        <f t="shared" si="0"/>
        <v>2.683977279820236E-2</v>
      </c>
      <c r="H17" s="445">
        <f t="shared" si="1"/>
        <v>2.6138228679107652E-2</v>
      </c>
      <c r="I17" s="446">
        <f>'COMPS. REGRESSION BETA'!AH17</f>
        <v>1.1102440133777689</v>
      </c>
      <c r="J17" s="147">
        <f t="shared" si="2"/>
        <v>1.0883359952473604</v>
      </c>
    </row>
    <row r="18" spans="2:10" ht="14.4" customHeight="1" x14ac:dyDescent="0.3">
      <c r="B18" s="53" t="s">
        <v>2765</v>
      </c>
      <c r="C18" s="63" t="s">
        <v>70</v>
      </c>
      <c r="D18" s="157">
        <f>'RELATIVE VALUATION'!$G18</f>
        <v>4805</v>
      </c>
      <c r="E18" s="157">
        <v>7838</v>
      </c>
      <c r="F18" s="156">
        <v>0.25</v>
      </c>
      <c r="G18" s="148">
        <f t="shared" ref="G18" si="3">D18/E18</f>
        <v>0.61303904057157443</v>
      </c>
      <c r="H18" s="149">
        <f t="shared" ref="H18" si="4">D18/(D18+E18)</f>
        <v>0.38005220279996837</v>
      </c>
      <c r="I18" s="150">
        <f>'COMPS. REGRESSION BETA'!$AN$17</f>
        <v>1.0708959798953888</v>
      </c>
      <c r="J18" s="151">
        <f t="shared" ref="J18" si="5">I18/(1+(1-F18)*G18)</f>
        <v>0.73360130141106528</v>
      </c>
    </row>
    <row r="20" spans="2:10" ht="14.4" customHeight="1" x14ac:dyDescent="0.3">
      <c r="E20" s="7" t="s">
        <v>71</v>
      </c>
      <c r="F20" s="64">
        <f>AVERAGE(F13:F18)</f>
        <v>0.25</v>
      </c>
      <c r="G20" s="64">
        <f>AVERAGE(G13:G18)</f>
        <v>0.38892589325983495</v>
      </c>
      <c r="H20" s="64">
        <f>AVERAGE(H13:H18)</f>
        <v>0.22732175471656721</v>
      </c>
      <c r="I20" s="65">
        <f>AVERAGE(I13:I18)</f>
        <v>1.0316715728723456</v>
      </c>
      <c r="J20" s="65">
        <f>AVERAGE(J13:J18)</f>
        <v>0.83705283988239676</v>
      </c>
    </row>
    <row r="21" spans="2:10" ht="14.4" customHeight="1" x14ac:dyDescent="0.3">
      <c r="E21" s="9" t="s">
        <v>72</v>
      </c>
      <c r="F21" s="66">
        <f>MEDIAN(F13:F18)</f>
        <v>0.25</v>
      </c>
      <c r="G21" s="66">
        <f>MEDIAN(G13:G18)</f>
        <v>0.34265079972063811</v>
      </c>
      <c r="H21" s="66">
        <f>MEDIAN(H13:H18)</f>
        <v>0.22372240006860294</v>
      </c>
      <c r="I21" s="67">
        <f>MEDIAN(I13:I18)</f>
        <v>1.0619276891608358</v>
      </c>
      <c r="J21" s="67">
        <f>MEDIAN(J13:J18)</f>
        <v>0.77461301268618343</v>
      </c>
    </row>
    <row r="24" spans="2:10" ht="14.4" customHeight="1" x14ac:dyDescent="0.3">
      <c r="B24" s="9" t="s">
        <v>73</v>
      </c>
      <c r="C24" s="68"/>
      <c r="G24" s="132" t="s">
        <v>77</v>
      </c>
      <c r="H24" s="128"/>
      <c r="I24" s="128"/>
      <c r="J24" s="128"/>
    </row>
    <row r="25" spans="2:10" ht="7.05" customHeight="1" x14ac:dyDescent="0.3"/>
    <row r="26" spans="2:10" ht="14.4" customHeight="1" x14ac:dyDescent="0.3">
      <c r="B26" s="53" t="s">
        <v>74</v>
      </c>
      <c r="C26" s="49">
        <f>-'INCOME STATEMENT'!$G$36/('BALANCE SHEET'!$G$44+'BALANCE SHEET'!$G$56)</f>
        <v>7.1645679548415109E-2</v>
      </c>
      <c r="G26" s="53" t="s">
        <v>78</v>
      </c>
      <c r="J26" s="154">
        <v>6.5000000000000002E-2</v>
      </c>
    </row>
    <row r="27" spans="2:10" ht="14.4" customHeight="1" x14ac:dyDescent="0.3">
      <c r="B27" s="128" t="s">
        <v>75</v>
      </c>
      <c r="C27" s="155">
        <v>0.25</v>
      </c>
      <c r="G27" s="535" t="s">
        <v>79</v>
      </c>
      <c r="H27" s="535"/>
      <c r="J27" s="154">
        <v>5.0200000000000002E-2</v>
      </c>
    </row>
    <row r="28" spans="2:10" ht="14.4" customHeight="1" x14ac:dyDescent="0.3">
      <c r="B28" s="5" t="s">
        <v>76</v>
      </c>
      <c r="C28" s="21">
        <f>C26*(1-C27)</f>
        <v>5.3734259661311332E-2</v>
      </c>
      <c r="G28" s="128" t="s">
        <v>80</v>
      </c>
      <c r="H28" s="128"/>
      <c r="I28" s="128"/>
      <c r="J28" s="131">
        <f>'REGRESSION BETA'!J17</f>
        <v>1.2664132314363377</v>
      </c>
    </row>
    <row r="29" spans="2:10" ht="14.4" customHeight="1" x14ac:dyDescent="0.3">
      <c r="G29" s="5" t="s">
        <v>77</v>
      </c>
      <c r="H29" s="5"/>
      <c r="I29" s="5"/>
      <c r="J29" s="21">
        <f>J26+J27*J28</f>
        <v>0.12857394421810414</v>
      </c>
    </row>
    <row r="30" spans="2:10" ht="7.05" customHeight="1" x14ac:dyDescent="0.3"/>
    <row r="32" spans="2:10" ht="14.4" customHeight="1" x14ac:dyDescent="0.3">
      <c r="B32" s="9" t="s">
        <v>81</v>
      </c>
      <c r="C32" s="68"/>
      <c r="D32" s="68"/>
      <c r="E32" s="68"/>
      <c r="G32" s="9" t="s">
        <v>86</v>
      </c>
      <c r="H32" s="68"/>
      <c r="I32" s="68"/>
      <c r="J32" s="68"/>
    </row>
    <row r="34" spans="2:13" ht="14.4" customHeight="1" x14ac:dyDescent="0.3">
      <c r="D34" s="12" t="s">
        <v>82</v>
      </c>
      <c r="E34" s="12" t="s">
        <v>83</v>
      </c>
      <c r="G34" s="535" t="s">
        <v>87</v>
      </c>
      <c r="H34" s="535"/>
      <c r="J34" s="50">
        <f>J21</f>
        <v>0.77461301268618343</v>
      </c>
    </row>
    <row r="35" spans="2:13" ht="14.4" customHeight="1" x14ac:dyDescent="0.3">
      <c r="B35" s="53" t="s">
        <v>60</v>
      </c>
      <c r="C35" s="3">
        <f>'BALANCE SHEET'!$G$44+'BALANCE SHEET'!$G$56</f>
        <v>23030</v>
      </c>
      <c r="D35" s="49">
        <f>C35/$C$37</f>
        <v>6.2591888501178056E-2</v>
      </c>
      <c r="E35" s="49">
        <f>CHOOSE($J$7,$C$41,$C$42,$C$43)</f>
        <v>2.7259949703292052E-2</v>
      </c>
      <c r="G35" s="535" t="s">
        <v>88</v>
      </c>
      <c r="H35" s="535"/>
      <c r="J35" s="49">
        <f>E39</f>
        <v>2.8023879241917862E-2</v>
      </c>
    </row>
    <row r="36" spans="2:13" ht="14.4" customHeight="1" x14ac:dyDescent="0.3">
      <c r="B36" s="128" t="s">
        <v>84</v>
      </c>
      <c r="C36" s="130">
        <f>'KEY FINANCIAL RATIOS'!$G$19</f>
        <v>344909.05011456151</v>
      </c>
      <c r="D36" s="129">
        <f t="shared" ref="D36:D37" si="6">C36/$C$37</f>
        <v>0.93740811149882197</v>
      </c>
      <c r="E36" s="129">
        <f>E37-E35</f>
        <v>0.97274005029670796</v>
      </c>
      <c r="G36" s="128" t="s">
        <v>75</v>
      </c>
      <c r="H36" s="128"/>
      <c r="I36" s="128"/>
      <c r="J36" s="129">
        <f>C27</f>
        <v>0.25</v>
      </c>
    </row>
    <row r="37" spans="2:13" ht="14.4" customHeight="1" x14ac:dyDescent="0.3">
      <c r="B37" s="53" t="s">
        <v>85</v>
      </c>
      <c r="C37" s="190">
        <f>SUM(C35:C36)</f>
        <v>367939.05011456151</v>
      </c>
      <c r="D37" s="49">
        <f t="shared" si="6"/>
        <v>1</v>
      </c>
      <c r="E37" s="49">
        <f>D37</f>
        <v>1</v>
      </c>
      <c r="G37" s="5" t="s">
        <v>86</v>
      </c>
      <c r="H37" s="5"/>
      <c r="I37" s="5"/>
      <c r="J37" s="14">
        <f>J34*(1+(1-J36)*J35)</f>
        <v>0.79089375883123536</v>
      </c>
    </row>
    <row r="39" spans="2:13" ht="14.4" customHeight="1" x14ac:dyDescent="0.3">
      <c r="B39" s="5" t="s">
        <v>89</v>
      </c>
      <c r="C39" s="5"/>
      <c r="D39" s="21">
        <f>D35/D36</f>
        <v>6.677122560962255E-2</v>
      </c>
      <c r="E39" s="21">
        <f>E35/E36</f>
        <v>2.8023879241917862E-2</v>
      </c>
      <c r="G39" s="536" t="s">
        <v>90</v>
      </c>
      <c r="H39" s="536"/>
      <c r="I39" s="68"/>
      <c r="J39" s="68"/>
    </row>
    <row r="41" spans="2:13" ht="14.4" customHeight="1" x14ac:dyDescent="0.3">
      <c r="B41" s="96" t="s">
        <v>482</v>
      </c>
      <c r="C41" s="73">
        <f>'FINANCE COST SCHEDULE'!$J$43/WACC!$C$37</f>
        <v>3.568525818586487E-2</v>
      </c>
      <c r="I41" s="63" t="s">
        <v>92</v>
      </c>
      <c r="J41" s="63" t="s">
        <v>93</v>
      </c>
      <c r="M41" s="49"/>
    </row>
    <row r="42" spans="2:13" ht="14.4" customHeight="1" x14ac:dyDescent="0.3">
      <c r="B42" s="96" t="s">
        <v>483</v>
      </c>
      <c r="C42" s="73">
        <f>'FINANCE COST SCHEDULE'!$Q$43/WACC!$C$37</f>
        <v>2.7259949703292052E-2</v>
      </c>
      <c r="G42" s="53" t="s">
        <v>91</v>
      </c>
      <c r="I42" s="49">
        <f>C28</f>
        <v>5.3734259661311332E-2</v>
      </c>
      <c r="J42" s="49">
        <f>E35</f>
        <v>2.7259949703292052E-2</v>
      </c>
    </row>
    <row r="43" spans="2:13" ht="14.4" customHeight="1" x14ac:dyDescent="0.3">
      <c r="B43" s="96" t="s">
        <v>484</v>
      </c>
      <c r="C43" s="73">
        <f>'FINANCE COST SCHEDULE'!$X$43/WACC!$C$37</f>
        <v>2.1824266811309587E-2</v>
      </c>
      <c r="G43" s="128" t="s">
        <v>62</v>
      </c>
      <c r="H43" s="128"/>
      <c r="I43" s="129">
        <f>J29</f>
        <v>0.12857394421810414</v>
      </c>
      <c r="J43" s="129">
        <f>E36</f>
        <v>0.97274005029670796</v>
      </c>
    </row>
    <row r="44" spans="2:13" ht="14.4" customHeight="1" x14ac:dyDescent="0.3">
      <c r="G44" s="172" t="s">
        <v>94</v>
      </c>
      <c r="H44" s="172"/>
      <c r="I44" s="172"/>
      <c r="J44" s="185">
        <f>SUMPRODUCT(I42:I43,J42:J43)</f>
        <v>0.12653381818127571</v>
      </c>
    </row>
    <row r="46" spans="2:13" ht="14.4" customHeight="1" x14ac:dyDescent="0.3">
      <c r="B46" s="127"/>
      <c r="C46" s="127"/>
      <c r="D46" s="127"/>
      <c r="E46" s="127"/>
      <c r="F46" s="127"/>
      <c r="G46" s="127"/>
      <c r="H46" s="127"/>
      <c r="I46" s="127"/>
      <c r="J46" s="127"/>
    </row>
  </sheetData>
  <mergeCells count="5">
    <mergeCell ref="G34:H34"/>
    <mergeCell ref="G35:H35"/>
    <mergeCell ref="G39:H39"/>
    <mergeCell ref="G27:H27"/>
    <mergeCell ref="H7:I7"/>
  </mergeCells>
  <printOptions horizontalCentered="1" verticalCentered="1"/>
  <pageMargins left="0" right="0" top="0" bottom="0" header="0" footer="0"/>
  <pageSetup paperSize="9" scale="75" orientation="landscape" horizontalDpi="1200" verticalDpi="12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L83"/>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3" customWidth="1"/>
    <col min="2" max="2" width="44.77734375" style="3" customWidth="1"/>
    <col min="3" max="16384" width="16.77734375" style="3"/>
  </cols>
  <sheetData>
    <row r="1" spans="2:7" ht="15.6" x14ac:dyDescent="0.4">
      <c r="B1" s="104" t="s">
        <v>342</v>
      </c>
      <c r="C1" s="105"/>
      <c r="D1" s="105"/>
      <c r="E1" s="105"/>
      <c r="F1" s="105"/>
      <c r="G1" s="105"/>
    </row>
    <row r="2" spans="2:7" ht="23.4" x14ac:dyDescent="0.45">
      <c r="B2" s="106" t="s">
        <v>341</v>
      </c>
      <c r="C2" s="105"/>
      <c r="D2" s="105"/>
      <c r="E2" s="105"/>
      <c r="F2" s="105"/>
      <c r="G2" s="105"/>
    </row>
    <row r="3" spans="2:7" x14ac:dyDescent="0.3">
      <c r="B3" s="105" t="s">
        <v>343</v>
      </c>
      <c r="C3" s="105"/>
      <c r="D3" s="105"/>
      <c r="E3" s="105"/>
      <c r="F3" s="105"/>
      <c r="G3" s="105"/>
    </row>
    <row r="5" spans="2:7" x14ac:dyDescent="0.3">
      <c r="B5" s="107" t="s">
        <v>2677</v>
      </c>
      <c r="C5" s="107"/>
      <c r="D5" s="107"/>
      <c r="E5" s="107"/>
      <c r="F5" s="107"/>
      <c r="G5" s="107"/>
    </row>
    <row r="7" spans="2:7" x14ac:dyDescent="0.3">
      <c r="B7" s="107" t="s">
        <v>1</v>
      </c>
      <c r="C7" s="110">
        <v>44440</v>
      </c>
      <c r="D7" s="110">
        <f>EDATE(C7,12)</f>
        <v>44805</v>
      </c>
      <c r="E7" s="110">
        <f t="shared" ref="E7:G7" si="0">EDATE(D7,12)</f>
        <v>45170</v>
      </c>
      <c r="F7" s="110">
        <f t="shared" si="0"/>
        <v>45536</v>
      </c>
      <c r="G7" s="110">
        <f t="shared" si="0"/>
        <v>45901</v>
      </c>
    </row>
    <row r="8" spans="2:7" ht="7.05" customHeight="1" x14ac:dyDescent="0.3"/>
    <row r="9" spans="2:7" x14ac:dyDescent="0.3">
      <c r="B9" s="1" t="str">
        <f>'BALANCE SHEET'!$B$11</f>
        <v>Current Assets</v>
      </c>
    </row>
    <row r="10" spans="2:7" ht="7.05" customHeight="1" x14ac:dyDescent="0.3"/>
    <row r="11" spans="2:7" x14ac:dyDescent="0.3">
      <c r="B11" s="56" t="str">
        <f>'BALANCE SHEET'!$B13</f>
        <v>Inventories</v>
      </c>
      <c r="C11" s="3">
        <f>'BALANCE SHEET'!C$13</f>
        <v>4017</v>
      </c>
      <c r="D11" s="3">
        <f>'BALANCE SHEET'!D$13</f>
        <v>5595.58</v>
      </c>
      <c r="E11" s="3">
        <f>'BALANCE SHEET'!E$13</f>
        <v>6611.83</v>
      </c>
      <c r="F11" s="3">
        <f>'BALANCE SHEET'!F$13</f>
        <v>8329</v>
      </c>
      <c r="G11" s="3">
        <f>'BALANCE SHEET'!G$13</f>
        <v>9562</v>
      </c>
    </row>
    <row r="12" spans="2:7" x14ac:dyDescent="0.3">
      <c r="B12" s="56" t="s">
        <v>2481</v>
      </c>
      <c r="C12" s="3">
        <f>'BALANCE SHEET'!C$14</f>
        <v>10893</v>
      </c>
      <c r="D12" s="3">
        <f>'BALANCE SHEET'!D$14</f>
        <v>4963.34</v>
      </c>
      <c r="E12" s="3">
        <f>'BALANCE SHEET'!E$14</f>
        <v>5836.6</v>
      </c>
      <c r="F12" s="3">
        <f>'BALANCE SHEET'!F$14</f>
        <v>5485</v>
      </c>
      <c r="G12" s="3">
        <f>'BALANCE SHEET'!G$14</f>
        <v>2859</v>
      </c>
    </row>
    <row r="13" spans="2:7" x14ac:dyDescent="0.3">
      <c r="B13" s="56" t="s">
        <v>465</v>
      </c>
      <c r="C13" s="3">
        <f>'BALANCE SHEET'!C$15</f>
        <v>1899</v>
      </c>
      <c r="D13" s="3">
        <f>'BALANCE SHEET'!D$15</f>
        <v>1871.95</v>
      </c>
      <c r="E13" s="3">
        <f>'BALANCE SHEET'!E$15</f>
        <v>1433.82</v>
      </c>
      <c r="F13" s="3">
        <f>'BALANCE SHEET'!F$15</f>
        <v>2310</v>
      </c>
      <c r="G13" s="3">
        <f>'BALANCE SHEET'!G$15</f>
        <v>1298</v>
      </c>
    </row>
    <row r="14" spans="2:7" x14ac:dyDescent="0.3">
      <c r="B14" s="56" t="str">
        <f>'BALANCE SHEET'!$B16</f>
        <v>Trade Receivables</v>
      </c>
      <c r="C14" s="3">
        <f>'BALANCE SHEET'!C$16</f>
        <v>2571</v>
      </c>
      <c r="D14" s="3">
        <f>'BALANCE SHEET'!D$16</f>
        <v>3071.61</v>
      </c>
      <c r="E14" s="3">
        <f>'BALANCE SHEET'!E$16</f>
        <v>3867.02</v>
      </c>
      <c r="F14" s="3">
        <f>'BALANCE SHEET'!F$16</f>
        <v>4278</v>
      </c>
      <c r="G14" s="3">
        <f>'BALANCE SHEET'!G$16</f>
        <v>5890</v>
      </c>
    </row>
    <row r="15" spans="2:7" x14ac:dyDescent="0.3">
      <c r="B15" s="56" t="str">
        <f>'BALANCE SHEET'!$B17</f>
        <v>Cash Equivalents</v>
      </c>
      <c r="C15" s="3">
        <f>'BALANCE SHEET'!C$17</f>
        <v>177</v>
      </c>
      <c r="D15" s="3">
        <f>'BALANCE SHEET'!D$17</f>
        <v>120.54</v>
      </c>
      <c r="E15" s="3">
        <f>'BALANCE SHEET'!E$17</f>
        <v>370.37</v>
      </c>
      <c r="F15" s="3">
        <f>'BALANCE SHEET'!F$17</f>
        <v>553</v>
      </c>
      <c r="G15" s="3">
        <f>'BALANCE SHEET'!G$17</f>
        <v>467</v>
      </c>
    </row>
    <row r="16" spans="2:7" x14ac:dyDescent="0.3">
      <c r="B16" s="56" t="str">
        <f>'BALANCE SHEET'!$B18</f>
        <v>Bank Balances other than C&amp;CE</v>
      </c>
      <c r="C16" s="3">
        <f>'BALANCE SHEET'!C$18</f>
        <v>1830</v>
      </c>
      <c r="D16" s="3">
        <f>'BALANCE SHEET'!D$18</f>
        <v>238.64</v>
      </c>
      <c r="E16" s="3">
        <f>'BALANCE SHEET'!E$18</f>
        <v>779.22</v>
      </c>
      <c r="F16" s="3">
        <f>'BALANCE SHEET'!F$18</f>
        <v>229</v>
      </c>
      <c r="G16" s="3">
        <f>'BALANCE SHEET'!G$18</f>
        <v>1206</v>
      </c>
    </row>
    <row r="17" spans="2:7" x14ac:dyDescent="0.3">
      <c r="B17" s="56" t="str">
        <f>'BALANCE SHEET'!$B19</f>
        <v>Loans &amp; Advances</v>
      </c>
      <c r="C17" s="3">
        <f>'BALANCE SHEET'!C$19</f>
        <v>114</v>
      </c>
      <c r="D17" s="3">
        <f>'BALANCE SHEET'!D$19</f>
        <v>6.86</v>
      </c>
      <c r="E17" s="3">
        <f>'BALANCE SHEET'!E$19</f>
        <v>67</v>
      </c>
      <c r="F17" s="3">
        <f>'BALANCE SHEET'!F$19</f>
        <v>9</v>
      </c>
      <c r="G17" s="3">
        <f>'BALANCE SHEET'!G$19</f>
        <v>10</v>
      </c>
    </row>
    <row r="18" spans="2:7" x14ac:dyDescent="0.3">
      <c r="B18" s="56" t="str">
        <f>'BALANCE SHEET'!$B20</f>
        <v>Other Asset Items</v>
      </c>
      <c r="C18" s="3">
        <f>'BALANCE SHEET'!C$20</f>
        <v>1548</v>
      </c>
      <c r="D18" s="3">
        <f>'BALANCE SHEET'!D$20</f>
        <v>1613.94</v>
      </c>
      <c r="E18" s="3">
        <f>'BALANCE SHEET'!E$20</f>
        <v>1818.28</v>
      </c>
      <c r="F18" s="3">
        <f>'BALANCE SHEET'!F$20</f>
        <v>1948</v>
      </c>
      <c r="G18" s="3">
        <f>'BALANCE SHEET'!G$20</f>
        <v>2247</v>
      </c>
    </row>
    <row r="19" spans="2:7" ht="7.05" customHeight="1" x14ac:dyDescent="0.3"/>
    <row r="20" spans="2:7" x14ac:dyDescent="0.3">
      <c r="B20" s="4" t="str">
        <f>'BALANCE SHEET'!B$22</f>
        <v>Total Current Assets</v>
      </c>
      <c r="C20" s="4">
        <f>SUM(C11:C18)</f>
        <v>23049</v>
      </c>
      <c r="D20" s="4">
        <f t="shared" ref="D20:G20" si="1">SUM(D11:D18)</f>
        <v>17482.460000000003</v>
      </c>
      <c r="E20" s="4">
        <f t="shared" si="1"/>
        <v>20784.14</v>
      </c>
      <c r="F20" s="4">
        <f t="shared" si="1"/>
        <v>23141</v>
      </c>
      <c r="G20" s="4">
        <f t="shared" si="1"/>
        <v>23539</v>
      </c>
    </row>
    <row r="21" spans="2:7" ht="7.05" customHeight="1" x14ac:dyDescent="0.3"/>
    <row r="22" spans="2:7" x14ac:dyDescent="0.3">
      <c r="B22" s="1" t="str">
        <f>'BALANCE SHEET'!$B$42</f>
        <v>Current Liabilities</v>
      </c>
    </row>
    <row r="23" spans="2:7" ht="7.05" customHeight="1" x14ac:dyDescent="0.3"/>
    <row r="24" spans="2:7" x14ac:dyDescent="0.3">
      <c r="B24" s="56" t="str">
        <f>'COMMON SIZE STATEMENT'!$B52</f>
        <v>Short Term Borrowings</v>
      </c>
      <c r="C24" s="3">
        <f>'BALANCE SHEET'!C$44</f>
        <v>4235</v>
      </c>
      <c r="D24" s="3">
        <f>'BALANCE SHEET'!D$44</f>
        <v>4899.84</v>
      </c>
      <c r="E24" s="3">
        <f>'BALANCE SHEET'!E$44</f>
        <v>4544.37</v>
      </c>
      <c r="F24" s="3">
        <f>'BALANCE SHEET'!F$44</f>
        <v>4990</v>
      </c>
      <c r="G24" s="3">
        <f>'BALANCE SHEET'!G$44</f>
        <v>7250</v>
      </c>
    </row>
    <row r="25" spans="2:7" x14ac:dyDescent="0.3">
      <c r="B25" s="56" t="str">
        <f>'COMMON SIZE STATEMENT'!$B53</f>
        <v>Short Term Lease Liabilities</v>
      </c>
      <c r="C25" s="3">
        <f>'BALANCE SHEET'!C$45</f>
        <v>0</v>
      </c>
      <c r="D25" s="3">
        <f>'BALANCE SHEET'!D$45</f>
        <v>117.76</v>
      </c>
      <c r="E25" s="3">
        <f>'BALANCE SHEET'!E$45</f>
        <v>146.31</v>
      </c>
      <c r="F25" s="3">
        <f>'BALANCE SHEET'!F$45</f>
        <v>162</v>
      </c>
      <c r="G25" s="3">
        <f>'BALANCE SHEET'!G$45</f>
        <v>202</v>
      </c>
    </row>
    <row r="26" spans="2:7" x14ac:dyDescent="0.3">
      <c r="B26" s="56" t="str">
        <f>'COMMON SIZE STATEMENT'!$B54</f>
        <v>Trade Payables</v>
      </c>
      <c r="C26" s="3">
        <f>'BALANCE SHEET'!C$46</f>
        <v>4629</v>
      </c>
      <c r="D26" s="3">
        <f>'BALANCE SHEET'!D$46</f>
        <v>5862</v>
      </c>
      <c r="E26" s="3">
        <f>'BALANCE SHEET'!E$46</f>
        <v>7208</v>
      </c>
      <c r="F26" s="3">
        <f>'BALANCE SHEET'!F$46</f>
        <v>8478</v>
      </c>
      <c r="G26" s="3">
        <f>'BALANCE SHEET'!G$46</f>
        <v>9326</v>
      </c>
    </row>
    <row r="27" spans="2:7" x14ac:dyDescent="0.3">
      <c r="B27" s="56" t="str">
        <f>'COMMON SIZE STATEMENT'!$B55</f>
        <v>Other Financial Liabilities</v>
      </c>
      <c r="C27" s="3">
        <f>'BALANCE SHEET'!C$47</f>
        <v>5578</v>
      </c>
      <c r="D27" s="3">
        <f>'BALANCE SHEET'!D$47</f>
        <v>3608.55</v>
      </c>
      <c r="E27" s="3">
        <f>'BALANCE SHEET'!E$47</f>
        <v>4783.5600000000004</v>
      </c>
      <c r="F27" s="3">
        <f>'BALANCE SHEET'!F$47</f>
        <v>5326</v>
      </c>
      <c r="G27" s="3">
        <f>'BALANCE SHEET'!G$47</f>
        <v>6552</v>
      </c>
    </row>
    <row r="28" spans="2:7" x14ac:dyDescent="0.3">
      <c r="B28" s="56" t="str">
        <f>'COMMON SIZE STATEMENT'!$B56</f>
        <v>Provisions</v>
      </c>
      <c r="C28" s="3">
        <f>'BALANCE SHEET'!C$48</f>
        <v>521</v>
      </c>
      <c r="D28" s="3">
        <f>'BALANCE SHEET'!D$48</f>
        <v>247.98</v>
      </c>
      <c r="E28" s="3">
        <f>'BALANCE SHEET'!E$48</f>
        <v>204.43</v>
      </c>
      <c r="F28" s="3">
        <f>'BALANCE SHEET'!F$48</f>
        <v>257</v>
      </c>
      <c r="G28" s="3">
        <f>'BALANCE SHEET'!G$48</f>
        <v>350</v>
      </c>
    </row>
    <row r="29" spans="2:7" x14ac:dyDescent="0.3">
      <c r="B29" s="56" t="str">
        <f>'COMMON SIZE STATEMENT'!$B57</f>
        <v>Current Tax Liabilities (Net)</v>
      </c>
      <c r="C29" s="3">
        <f>'BALANCE SHEET'!C$49</f>
        <v>711</v>
      </c>
      <c r="D29" s="3">
        <f>'BALANCE SHEET'!D$49</f>
        <v>527.29</v>
      </c>
      <c r="E29" s="3">
        <f>'BALANCE SHEET'!E$49</f>
        <v>1366.42</v>
      </c>
      <c r="F29" s="3">
        <f>'BALANCE SHEET'!F$49</f>
        <v>1983</v>
      </c>
      <c r="G29" s="3">
        <f>'BALANCE SHEET'!G$49</f>
        <v>1989</v>
      </c>
    </row>
    <row r="30" spans="2:7" x14ac:dyDescent="0.3">
      <c r="B30" s="56" t="str">
        <f>'COMMON SIZE STATEMENT'!$B58</f>
        <v>Other Current Liabilities</v>
      </c>
      <c r="C30" s="3">
        <f>'BALANCE SHEET'!C$50</f>
        <v>4600</v>
      </c>
      <c r="D30" s="3">
        <f>'BALANCE SHEET'!D$50</f>
        <v>4890.9399999999996</v>
      </c>
      <c r="E30" s="3">
        <f>'BALANCE SHEET'!E$50</f>
        <v>5177.3999999999996</v>
      </c>
      <c r="F30" s="3">
        <f>'BALANCE SHEET'!F$50</f>
        <v>5706</v>
      </c>
      <c r="G30" s="3">
        <f>'BALANCE SHEET'!G$50</f>
        <v>6692</v>
      </c>
    </row>
    <row r="31" spans="2:7" ht="7.05" customHeight="1" x14ac:dyDescent="0.3"/>
    <row r="32" spans="2:7" x14ac:dyDescent="0.3">
      <c r="B32" s="4" t="str">
        <f>'BALANCE SHEET'!B$52</f>
        <v>Total Current Liabilities</v>
      </c>
      <c r="C32" s="4">
        <f t="shared" ref="C32:F32" si="2">SUM(C24:C30)</f>
        <v>20274</v>
      </c>
      <c r="D32" s="4">
        <f t="shared" si="2"/>
        <v>20154.36</v>
      </c>
      <c r="E32" s="4">
        <f t="shared" si="2"/>
        <v>23430.490000000005</v>
      </c>
      <c r="F32" s="4">
        <f t="shared" si="2"/>
        <v>26902</v>
      </c>
      <c r="G32" s="4">
        <f t="shared" ref="G32" si="3">SUM(G24:G30)</f>
        <v>32361</v>
      </c>
    </row>
    <row r="34" spans="2:7" x14ac:dyDescent="0.3">
      <c r="B34" s="4" t="s">
        <v>111</v>
      </c>
      <c r="C34" s="4">
        <f t="shared" ref="C34:F34" si="4">C20-C32</f>
        <v>2775</v>
      </c>
      <c r="D34" s="4">
        <f t="shared" si="4"/>
        <v>-2671.8999999999978</v>
      </c>
      <c r="E34" s="4">
        <f t="shared" si="4"/>
        <v>-2646.3500000000058</v>
      </c>
      <c r="F34" s="4">
        <f t="shared" si="4"/>
        <v>-3761</v>
      </c>
      <c r="G34" s="4">
        <f t="shared" ref="G34" si="5">G20-G32</f>
        <v>-8822</v>
      </c>
    </row>
    <row r="35" spans="2:7" ht="7.05" customHeight="1" x14ac:dyDescent="0.3"/>
    <row r="36" spans="2:7" x14ac:dyDescent="0.3">
      <c r="B36" s="1" t="str">
        <f>'BALANCE SHEET'!$B$24</f>
        <v>Non Current Assets</v>
      </c>
    </row>
    <row r="37" spans="2:7" ht="7.05" customHeight="1" x14ac:dyDescent="0.3"/>
    <row r="38" spans="2:7" x14ac:dyDescent="0.3">
      <c r="B38" s="56" t="str">
        <f>'BALANCE SHEET'!B26</f>
        <v>PPE</v>
      </c>
      <c r="C38" s="69">
        <f>'BALANCE SHEET'!C$26</f>
        <v>42291</v>
      </c>
      <c r="D38" s="69">
        <f>'BALANCE SHEET'!D$26</f>
        <v>42592.19</v>
      </c>
      <c r="E38" s="69">
        <f>'BALANCE SHEET'!E$26</f>
        <v>46480.28</v>
      </c>
      <c r="F38" s="69">
        <f>'BALANCE SHEET'!F$26</f>
        <v>50126</v>
      </c>
      <c r="G38" s="69">
        <f>'BALANCE SHEET'!G$26</f>
        <v>76015</v>
      </c>
    </row>
    <row r="39" spans="2:7" x14ac:dyDescent="0.3">
      <c r="B39" s="56" t="str">
        <f>'BALANCE SHEET'!B27</f>
        <v>CWIP</v>
      </c>
      <c r="C39" s="69">
        <f>'BALANCE SHEET'!C$27</f>
        <v>1680</v>
      </c>
      <c r="D39" s="69">
        <f>'BALANCE SHEET'!D$27</f>
        <v>4777.25</v>
      </c>
      <c r="E39" s="69">
        <f>'BALANCE SHEET'!E$27</f>
        <v>4034.91</v>
      </c>
      <c r="F39" s="69">
        <f>'BALANCE SHEET'!F$27</f>
        <v>6782</v>
      </c>
      <c r="G39" s="69">
        <f>'BALANCE SHEET'!G$27</f>
        <v>6188</v>
      </c>
    </row>
    <row r="40" spans="2:7" x14ac:dyDescent="0.3">
      <c r="B40" s="56" t="str">
        <f>'BALANCE SHEET'!B28</f>
        <v>Right of Use Assets</v>
      </c>
      <c r="C40" s="69">
        <f>'BALANCE SHEET'!C$28</f>
        <v>1334</v>
      </c>
      <c r="D40" s="69">
        <f>'BALANCE SHEET'!D$28</f>
        <v>1178.5999999999999</v>
      </c>
      <c r="E40" s="69">
        <f>'BALANCE SHEET'!E$28</f>
        <v>1190.3599999999999</v>
      </c>
      <c r="F40" s="69">
        <f>'BALANCE SHEET'!F$28</f>
        <v>916</v>
      </c>
      <c r="G40" s="69">
        <f>'BALANCE SHEET'!G$28</f>
        <v>835</v>
      </c>
    </row>
    <row r="41" spans="2:7" x14ac:dyDescent="0.3">
      <c r="B41" s="56" t="s">
        <v>2480</v>
      </c>
      <c r="C41" s="69">
        <f>'BALANCE SHEET'!C$29</f>
        <v>6219</v>
      </c>
      <c r="D41" s="69">
        <f>'BALANCE SHEET'!D$29</f>
        <v>6250.21</v>
      </c>
      <c r="E41" s="69">
        <f>'BALANCE SHEET'!E$29</f>
        <v>6329.26</v>
      </c>
      <c r="F41" s="69">
        <f>'BALANCE SHEET'!F$29</f>
        <v>6345</v>
      </c>
      <c r="G41" s="69">
        <f>'BALANCE SHEET'!G$29</f>
        <v>7681</v>
      </c>
    </row>
    <row r="42" spans="2:7" x14ac:dyDescent="0.3">
      <c r="B42" s="56" t="str">
        <f>'BALANCE SHEET'!B30</f>
        <v>Intangiable Assets</v>
      </c>
      <c r="C42" s="69">
        <f>'BALANCE SHEET'!C$30</f>
        <v>5571</v>
      </c>
      <c r="D42" s="69">
        <f>'BALANCE SHEET'!D$30</f>
        <v>6208</v>
      </c>
      <c r="E42" s="69">
        <f>'BALANCE SHEET'!E$30</f>
        <v>6037</v>
      </c>
      <c r="F42" s="69">
        <f>'BALANCE SHEET'!F$30</f>
        <v>5517</v>
      </c>
      <c r="G42" s="69">
        <f>'BALANCE SHEET'!G$30</f>
        <v>10076</v>
      </c>
    </row>
    <row r="43" spans="2:7" x14ac:dyDescent="0.3">
      <c r="B43" s="56" t="str">
        <f>'BALANCE SHEET'!B31</f>
        <v>Investments</v>
      </c>
      <c r="C43" s="69">
        <f>'BALANCE SHEET'!C31</f>
        <v>1255</v>
      </c>
      <c r="D43" s="69">
        <f>'BALANCE SHEET'!D31</f>
        <v>1342.26</v>
      </c>
      <c r="E43" s="69">
        <f>'BALANCE SHEET'!E31</f>
        <v>584.34</v>
      </c>
      <c r="F43" s="69">
        <f>'BALANCE SHEET'!F31</f>
        <v>1795</v>
      </c>
      <c r="G43" s="69">
        <f>'BALANCE SHEET'!G31</f>
        <v>1997</v>
      </c>
    </row>
    <row r="44" spans="2:7" x14ac:dyDescent="0.3">
      <c r="B44" s="56" t="s">
        <v>2482</v>
      </c>
      <c r="C44" s="69">
        <f>'BALANCE SHEET'!C$32</f>
        <v>167</v>
      </c>
      <c r="D44" s="69">
        <f>'BALANCE SHEET'!D$32</f>
        <v>9.59</v>
      </c>
      <c r="E44" s="69">
        <f>'BALANCE SHEET'!E$32</f>
        <v>9.2200000000000006</v>
      </c>
      <c r="F44" s="69">
        <f>'BALANCE SHEET'!F$32</f>
        <v>8</v>
      </c>
      <c r="G44" s="69">
        <f>'BALANCE SHEET'!G$32</f>
        <v>16</v>
      </c>
    </row>
    <row r="45" spans="2:7" x14ac:dyDescent="0.3">
      <c r="B45" s="56" t="str">
        <f>'BALANCE SHEET'!B33</f>
        <v>Financial Assets - Other</v>
      </c>
      <c r="C45" s="69">
        <f>'BALANCE SHEET'!C$33</f>
        <v>1997</v>
      </c>
      <c r="D45" s="69">
        <f>'BALANCE SHEET'!D$33</f>
        <v>1109.98</v>
      </c>
      <c r="E45" s="69">
        <f>'BALANCE SHEET'!E$33</f>
        <v>1881.11</v>
      </c>
      <c r="F45" s="69">
        <f>'BALANCE SHEET'!F$33</f>
        <v>1457</v>
      </c>
      <c r="G45" s="69">
        <f>'BALANCE SHEET'!G$33</f>
        <v>2933</v>
      </c>
    </row>
    <row r="46" spans="2:7" x14ac:dyDescent="0.3">
      <c r="B46" s="56" t="str">
        <f>'BALANCE SHEET'!B34</f>
        <v>Other Fixed Assets</v>
      </c>
      <c r="C46" s="69">
        <f>'BALANCE SHEET'!C$34</f>
        <v>2707</v>
      </c>
      <c r="D46" s="69">
        <f>'BALANCE SHEET'!D$34</f>
        <v>3078.27</v>
      </c>
      <c r="E46" s="69">
        <f>'BALANCE SHEET'!E$34</f>
        <v>3265.49</v>
      </c>
      <c r="F46" s="69">
        <f>'BALANCE SHEET'!F$34</f>
        <v>3264</v>
      </c>
      <c r="G46" s="69">
        <f>'BALANCE SHEET'!G$34</f>
        <v>2991</v>
      </c>
    </row>
    <row r="47" spans="2:7" ht="7.05" customHeight="1" x14ac:dyDescent="0.3">
      <c r="C47" s="16"/>
      <c r="D47" s="16"/>
      <c r="E47" s="16"/>
      <c r="F47" s="16"/>
      <c r="G47" s="16"/>
    </row>
    <row r="48" spans="2:7" x14ac:dyDescent="0.3">
      <c r="B48" s="18" t="str">
        <f>'BALANCE SHEET'!B36</f>
        <v>Total Non Current Assets</v>
      </c>
      <c r="C48" s="17">
        <f t="shared" ref="C48:F48" si="6">SUM(C38:C46)</f>
        <v>63221</v>
      </c>
      <c r="D48" s="17">
        <f t="shared" si="6"/>
        <v>66546.350000000006</v>
      </c>
      <c r="E48" s="17">
        <f t="shared" si="6"/>
        <v>69811.97</v>
      </c>
      <c r="F48" s="17">
        <f t="shared" si="6"/>
        <v>76210</v>
      </c>
      <c r="G48" s="17">
        <f t="shared" ref="G48" si="7">SUM(G38:G46)</f>
        <v>108732</v>
      </c>
    </row>
    <row r="49" spans="2:12" x14ac:dyDescent="0.3">
      <c r="B49" s="2"/>
      <c r="C49" s="379"/>
      <c r="D49" s="379"/>
      <c r="E49" s="379"/>
      <c r="F49" s="379"/>
      <c r="G49" s="379"/>
    </row>
    <row r="50" spans="2:12" x14ac:dyDescent="0.3">
      <c r="B50" s="380" t="s">
        <v>2652</v>
      </c>
      <c r="C50" s="447">
        <v>-11920</v>
      </c>
      <c r="D50" s="447">
        <v>-14514</v>
      </c>
      <c r="E50" s="447">
        <v>-17377</v>
      </c>
      <c r="F50" s="447">
        <v>-20402</v>
      </c>
      <c r="G50" s="447">
        <v>-24066</v>
      </c>
    </row>
    <row r="51" spans="2:12" x14ac:dyDescent="0.3">
      <c r="B51" s="2"/>
      <c r="C51" s="379"/>
      <c r="D51" s="379"/>
      <c r="E51" s="379"/>
      <c r="F51" s="379"/>
      <c r="G51" s="379"/>
    </row>
    <row r="52" spans="2:12" x14ac:dyDescent="0.3">
      <c r="B52" s="336" t="s">
        <v>2653</v>
      </c>
      <c r="C52" s="381">
        <f>SUM(C48,C50)</f>
        <v>51301</v>
      </c>
      <c r="D52" s="381">
        <f t="shared" ref="D52:G52" si="8">SUM(D48,D50)</f>
        <v>52032.350000000006</v>
      </c>
      <c r="E52" s="381">
        <f t="shared" si="8"/>
        <v>52434.97</v>
      </c>
      <c r="F52" s="381">
        <f t="shared" si="8"/>
        <v>55808</v>
      </c>
      <c r="G52" s="381">
        <f t="shared" si="8"/>
        <v>84666</v>
      </c>
    </row>
    <row r="53" spans="2:12" ht="14.4" customHeight="1" x14ac:dyDescent="0.3">
      <c r="B53" s="56"/>
    </row>
    <row r="54" spans="2:12" x14ac:dyDescent="0.3">
      <c r="B54" s="340" t="s">
        <v>112</v>
      </c>
      <c r="C54" s="48">
        <f>C52+C34</f>
        <v>54076</v>
      </c>
      <c r="D54" s="48">
        <f t="shared" ref="D54:G54" si="9">D52+D34</f>
        <v>49360.450000000012</v>
      </c>
      <c r="E54" s="48">
        <f t="shared" si="9"/>
        <v>49788.619999999995</v>
      </c>
      <c r="F54" s="48">
        <f t="shared" si="9"/>
        <v>52047</v>
      </c>
      <c r="G54" s="48">
        <f t="shared" si="9"/>
        <v>75844</v>
      </c>
    </row>
    <row r="55" spans="2:12" x14ac:dyDescent="0.3">
      <c r="B55" s="56" t="s">
        <v>113</v>
      </c>
      <c r="C55" s="3">
        <f>'INCOME STATEMENT'!C$34</f>
        <v>9581</v>
      </c>
      <c r="D55" s="3">
        <f>'INCOME STATEMENT'!D$34</f>
        <v>9307.409999999998</v>
      </c>
      <c r="E55" s="3">
        <f>'INCOME STATEMENT'!E$34</f>
        <v>8234.9400000000023</v>
      </c>
      <c r="F55" s="3">
        <f>'INCOME STATEMENT'!F$34</f>
        <v>10443</v>
      </c>
      <c r="G55" s="3">
        <f>'INCOME STATEMENT'!G$34</f>
        <v>9291</v>
      </c>
    </row>
    <row r="56" spans="2:12" x14ac:dyDescent="0.3">
      <c r="B56" s="333" t="s">
        <v>115</v>
      </c>
      <c r="C56" s="382">
        <v>0.25</v>
      </c>
      <c r="D56" s="382">
        <v>0.25</v>
      </c>
      <c r="E56" s="382">
        <v>0.25</v>
      </c>
      <c r="F56" s="382">
        <v>0.25</v>
      </c>
      <c r="G56" s="382">
        <v>0.25</v>
      </c>
      <c r="H56" s="49"/>
    </row>
    <row r="57" spans="2:12" ht="14.4" customHeight="1" x14ac:dyDescent="0.3">
      <c r="B57" s="56"/>
    </row>
    <row r="58" spans="2:12" x14ac:dyDescent="0.3">
      <c r="B58" s="180" t="s">
        <v>114</v>
      </c>
      <c r="C58" s="181">
        <f>C55*(1-C56)/C54</f>
        <v>0.13288242473555736</v>
      </c>
      <c r="D58" s="181">
        <f t="shared" ref="D58:G58" si="10">D55*(1-D56)/D54</f>
        <v>0.14142005390955709</v>
      </c>
      <c r="E58" s="181">
        <f t="shared" si="10"/>
        <v>0.12404852755509195</v>
      </c>
      <c r="F58" s="181">
        <f t="shared" si="10"/>
        <v>0.15048417776240705</v>
      </c>
      <c r="G58" s="181">
        <f t="shared" si="10"/>
        <v>9.1876087759084443E-2</v>
      </c>
    </row>
    <row r="60" spans="2:12" x14ac:dyDescent="0.3">
      <c r="B60" s="107" t="s">
        <v>116</v>
      </c>
      <c r="C60" s="107"/>
      <c r="D60" s="107"/>
      <c r="E60" s="107"/>
      <c r="F60" s="107"/>
      <c r="G60" s="107"/>
    </row>
    <row r="61" spans="2:12" ht="7.05" customHeight="1" x14ac:dyDescent="0.3"/>
    <row r="62" spans="2:12" x14ac:dyDescent="0.3">
      <c r="B62" s="56" t="s">
        <v>117</v>
      </c>
      <c r="C62" s="3">
        <f>-SUM('CASH FLOW STAEMENT'!C$31,'CASH FLOW STAEMENT'!C$32)</f>
        <v>1723</v>
      </c>
      <c r="D62" s="3">
        <f>-SUM('CASH FLOW STAEMENT'!D$31,'CASH FLOW STAEMENT'!D$32)</f>
        <v>5550.41</v>
      </c>
      <c r="E62" s="3">
        <f>-SUM('CASH FLOW STAEMENT'!E$31,'CASH FLOW STAEMENT'!E$32)</f>
        <v>6105.58</v>
      </c>
      <c r="F62" s="3">
        <f>-SUM('CASH FLOW STAEMENT'!F$31,'CASH FLOW STAEMENT'!F$32)</f>
        <v>8884</v>
      </c>
      <c r="G62" s="3">
        <f>-SUM('CASH FLOW STAEMENT'!G$31,'CASH FLOW STAEMENT'!G$32)</f>
        <v>8951</v>
      </c>
      <c r="H62" s="49"/>
      <c r="I62" s="49"/>
      <c r="J62" s="49"/>
      <c r="K62" s="49"/>
      <c r="L62" s="49"/>
    </row>
    <row r="63" spans="2:12" x14ac:dyDescent="0.3">
      <c r="B63" s="56" t="s">
        <v>118</v>
      </c>
      <c r="C63" s="3">
        <f>'WORKING CAPITAL SCHEDULE'!C$56</f>
        <v>0</v>
      </c>
      <c r="D63" s="3">
        <f>D34-C34</f>
        <v>-5446.8999999999978</v>
      </c>
      <c r="E63" s="3">
        <f>E34-D34</f>
        <v>25.549999999991996</v>
      </c>
      <c r="F63" s="3">
        <f>F34+E34</f>
        <v>-6407.3500000000058</v>
      </c>
      <c r="G63" s="3">
        <f>G34-F34</f>
        <v>-5061</v>
      </c>
    </row>
    <row r="64" spans="2:12" ht="14.4" customHeight="1" x14ac:dyDescent="0.3">
      <c r="B64" s="56" t="s">
        <v>121</v>
      </c>
      <c r="C64" s="3">
        <f>C55*(1-C56)</f>
        <v>7185.75</v>
      </c>
      <c r="D64" s="3">
        <f t="shared" ref="D64:G64" si="11">D55*(1-D56)</f>
        <v>6980.557499999999</v>
      </c>
      <c r="E64" s="3">
        <f t="shared" si="11"/>
        <v>6176.2050000000017</v>
      </c>
      <c r="F64" s="3">
        <f t="shared" si="11"/>
        <v>7832.25</v>
      </c>
      <c r="G64" s="3">
        <f t="shared" si="11"/>
        <v>6968.25</v>
      </c>
    </row>
    <row r="65" spans="2:10" ht="7.05" customHeight="1" x14ac:dyDescent="0.3"/>
    <row r="66" spans="2:10" ht="14.4" customHeight="1" x14ac:dyDescent="0.3">
      <c r="B66" s="4" t="s">
        <v>119</v>
      </c>
      <c r="C66" s="4">
        <v>0</v>
      </c>
      <c r="D66" s="4">
        <f>SUM(D62:D63)</f>
        <v>103.51000000000204</v>
      </c>
      <c r="E66" s="4">
        <f>SUM(E62:E63)</f>
        <v>6131.1299999999919</v>
      </c>
      <c r="F66" s="4">
        <f>SUM(F62:F63)</f>
        <v>2476.6499999999942</v>
      </c>
      <c r="G66" s="4">
        <f>SUM(G62:G63)</f>
        <v>3890</v>
      </c>
    </row>
    <row r="67" spans="2:10" ht="14.4" customHeight="1" x14ac:dyDescent="0.3">
      <c r="B67" s="5"/>
      <c r="C67" s="21"/>
      <c r="D67" s="21"/>
      <c r="E67" s="21"/>
      <c r="F67" s="21"/>
      <c r="G67" s="21"/>
    </row>
    <row r="68" spans="2:10" x14ac:dyDescent="0.3">
      <c r="B68" s="183" t="s">
        <v>120</v>
      </c>
      <c r="C68" s="183">
        <v>0</v>
      </c>
      <c r="D68" s="184">
        <f>D66/D64</f>
        <v>1.4828328539662062E-2</v>
      </c>
      <c r="E68" s="184">
        <f>E66/E64</f>
        <v>0.99270182903578985</v>
      </c>
      <c r="F68" s="184">
        <f>F66/F64</f>
        <v>0.31621181652781694</v>
      </c>
      <c r="G68" s="184">
        <f>G66/G64</f>
        <v>0.55824633157535963</v>
      </c>
      <c r="H68" s="49"/>
      <c r="I68" s="49"/>
      <c r="J68" s="49"/>
    </row>
    <row r="70" spans="2:10" x14ac:dyDescent="0.3">
      <c r="F70" s="22" t="s">
        <v>122</v>
      </c>
      <c r="G70" s="15">
        <f>AVERAGE(D68:G68)</f>
        <v>0.4704970764196571</v>
      </c>
    </row>
    <row r="71" spans="2:10" x14ac:dyDescent="0.3">
      <c r="F71" s="22" t="s">
        <v>123</v>
      </c>
      <c r="G71" s="15">
        <f>MEDIAN(D68:G68)</f>
        <v>0.43722907405158828</v>
      </c>
    </row>
    <row r="73" spans="2:10" x14ac:dyDescent="0.3">
      <c r="B73" s="107" t="s">
        <v>124</v>
      </c>
      <c r="C73" s="107"/>
      <c r="D73" s="107"/>
      <c r="E73" s="107"/>
      <c r="F73" s="107"/>
      <c r="G73" s="107"/>
    </row>
    <row r="74" spans="2:10" ht="7.05" customHeight="1" x14ac:dyDescent="0.3"/>
    <row r="75" spans="2:10" x14ac:dyDescent="0.3">
      <c r="B75" s="56" t="s">
        <v>120</v>
      </c>
      <c r="C75" s="3">
        <v>0</v>
      </c>
      <c r="D75" s="49">
        <f>D68</f>
        <v>1.4828328539662062E-2</v>
      </c>
      <c r="E75" s="49">
        <f t="shared" ref="E75:G75" si="12">E68</f>
        <v>0.99270182903578985</v>
      </c>
      <c r="F75" s="49">
        <f t="shared" si="12"/>
        <v>0.31621181652781694</v>
      </c>
      <c r="G75" s="49">
        <f t="shared" si="12"/>
        <v>0.55824633157535963</v>
      </c>
    </row>
    <row r="76" spans="2:10" x14ac:dyDescent="0.3">
      <c r="B76" s="56" t="s">
        <v>114</v>
      </c>
      <c r="C76" s="49">
        <f>C58</f>
        <v>0.13288242473555736</v>
      </c>
      <c r="D76" s="49">
        <f>D58</f>
        <v>0.14142005390955709</v>
      </c>
      <c r="E76" s="49">
        <f t="shared" ref="E76:G76" si="13">E58</f>
        <v>0.12404852755509195</v>
      </c>
      <c r="F76" s="49">
        <f t="shared" si="13"/>
        <v>0.15048417776240705</v>
      </c>
      <c r="G76" s="49">
        <f t="shared" si="13"/>
        <v>9.1876087759084443E-2</v>
      </c>
    </row>
    <row r="77" spans="2:10" ht="7.05" customHeight="1" x14ac:dyDescent="0.3"/>
    <row r="78" spans="2:10" x14ac:dyDescent="0.3">
      <c r="B78" s="183" t="s">
        <v>125</v>
      </c>
      <c r="C78" s="183">
        <v>0</v>
      </c>
      <c r="D78" s="184">
        <f>D75*D76</f>
        <v>2.0970230214676327E-3</v>
      </c>
      <c r="E78" s="184">
        <f t="shared" ref="E78:G78" si="14">E75*E76</f>
        <v>0.12314320019313636</v>
      </c>
      <c r="F78" s="184">
        <f t="shared" si="14"/>
        <v>4.7584875208945651E-2</v>
      </c>
      <c r="G78" s="184">
        <f t="shared" si="14"/>
        <v>5.1289488951004693E-2</v>
      </c>
    </row>
    <row r="80" spans="2:10" x14ac:dyDescent="0.3">
      <c r="F80" s="22" t="s">
        <v>122</v>
      </c>
      <c r="G80" s="15">
        <f>AVERAGE(D78:G78)</f>
        <v>5.6028646843638584E-2</v>
      </c>
    </row>
    <row r="81" spans="2:7" x14ac:dyDescent="0.3">
      <c r="F81" s="22" t="s">
        <v>123</v>
      </c>
      <c r="G81" s="15">
        <f>MEDIAN(D78:G78)</f>
        <v>4.9437182079975175E-2</v>
      </c>
    </row>
    <row r="83" spans="2:7" x14ac:dyDescent="0.3">
      <c r="B83" s="105"/>
      <c r="C83" s="105"/>
      <c r="D83" s="105"/>
      <c r="E83" s="105"/>
      <c r="F83" s="105"/>
      <c r="G83" s="105"/>
    </row>
  </sheetData>
  <printOptions horizontalCentered="1" verticalCentered="1"/>
  <pageMargins left="0" right="0" top="0" bottom="0" header="0" footer="0"/>
  <pageSetup paperSize="9" scale="51" orientation="landscape" horizontalDpi="1200" verticalDpi="1200" r:id="rId1"/>
  <colBreaks count="1" manualBreakCount="1">
    <brk id="7" max="1048575" man="1"/>
  </colBreaks>
  <ignoredErrors>
    <ignoredError sqref="F63" formula="1"/>
  </ignoredError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M55"/>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3" customWidth="1"/>
    <col min="2" max="2" width="44.77734375" style="3" customWidth="1"/>
    <col min="3" max="16384" width="16.77734375" style="3"/>
  </cols>
  <sheetData>
    <row r="1" spans="2:8" ht="15.6" x14ac:dyDescent="0.4">
      <c r="B1" s="104" t="s">
        <v>342</v>
      </c>
      <c r="C1" s="105"/>
      <c r="D1" s="105"/>
      <c r="E1" s="105"/>
      <c r="F1" s="105"/>
      <c r="G1" s="105"/>
      <c r="H1" s="105"/>
    </row>
    <row r="2" spans="2:8" ht="23.4" x14ac:dyDescent="0.45">
      <c r="B2" s="106" t="s">
        <v>341</v>
      </c>
      <c r="C2" s="105"/>
      <c r="D2" s="105"/>
      <c r="E2" s="105"/>
      <c r="F2" s="105"/>
      <c r="G2" s="105"/>
      <c r="H2" s="105"/>
    </row>
    <row r="3" spans="2:8" x14ac:dyDescent="0.3">
      <c r="B3" s="105" t="s">
        <v>343</v>
      </c>
      <c r="C3" s="105"/>
      <c r="D3" s="105"/>
      <c r="E3" s="105"/>
      <c r="F3" s="105"/>
      <c r="G3" s="105"/>
      <c r="H3" s="105"/>
    </row>
    <row r="5" spans="2:8" x14ac:dyDescent="0.3">
      <c r="B5" s="107" t="s">
        <v>126</v>
      </c>
      <c r="C5" s="107"/>
      <c r="D5" s="107"/>
      <c r="E5" s="107"/>
      <c r="F5" s="537" t="s">
        <v>460</v>
      </c>
      <c r="G5" s="537"/>
      <c r="H5" s="201">
        <v>2</v>
      </c>
    </row>
    <row r="7" spans="2:8" x14ac:dyDescent="0.3">
      <c r="B7" s="107" t="s">
        <v>1</v>
      </c>
      <c r="C7" s="108">
        <v>45901</v>
      </c>
      <c r="D7" s="159">
        <f>EDATE(C7,12)</f>
        <v>46266</v>
      </c>
      <c r="E7" s="159">
        <f t="shared" ref="E7:G7" si="0">EDATE(D7,12)</f>
        <v>46631</v>
      </c>
      <c r="F7" s="159">
        <f t="shared" si="0"/>
        <v>46997</v>
      </c>
      <c r="G7" s="159">
        <f t="shared" si="0"/>
        <v>47362</v>
      </c>
      <c r="H7" s="159">
        <f t="shared" ref="H7" si="1">EDATE(G7,12)</f>
        <v>47727</v>
      </c>
    </row>
    <row r="8" spans="2:8" ht="7.05" customHeight="1" x14ac:dyDescent="0.3"/>
    <row r="9" spans="2:8" x14ac:dyDescent="0.3">
      <c r="B9" s="51" t="s">
        <v>113</v>
      </c>
      <c r="C9" s="164">
        <f>'INTRINSIC GROWTH'!G$55</f>
        <v>9291</v>
      </c>
      <c r="D9" s="51">
        <f>CHOOSE($H$5,'FINANCE COST SCHEDULE'!J$49+'TAX SCHEDULE'!J$34,'TAX SCHEDULE'!Q$34+'FINANCE COST SCHEDULE'!Q$49,'FINANCE COST SCHEDULE'!X$49+'TAX SCHEDULE'!X$34)</f>
        <v>10172.952863999995</v>
      </c>
      <c r="E9" s="51">
        <f>CHOOSE($H$5,'FINANCE COST SCHEDULE'!K$49+'TAX SCHEDULE'!K$34,'TAX SCHEDULE'!R$34+'FINANCE COST SCHEDULE'!R$49,'FINANCE COST SCHEDULE'!Y$49+'TAX SCHEDULE'!Y$34)</f>
        <v>10980.825765120004</v>
      </c>
      <c r="F9" s="51">
        <f>CHOOSE($H$5,'FINANCE COST SCHEDULE'!L$49+'TAX SCHEDULE'!L$34,'TAX SCHEDULE'!S$34+'FINANCE COST SCHEDULE'!S$49,'FINANCE COST SCHEDULE'!Z$49+'TAX SCHEDULE'!Z$34)</f>
        <v>11853.328498329603</v>
      </c>
      <c r="G9" s="51">
        <f>CHOOSE($H$5,'FINANCE COST SCHEDULE'!M$49+'TAX SCHEDULE'!M$34,'TAX SCHEDULE'!T$34+'FINANCE COST SCHEDULE'!T$49,'FINANCE COST SCHEDULE'!AA$49+'TAX SCHEDULE'!AA$34)</f>
        <v>12795.631450195962</v>
      </c>
      <c r="H9" s="51">
        <f>CHOOSE($H$5,'FINANCE COST SCHEDULE'!N$49+'TAX SCHEDULE'!N$34,'TAX SCHEDULE'!U$34+'FINANCE COST SCHEDULE'!U$49,'FINANCE COST SCHEDULE'!AB$49+'TAX SCHEDULE'!AB$34)</f>
        <v>13813.318638211647</v>
      </c>
    </row>
    <row r="10" spans="2:8" ht="7.05" customHeight="1" x14ac:dyDescent="0.3">
      <c r="C10" s="161"/>
    </row>
    <row r="11" spans="2:8" x14ac:dyDescent="0.3">
      <c r="B11" s="51" t="s">
        <v>75</v>
      </c>
      <c r="C11" s="162">
        <f>'INTRINSIC GROWTH'!$G$56</f>
        <v>0.25</v>
      </c>
      <c r="D11" s="66">
        <f>'INTRINSIC GROWTH'!$G$56</f>
        <v>0.25</v>
      </c>
      <c r="E11" s="66">
        <f>'INTRINSIC GROWTH'!$G$56</f>
        <v>0.25</v>
      </c>
      <c r="F11" s="66">
        <f>'INTRINSIC GROWTH'!$G$56</f>
        <v>0.25</v>
      </c>
      <c r="G11" s="66">
        <f>'INTRINSIC GROWTH'!$G$56</f>
        <v>0.25</v>
      </c>
      <c r="H11" s="66">
        <f>'INTRINSIC GROWTH'!$G$56</f>
        <v>0.25</v>
      </c>
    </row>
    <row r="12" spans="2:8" ht="7.05" customHeight="1" x14ac:dyDescent="0.3">
      <c r="C12" s="161"/>
    </row>
    <row r="13" spans="2:8" x14ac:dyDescent="0.3">
      <c r="B13" s="51" t="s">
        <v>121</v>
      </c>
      <c r="C13" s="160">
        <f>C9*(1-C11)</f>
        <v>6968.25</v>
      </c>
      <c r="D13" s="438">
        <f t="shared" ref="D13:H13" si="2">D9*(1-D11)</f>
        <v>7629.7146479999965</v>
      </c>
      <c r="E13" s="437">
        <f t="shared" si="2"/>
        <v>8235.6193238400028</v>
      </c>
      <c r="F13" s="437">
        <f t="shared" si="2"/>
        <v>8889.9963737472026</v>
      </c>
      <c r="G13" s="437">
        <f t="shared" si="2"/>
        <v>9596.7235876469713</v>
      </c>
      <c r="H13" s="437">
        <f t="shared" si="2"/>
        <v>10359.988978658736</v>
      </c>
    </row>
    <row r="14" spans="2:8" ht="7.05" customHeight="1" x14ac:dyDescent="0.3">
      <c r="C14" s="161"/>
    </row>
    <row r="15" spans="2:8" x14ac:dyDescent="0.3">
      <c r="B15" s="51" t="s">
        <v>127</v>
      </c>
      <c r="C15" s="162">
        <f>'INTRINSIC GROWTH'!$G$71</f>
        <v>0.43722907405158828</v>
      </c>
      <c r="D15" s="443">
        <f>'INTRINSIC GROWTH'!$G$71</f>
        <v>0.43722907405158828</v>
      </c>
      <c r="E15" s="444">
        <f>'INTRINSIC GROWTH'!$G$71</f>
        <v>0.43722907405158828</v>
      </c>
      <c r="F15" s="444">
        <f>'INTRINSIC GROWTH'!$G$71</f>
        <v>0.43722907405158828</v>
      </c>
      <c r="G15" s="444">
        <f>'INTRINSIC GROWTH'!$G$71</f>
        <v>0.43722907405158828</v>
      </c>
      <c r="H15" s="444">
        <f>'INTRINSIC GROWTH'!$G$71</f>
        <v>0.43722907405158828</v>
      </c>
    </row>
    <row r="16" spans="2:8" ht="7.05" customHeight="1" x14ac:dyDescent="0.3">
      <c r="C16" s="161"/>
    </row>
    <row r="17" spans="2:8" x14ac:dyDescent="0.3">
      <c r="B17" s="51" t="s">
        <v>128</v>
      </c>
      <c r="C17" s="160">
        <f>C13*(1-C15)</f>
        <v>3921.5285047400198</v>
      </c>
      <c r="D17" s="51">
        <f t="shared" ref="D17:G17" si="3">D13*(1-D15)</f>
        <v>4293.7815771771184</v>
      </c>
      <c r="E17" s="51">
        <f t="shared" si="3"/>
        <v>4634.767112636071</v>
      </c>
      <c r="F17" s="51">
        <f t="shared" si="3"/>
        <v>5003.0314909317358</v>
      </c>
      <c r="G17" s="51">
        <f t="shared" si="3"/>
        <v>5400.7570194910495</v>
      </c>
      <c r="H17" s="51">
        <f t="shared" ref="H17" si="4">H13*(1-H15)</f>
        <v>5830.3005903351168</v>
      </c>
    </row>
    <row r="18" spans="2:8" ht="7.05" customHeight="1" x14ac:dyDescent="0.3">
      <c r="C18" s="161"/>
    </row>
    <row r="19" spans="2:8" x14ac:dyDescent="0.3">
      <c r="B19" s="51" t="s">
        <v>129</v>
      </c>
      <c r="C19" s="160">
        <v>0</v>
      </c>
      <c r="D19" s="71">
        <v>0.5</v>
      </c>
      <c r="E19" s="71">
        <f>D19+1</f>
        <v>1.5</v>
      </c>
      <c r="F19" s="71">
        <f t="shared" ref="F19:G19" si="5">E19+1</f>
        <v>2.5</v>
      </c>
      <c r="G19" s="71">
        <f t="shared" si="5"/>
        <v>3.5</v>
      </c>
      <c r="H19" s="71">
        <f t="shared" ref="H19" si="6">G19+1</f>
        <v>4.5</v>
      </c>
    </row>
    <row r="20" spans="2:8" ht="7.05" customHeight="1" x14ac:dyDescent="0.3">
      <c r="C20" s="161"/>
    </row>
    <row r="21" spans="2:8" x14ac:dyDescent="0.3">
      <c r="B21" s="51" t="s">
        <v>130</v>
      </c>
      <c r="C21" s="160">
        <v>0</v>
      </c>
      <c r="D21" s="72">
        <f>1/(1+$C$28)^D19</f>
        <v>0.94218113006280635</v>
      </c>
      <c r="E21" s="72">
        <f t="shared" ref="E21:G21" si="7">1/(1+$C$28)^E19</f>
        <v>0.83637916561278869</v>
      </c>
      <c r="F21" s="72">
        <f t="shared" si="7"/>
        <v>0.74245820294077991</v>
      </c>
      <c r="G21" s="72">
        <f t="shared" si="7"/>
        <v>0.65908406830073663</v>
      </c>
      <c r="H21" s="72">
        <f t="shared" ref="H21" si="8">1/(1+$C$28)^H19</f>
        <v>0.5850724086113952</v>
      </c>
    </row>
    <row r="22" spans="2:8" ht="10.050000000000001" customHeight="1" x14ac:dyDescent="0.3">
      <c r="C22" s="163"/>
      <c r="D22" s="165"/>
      <c r="E22" s="165"/>
      <c r="F22" s="165"/>
      <c r="G22" s="165"/>
      <c r="H22" s="165"/>
    </row>
    <row r="23" spans="2:8" ht="10.050000000000001" customHeight="1" x14ac:dyDescent="0.3">
      <c r="C23" s="51"/>
    </row>
    <row r="24" spans="2:8" x14ac:dyDescent="0.3">
      <c r="B24" s="183" t="s">
        <v>131</v>
      </c>
      <c r="C24" s="182">
        <v>0</v>
      </c>
      <c r="D24" s="183">
        <f>D17*D21</f>
        <v>4045.5199786275962</v>
      </c>
      <c r="E24" s="183">
        <f t="shared" ref="E24:G24" si="9">E17*E21</f>
        <v>3876.4226504761509</v>
      </c>
      <c r="F24" s="183">
        <f t="shared" si="9"/>
        <v>3714.5417700133075</v>
      </c>
      <c r="G24" s="183">
        <f t="shared" si="9"/>
        <v>3559.5529083099218</v>
      </c>
      <c r="H24" s="183">
        <f t="shared" ref="H24" si="10">H17*H21</f>
        <v>3411.1480093158061</v>
      </c>
    </row>
    <row r="26" spans="2:8" x14ac:dyDescent="0.3">
      <c r="B26" s="70" t="s">
        <v>132</v>
      </c>
      <c r="C26" s="73">
        <f>'INTRINSIC GROWTH'!$G$81</f>
        <v>4.9437182079975175E-2</v>
      </c>
      <c r="E26" s="539" t="s">
        <v>466</v>
      </c>
      <c r="F26" s="539"/>
      <c r="G26" s="539"/>
      <c r="H26" s="105"/>
    </row>
    <row r="27" spans="2:8" x14ac:dyDescent="0.3">
      <c r="B27" s="70" t="s">
        <v>133</v>
      </c>
      <c r="C27" s="166">
        <v>5.3800000000000001E-2</v>
      </c>
    </row>
    <row r="28" spans="2:8" x14ac:dyDescent="0.3">
      <c r="B28" s="70" t="s">
        <v>94</v>
      </c>
      <c r="C28" s="73">
        <f>CHOOSE($H$5,'DATA VALUATION &amp; OTHERS'!$C$32,'DATA VALUATION &amp; OTHERS'!$C$35,'DATA VALUATION &amp; OTHERS'!$C$38)</f>
        <v>0.1265</v>
      </c>
      <c r="E28" s="227">
        <f>$C$50</f>
        <v>1509.7108561332661</v>
      </c>
      <c r="F28" s="229">
        <v>0.11</v>
      </c>
      <c r="G28" s="229">
        <v>0.1265</v>
      </c>
      <c r="H28" s="229">
        <v>0.14000000000000001</v>
      </c>
    </row>
    <row r="29" spans="2:8" x14ac:dyDescent="0.3">
      <c r="E29" s="24">
        <v>0.03</v>
      </c>
      <c r="F29" s="3">
        <f t="dataTable" ref="F29:H33" dt2D="1" dtr="1" r1="C28" r2="C34"/>
        <v>1484.9743077134751</v>
      </c>
      <c r="G29" s="3">
        <v>1104.8418710430558</v>
      </c>
      <c r="H29" s="3">
        <v>878.92739985024355</v>
      </c>
    </row>
    <row r="30" spans="2:8" x14ac:dyDescent="0.3">
      <c r="B30" s="107" t="s">
        <v>147</v>
      </c>
      <c r="C30" s="105"/>
      <c r="E30" s="24">
        <v>0.04</v>
      </c>
      <c r="F30" s="3">
        <v>1712.7189803733033</v>
      </c>
      <c r="G30" s="3">
        <v>1247.8154719371066</v>
      </c>
      <c r="H30" s="3">
        <v>981.75865628865085</v>
      </c>
    </row>
    <row r="31" spans="2:8" ht="14.4" customHeight="1" x14ac:dyDescent="0.3">
      <c r="E31" s="231">
        <v>5.3800000000000001E-2</v>
      </c>
      <c r="F31" s="233">
        <v>2160.1035330716145</v>
      </c>
      <c r="G31" s="233">
        <v>1509.7108561332661</v>
      </c>
      <c r="H31" s="233">
        <v>1162.8466461651039</v>
      </c>
    </row>
    <row r="32" spans="2:8" x14ac:dyDescent="0.3">
      <c r="B32" s="48" t="s">
        <v>134</v>
      </c>
      <c r="C32" s="48">
        <f>H17*(1+C26)</f>
        <v>6118.5342222005011</v>
      </c>
      <c r="E32" s="24">
        <v>0.06</v>
      </c>
      <c r="F32" s="3">
        <v>2441.5019328847543</v>
      </c>
      <c r="G32" s="3">
        <v>1662.761411373976</v>
      </c>
      <c r="H32" s="3">
        <v>1264.5446114942711</v>
      </c>
    </row>
    <row r="33" spans="2:13" x14ac:dyDescent="0.3">
      <c r="B33" s="3" t="s">
        <v>94</v>
      </c>
      <c r="C33" s="49">
        <f>$C$28</f>
        <v>0.1265</v>
      </c>
      <c r="E33" s="228">
        <v>7.0000000000000007E-2</v>
      </c>
      <c r="F33" s="51">
        <v>3079.1870163322751</v>
      </c>
      <c r="G33" s="51">
        <v>1980.3970198809607</v>
      </c>
      <c r="H33" s="51">
        <v>1466.5345794982857</v>
      </c>
    </row>
    <row r="34" spans="2:13" x14ac:dyDescent="0.3">
      <c r="B34" s="51" t="s">
        <v>135</v>
      </c>
      <c r="C34" s="66">
        <f>$C$27</f>
        <v>5.3800000000000001E-2</v>
      </c>
    </row>
    <row r="35" spans="2:13" ht="14.4" customHeight="1" x14ac:dyDescent="0.3">
      <c r="E35" s="539" t="s">
        <v>477</v>
      </c>
      <c r="F35" s="539"/>
      <c r="G35" s="539"/>
      <c r="H35" s="105"/>
    </row>
    <row r="36" spans="2:13" x14ac:dyDescent="0.3">
      <c r="B36" s="4" t="s">
        <v>136</v>
      </c>
      <c r="C36" s="4">
        <f>C32/(C33-C34)</f>
        <v>84161.40608253784</v>
      </c>
    </row>
    <row r="37" spans="2:13" x14ac:dyDescent="0.3">
      <c r="E37" s="236">
        <f>$C$42</f>
        <v>67847.701885574934</v>
      </c>
      <c r="F37" s="229">
        <v>0.11</v>
      </c>
      <c r="G37" s="229">
        <v>0.1265</v>
      </c>
      <c r="H37" s="229">
        <v>0.14000000000000001</v>
      </c>
    </row>
    <row r="38" spans="2:13" x14ac:dyDescent="0.3">
      <c r="B38" s="107" t="s">
        <v>146</v>
      </c>
      <c r="C38" s="105"/>
      <c r="E38" s="24">
        <v>0.03</v>
      </c>
      <c r="F38" s="47">
        <f t="dataTable" ref="F38:H42" dt2D="1" dtr="1" r1="C33" r2="C34" ca="1"/>
        <v>63354.504748668995</v>
      </c>
      <c r="G38" s="47">
        <v>55703.408679997672</v>
      </c>
      <c r="H38" s="47">
        <v>51150.690358143656</v>
      </c>
    </row>
    <row r="39" spans="2:13" ht="14.4" customHeight="1" x14ac:dyDescent="0.3">
      <c r="E39" s="24">
        <v>0.04</v>
      </c>
      <c r="F39" s="47">
        <v>69746.978953229875</v>
      </c>
      <c r="G39" s="47">
        <v>59991.989415634074</v>
      </c>
      <c r="H39" s="47">
        <v>54405.040862283749</v>
      </c>
    </row>
    <row r="40" spans="2:13" x14ac:dyDescent="0.3">
      <c r="B40" s="3" t="s">
        <v>131</v>
      </c>
      <c r="C40" s="3">
        <f>SUM(D24:H24)</f>
        <v>18607.185316742783</v>
      </c>
      <c r="E40" s="231">
        <v>5.3800000000000001E-2</v>
      </c>
      <c r="F40" s="234">
        <v>82304.437177135958</v>
      </c>
      <c r="G40" s="234">
        <v>67847.701885574934</v>
      </c>
      <c r="H40" s="234">
        <v>60136.020056349473</v>
      </c>
      <c r="I40" s="230"/>
      <c r="J40" s="2"/>
      <c r="K40" s="21"/>
      <c r="L40" s="21"/>
      <c r="M40" s="21"/>
    </row>
    <row r="41" spans="2:13" x14ac:dyDescent="0.3">
      <c r="B41" s="3" t="s">
        <v>137</v>
      </c>
      <c r="C41" s="3">
        <f>C36*H21</f>
        <v>49240.516568832143</v>
      </c>
      <c r="E41" s="24">
        <v>0.06</v>
      </c>
      <c r="F41" s="47">
        <v>90202.896407824708</v>
      </c>
      <c r="G41" s="47">
        <v>72438.547039360768</v>
      </c>
      <c r="H41" s="47">
        <v>63354.504748668987</v>
      </c>
      <c r="I41" s="47"/>
      <c r="J41" s="24"/>
    </row>
    <row r="42" spans="2:13" x14ac:dyDescent="0.3">
      <c r="B42" s="4" t="s">
        <v>138</v>
      </c>
      <c r="C42" s="4">
        <f>SUM(C40:C41)</f>
        <v>67847.701885574934</v>
      </c>
      <c r="E42" s="228">
        <v>7.0000000000000007E-2</v>
      </c>
      <c r="F42" s="235">
        <v>108101.82418059523</v>
      </c>
      <c r="G42" s="235">
        <v>81966.221680532108</v>
      </c>
      <c r="H42" s="235">
        <v>69746.978953229875</v>
      </c>
      <c r="I42" s="47"/>
      <c r="J42" s="24"/>
    </row>
    <row r="43" spans="2:13" ht="14.4" customHeight="1" x14ac:dyDescent="0.3">
      <c r="I43" s="47"/>
      <c r="J43" s="24"/>
    </row>
    <row r="44" spans="2:13" x14ac:dyDescent="0.3">
      <c r="B44" s="70" t="s">
        <v>139</v>
      </c>
      <c r="C44" s="70">
        <f>'BALANCE SHEET'!$G$17</f>
        <v>467</v>
      </c>
      <c r="E44" s="539" t="s">
        <v>478</v>
      </c>
      <c r="F44" s="539"/>
      <c r="G44" s="539"/>
      <c r="H44" s="105"/>
      <c r="I44" s="47"/>
      <c r="J44" s="24"/>
    </row>
    <row r="45" spans="2:13" x14ac:dyDescent="0.3">
      <c r="B45" s="70" t="s">
        <v>140</v>
      </c>
      <c r="C45" s="70">
        <f>WACC!$C$35</f>
        <v>23030</v>
      </c>
      <c r="I45" s="47"/>
      <c r="J45" s="24"/>
    </row>
    <row r="46" spans="2:13" ht="14.4" customHeight="1" x14ac:dyDescent="0.3">
      <c r="E46" s="237">
        <f>$C$36</f>
        <v>84161.40608253784</v>
      </c>
      <c r="F46" s="229">
        <v>0.11</v>
      </c>
      <c r="G46" s="229">
        <v>0.1265</v>
      </c>
      <c r="H46" s="229">
        <v>0.14000000000000001</v>
      </c>
    </row>
    <row r="47" spans="2:13" x14ac:dyDescent="0.3">
      <c r="B47" s="4" t="s">
        <v>141</v>
      </c>
      <c r="C47" s="4">
        <f>C42+C44-C45</f>
        <v>45284.701885574934</v>
      </c>
      <c r="E47" s="24">
        <v>0.03</v>
      </c>
      <c r="F47" s="3">
        <f t="dataTable" ref="F47:H51" dt2D="1" dtr="1" r1="C33" r2="C34" ca="1"/>
        <v>76481.677777506266</v>
      </c>
      <c r="G47" s="3">
        <v>63404.49971192229</v>
      </c>
      <c r="H47" s="3">
        <v>55623.038383640909</v>
      </c>
    </row>
    <row r="48" spans="2:13" ht="14.4" customHeight="1" x14ac:dyDescent="0.3">
      <c r="E48" s="24">
        <v>0.04</v>
      </c>
      <c r="F48" s="3">
        <v>87407.631745721432</v>
      </c>
      <c r="G48" s="3">
        <v>70734.499678618507</v>
      </c>
      <c r="H48" s="3">
        <v>61185.342222005005</v>
      </c>
    </row>
    <row r="49" spans="2:8" x14ac:dyDescent="0.3">
      <c r="B49" s="48" t="s">
        <v>142</v>
      </c>
      <c r="C49" s="48">
        <f>'INCOME STATEMENT'!$G$44</f>
        <v>29.99561253839029</v>
      </c>
      <c r="E49" s="231">
        <v>5.3800000000000001E-2</v>
      </c>
      <c r="F49" s="233">
        <v>108870.71569751781</v>
      </c>
      <c r="G49" s="233">
        <v>84161.40608253784</v>
      </c>
      <c r="H49" s="233">
        <v>70980.675431560332</v>
      </c>
    </row>
    <row r="50" spans="2:8" x14ac:dyDescent="0.3">
      <c r="B50" s="20" t="s">
        <v>143</v>
      </c>
      <c r="C50" s="23">
        <f>C47/C49</f>
        <v>1509.7108561332661</v>
      </c>
      <c r="E50" s="24">
        <v>0.06</v>
      </c>
      <c r="F50" s="3">
        <v>122370.68444401001</v>
      </c>
      <c r="G50" s="3">
        <v>92008.033416548889</v>
      </c>
      <c r="H50" s="3">
        <v>76481.677777506251</v>
      </c>
    </row>
    <row r="51" spans="2:8" ht="14.4" customHeight="1" x14ac:dyDescent="0.3">
      <c r="E51" s="228">
        <v>7.0000000000000007E-2</v>
      </c>
      <c r="F51" s="51">
        <v>152963.35555501256</v>
      </c>
      <c r="G51" s="51">
        <v>108292.64110089383</v>
      </c>
      <c r="H51" s="51">
        <v>87407.631745721432</v>
      </c>
    </row>
    <row r="52" spans="2:8" x14ac:dyDescent="0.3">
      <c r="B52" s="13" t="s">
        <v>144</v>
      </c>
      <c r="C52" s="167">
        <v>11499</v>
      </c>
    </row>
    <row r="53" spans="2:8" x14ac:dyDescent="0.3">
      <c r="B53" s="225" t="s">
        <v>145</v>
      </c>
      <c r="C53" s="226">
        <f>C52/C50</f>
        <v>7.6166902776679466</v>
      </c>
      <c r="E53" s="538" t="s">
        <v>479</v>
      </c>
      <c r="F53" s="538"/>
      <c r="G53" s="538"/>
      <c r="H53" s="538"/>
    </row>
    <row r="55" spans="2:8" x14ac:dyDescent="0.3">
      <c r="B55" s="105"/>
      <c r="C55" s="105"/>
      <c r="D55" s="105"/>
      <c r="E55" s="105"/>
      <c r="F55" s="105"/>
      <c r="G55" s="105"/>
      <c r="H55" s="105"/>
    </row>
  </sheetData>
  <mergeCells count="5">
    <mergeCell ref="E53:H53"/>
    <mergeCell ref="E26:G26"/>
    <mergeCell ref="E44:G44"/>
    <mergeCell ref="E35:G35"/>
    <mergeCell ref="F5:G5"/>
  </mergeCells>
  <printOptions horizontalCentered="1" verticalCentered="1"/>
  <pageMargins left="0" right="0" top="0" bottom="0" header="0" footer="0"/>
  <pageSetup paperSize="9" scale="77" orientation="landscape" horizontalDpi="1200" verticalDpi="12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P59"/>
  <sheetViews>
    <sheetView zoomScale="70" zoomScaleNormal="70" workbookViewId="0">
      <pane xSplit="2" ySplit="5" topLeftCell="C6" activePane="bottomRight" state="frozen"/>
      <selection pane="topRight" activeCell="C1" sqref="C1"/>
      <selection pane="bottomLeft" activeCell="A6" sqref="A6"/>
      <selection pane="bottomRight"/>
    </sheetView>
  </sheetViews>
  <sheetFormatPr defaultColWidth="16.77734375" defaultRowHeight="14.4" x14ac:dyDescent="0.3"/>
  <cols>
    <col min="1" max="1" width="2" style="3" customWidth="1"/>
    <col min="2" max="2" width="44.77734375" style="3" customWidth="1"/>
    <col min="3" max="3" width="22.6640625" style="3" customWidth="1"/>
    <col min="4" max="5" width="16.77734375" style="3"/>
    <col min="6" max="6" width="17.33203125" style="3" customWidth="1"/>
    <col min="7" max="7" width="13.77734375" style="3" customWidth="1"/>
    <col min="8" max="8" width="15.21875" style="3" customWidth="1"/>
    <col min="9" max="9" width="2" style="3" customWidth="1"/>
    <col min="10" max="10" width="16.77734375" style="3"/>
    <col min="11" max="11" width="12.33203125" style="3" customWidth="1"/>
    <col min="12" max="12" width="15.21875" style="3" customWidth="1"/>
    <col min="13" max="13" width="2" style="3" customWidth="1"/>
    <col min="14" max="14" width="16.77734375" style="3"/>
    <col min="15" max="15" width="16.88671875" style="3" customWidth="1"/>
    <col min="16" max="16" width="15.44140625" style="3" customWidth="1"/>
    <col min="17" max="16384" width="16.77734375" style="3"/>
  </cols>
  <sheetData>
    <row r="1" spans="2:16" ht="15.6" x14ac:dyDescent="0.4">
      <c r="B1" s="104" t="s">
        <v>342</v>
      </c>
      <c r="C1" s="105"/>
      <c r="D1" s="105"/>
      <c r="E1" s="105"/>
      <c r="F1" s="105"/>
      <c r="G1" s="105"/>
      <c r="H1" s="105"/>
      <c r="I1" s="105"/>
      <c r="J1" s="105"/>
      <c r="K1" s="105"/>
      <c r="L1" s="105"/>
      <c r="M1" s="105"/>
      <c r="N1" s="105"/>
      <c r="O1" s="105"/>
      <c r="P1" s="105"/>
    </row>
    <row r="2" spans="2:16" ht="23.4" x14ac:dyDescent="0.45">
      <c r="B2" s="106" t="s">
        <v>341</v>
      </c>
      <c r="C2" s="105"/>
      <c r="D2" s="105"/>
      <c r="E2" s="105"/>
      <c r="F2" s="105"/>
      <c r="G2" s="105"/>
      <c r="H2" s="105"/>
      <c r="I2" s="105"/>
      <c r="J2" s="105"/>
      <c r="K2" s="105"/>
      <c r="L2" s="105"/>
      <c r="M2" s="105"/>
      <c r="N2" s="105"/>
      <c r="O2" s="105"/>
      <c r="P2" s="105"/>
    </row>
    <row r="3" spans="2:16" x14ac:dyDescent="0.3">
      <c r="B3" s="105" t="s">
        <v>343</v>
      </c>
      <c r="C3" s="105"/>
      <c r="D3" s="105"/>
      <c r="E3" s="105"/>
      <c r="F3" s="105"/>
      <c r="G3" s="105"/>
      <c r="H3" s="105"/>
      <c r="I3" s="105"/>
      <c r="J3" s="105"/>
      <c r="K3" s="105"/>
      <c r="L3" s="105"/>
      <c r="M3" s="105"/>
      <c r="N3" s="105"/>
      <c r="O3" s="105"/>
      <c r="P3" s="105"/>
    </row>
    <row r="5" spans="2:16" x14ac:dyDescent="0.3">
      <c r="B5" s="107" t="s">
        <v>214</v>
      </c>
      <c r="C5" s="107"/>
      <c r="D5" s="107"/>
      <c r="E5" s="107"/>
      <c r="F5" s="107"/>
      <c r="G5" s="107"/>
      <c r="H5" s="107"/>
      <c r="I5" s="107"/>
      <c r="J5" s="107"/>
      <c r="K5" s="107"/>
      <c r="L5" s="107"/>
      <c r="M5" s="107"/>
      <c r="N5" s="107"/>
      <c r="O5" s="107"/>
      <c r="P5" s="107"/>
    </row>
    <row r="7" spans="2:16" x14ac:dyDescent="0.3">
      <c r="B7" s="75"/>
      <c r="C7" s="76"/>
      <c r="D7" s="540" t="s">
        <v>236</v>
      </c>
      <c r="E7" s="541"/>
      <c r="F7" s="541"/>
      <c r="G7" s="541"/>
      <c r="H7" s="542"/>
      <c r="I7" s="28"/>
      <c r="J7" s="540" t="s">
        <v>241</v>
      </c>
      <c r="K7" s="541"/>
      <c r="L7" s="542"/>
      <c r="M7" s="29"/>
      <c r="N7" s="540" t="s">
        <v>240</v>
      </c>
      <c r="O7" s="541"/>
      <c r="P7" s="542"/>
    </row>
    <row r="8" spans="2:16" ht="14.4" customHeight="1" x14ac:dyDescent="0.3">
      <c r="B8" s="77"/>
      <c r="C8" s="78"/>
      <c r="D8" s="79"/>
      <c r="E8" s="79"/>
      <c r="F8" s="79"/>
      <c r="G8" s="79"/>
      <c r="H8" s="78"/>
      <c r="J8" s="79"/>
      <c r="K8" s="79"/>
      <c r="L8" s="78"/>
      <c r="N8" s="497"/>
      <c r="O8" s="503"/>
      <c r="P8" s="78"/>
    </row>
    <row r="9" spans="2:16" ht="28.8" x14ac:dyDescent="0.3">
      <c r="B9" s="39" t="s">
        <v>242</v>
      </c>
      <c r="C9" s="30" t="s">
        <v>243</v>
      </c>
      <c r="D9" s="31" t="s">
        <v>244</v>
      </c>
      <c r="E9" s="32" t="s">
        <v>234</v>
      </c>
      <c r="F9" s="33" t="s">
        <v>2650</v>
      </c>
      <c r="G9" s="33" t="s">
        <v>235</v>
      </c>
      <c r="H9" s="34" t="s">
        <v>237</v>
      </c>
      <c r="I9" s="1"/>
      <c r="J9" s="33" t="s">
        <v>238</v>
      </c>
      <c r="K9" s="33" t="s">
        <v>7</v>
      </c>
      <c r="L9" s="35" t="s">
        <v>239</v>
      </c>
      <c r="M9" s="36"/>
      <c r="N9" s="498" t="s">
        <v>246</v>
      </c>
      <c r="O9" s="504" t="s">
        <v>229</v>
      </c>
      <c r="P9" s="35" t="s">
        <v>245</v>
      </c>
    </row>
    <row r="10" spans="2:16" ht="7.05" customHeight="1" x14ac:dyDescent="0.3">
      <c r="B10" s="77"/>
      <c r="C10" s="78"/>
      <c r="D10" s="80"/>
      <c r="E10" s="80"/>
      <c r="F10" s="80"/>
      <c r="G10" s="80"/>
      <c r="H10" s="78"/>
      <c r="J10" s="80"/>
      <c r="K10" s="80"/>
      <c r="L10" s="78"/>
      <c r="N10" s="499"/>
      <c r="O10" s="505"/>
      <c r="P10" s="78"/>
    </row>
    <row r="11" spans="2:16" x14ac:dyDescent="0.3">
      <c r="B11" s="363" t="s">
        <v>449</v>
      </c>
      <c r="C11" s="176" t="s">
        <v>493</v>
      </c>
      <c r="D11" s="177">
        <f>'DATA VALUATION &amp; OTHERS'!$C4</f>
        <v>11499</v>
      </c>
      <c r="E11" s="177">
        <f>'INCOME STATEMENT'!$G$44</f>
        <v>29.99561253839029</v>
      </c>
      <c r="F11" s="177">
        <f>$D11*$E11</f>
        <v>344919.54857894994</v>
      </c>
      <c r="G11" s="177">
        <f>'KEY FINANCIAL RATIOS'!$G$39</f>
        <v>23030</v>
      </c>
      <c r="H11" s="177">
        <f>'KEY FINANCIAL RATIOS'!$G$24</f>
        <v>367005.05011456151</v>
      </c>
      <c r="I11" s="1"/>
      <c r="J11" s="177">
        <f>'INCOME STATEMENT'!$G$11</f>
        <v>75955</v>
      </c>
      <c r="K11" s="178">
        <f>'INCOME STATEMENT'!$G$30</f>
        <v>13305</v>
      </c>
      <c r="L11" s="177">
        <f>'INCOME STATEMENT'!$G$42</f>
        <v>6153</v>
      </c>
      <c r="M11" s="1"/>
      <c r="N11" s="500">
        <f>H11/J11</f>
        <v>4.8318747957943717</v>
      </c>
      <c r="O11" s="506">
        <f>H11/K11</f>
        <v>27.583994747430403</v>
      </c>
      <c r="P11" s="179">
        <f>F11/L11</f>
        <v>56.057134500073126</v>
      </c>
    </row>
    <row r="12" spans="2:16" ht="7.05" customHeight="1" x14ac:dyDescent="0.3">
      <c r="B12" s="364"/>
      <c r="C12" s="78"/>
      <c r="D12" s="78"/>
      <c r="E12" s="80"/>
      <c r="F12" s="80"/>
      <c r="G12" s="80"/>
      <c r="H12" s="78"/>
      <c r="J12" s="80"/>
      <c r="K12" s="81"/>
      <c r="L12" s="80"/>
      <c r="N12" s="501"/>
      <c r="O12" s="507"/>
      <c r="P12" s="82"/>
    </row>
    <row r="13" spans="2:16" x14ac:dyDescent="0.3">
      <c r="B13" s="364" t="str">
        <f>WACC!$B13</f>
        <v>Ramco Cements</v>
      </c>
      <c r="C13" s="78" t="s">
        <v>498</v>
      </c>
      <c r="D13" s="80">
        <f>'DATA VALUATION &amp; OTHERS'!$C5</f>
        <v>1025</v>
      </c>
      <c r="E13" s="80">
        <f>'DATA VALUATION &amp; OTHERS'!$D5</f>
        <v>23</v>
      </c>
      <c r="F13" s="374">
        <f t="shared" ref="F13:F18" si="0">$D13*$E13</f>
        <v>23575</v>
      </c>
      <c r="G13" s="80">
        <f>'DATA VALUATION &amp; OTHERS'!$F5</f>
        <v>4699</v>
      </c>
      <c r="H13" s="374">
        <f>'DATA VALUATION &amp; OTHERS'!$H5</f>
        <v>28828</v>
      </c>
      <c r="J13" s="80">
        <f>'DATA VALUATION &amp; OTHERS'!$I5</f>
        <v>8518</v>
      </c>
      <c r="K13" s="81">
        <f>'DATA VALUATION &amp; OTHERS'!$J5</f>
        <v>1234</v>
      </c>
      <c r="L13" s="78">
        <f>'DATA VALUATION &amp; OTHERS'!$K5</f>
        <v>270</v>
      </c>
      <c r="N13" s="501">
        <f t="shared" ref="N13:N18" si="1">H13/J13</f>
        <v>3.3843625264146513</v>
      </c>
      <c r="O13" s="507">
        <f t="shared" ref="O13:O18" si="2">H13/K13</f>
        <v>23.361426256077795</v>
      </c>
      <c r="P13" s="82">
        <f t="shared" ref="P13:P18" si="3">F13/L13</f>
        <v>87.31481481481481</v>
      </c>
    </row>
    <row r="14" spans="2:16" x14ac:dyDescent="0.3">
      <c r="B14" s="364" t="str">
        <f>WACC!$B14</f>
        <v>Ambuja Cements</v>
      </c>
      <c r="C14" s="78" t="s">
        <v>494</v>
      </c>
      <c r="D14" s="80">
        <f>'DATA VALUATION &amp; OTHERS'!$C6</f>
        <v>532</v>
      </c>
      <c r="E14" s="80">
        <f>'DATA VALUATION &amp; OTHERS'!$D6</f>
        <v>245</v>
      </c>
      <c r="F14" s="374">
        <f t="shared" si="0"/>
        <v>130340</v>
      </c>
      <c r="G14" s="80">
        <f>'DATA VALUATION &amp; OTHERS'!$F6</f>
        <v>188</v>
      </c>
      <c r="H14" s="374">
        <f>'DATA VALUATION &amp; OTHERS'!$H6</f>
        <v>128262</v>
      </c>
      <c r="J14" s="80">
        <f>'DATA VALUATION &amp; OTHERS'!$I6</f>
        <v>18066</v>
      </c>
      <c r="K14" s="81">
        <f>'DATA VALUATION &amp; OTHERS'!$J6</f>
        <v>6400</v>
      </c>
      <c r="L14" s="78">
        <f>'DATA VALUATION &amp; OTHERS'!$K6</f>
        <v>3576</v>
      </c>
      <c r="N14" s="501">
        <f t="shared" si="1"/>
        <v>7.0996346728661575</v>
      </c>
      <c r="O14" s="507">
        <f t="shared" si="2"/>
        <v>20.040937499999998</v>
      </c>
      <c r="P14" s="82">
        <f t="shared" si="3"/>
        <v>36.448545861297539</v>
      </c>
    </row>
    <row r="15" spans="2:16" x14ac:dyDescent="0.3">
      <c r="B15" s="364" t="str">
        <f>WACC!$B15</f>
        <v>Shree Cements</v>
      </c>
      <c r="C15" s="78" t="s">
        <v>495</v>
      </c>
      <c r="D15" s="80">
        <f>'DATA VALUATION &amp; OTHERS'!$C7</f>
        <v>25829</v>
      </c>
      <c r="E15" s="80">
        <f>'DATA VALUATION &amp; OTHERS'!$D7</f>
        <v>4</v>
      </c>
      <c r="F15" s="374">
        <f t="shared" si="0"/>
        <v>103316</v>
      </c>
      <c r="G15" s="80">
        <f>'DATA VALUATION &amp; OTHERS'!$F7</f>
        <v>1473</v>
      </c>
      <c r="H15" s="374">
        <f>'DATA VALUATION &amp; OTHERS'!$H7</f>
        <v>95609</v>
      </c>
      <c r="J15" s="80">
        <f>'DATA VALUATION &amp; OTHERS'!$I7</f>
        <v>20146</v>
      </c>
      <c r="K15" s="81">
        <f>'DATA VALUATION &amp; OTHERS'!$J7</f>
        <v>3043</v>
      </c>
      <c r="L15" s="78">
        <f>'DATA VALUATION &amp; OTHERS'!$K7</f>
        <v>2468</v>
      </c>
      <c r="N15" s="501">
        <f t="shared" si="1"/>
        <v>4.7458056189814357</v>
      </c>
      <c r="O15" s="507">
        <f t="shared" si="2"/>
        <v>31.419323036477159</v>
      </c>
      <c r="P15" s="82">
        <f t="shared" si="3"/>
        <v>41.862236628849274</v>
      </c>
    </row>
    <row r="16" spans="2:16" x14ac:dyDescent="0.3">
      <c r="B16" s="364" t="str">
        <f>WACC!$B16</f>
        <v>J K Cements</v>
      </c>
      <c r="C16" s="78" t="s">
        <v>496</v>
      </c>
      <c r="D16" s="80">
        <f>'DATA VALUATION &amp; OTHERS'!$C8</f>
        <v>5518</v>
      </c>
      <c r="E16" s="80">
        <f>'DATA VALUATION &amp; OTHERS'!$D8</f>
        <v>8</v>
      </c>
      <c r="F16" s="374">
        <f t="shared" si="0"/>
        <v>44144</v>
      </c>
      <c r="G16" s="80">
        <f>'DATA VALUATION &amp; OTHERS'!$F8</f>
        <v>5177</v>
      </c>
      <c r="H16" s="374">
        <f>'DATA VALUATION &amp; OTHERS'!$H8</f>
        <v>47635</v>
      </c>
      <c r="J16" s="80">
        <f>'DATA VALUATION &amp; OTHERS'!$I8</f>
        <v>11053</v>
      </c>
      <c r="K16" s="81">
        <f>'DATA VALUATION &amp; OTHERS'!$J8</f>
        <v>1217</v>
      </c>
      <c r="L16" s="78">
        <f>'DATA VALUATION &amp; OTHERS'!$K8</f>
        <v>830</v>
      </c>
      <c r="N16" s="501">
        <f t="shared" si="1"/>
        <v>4.3096896770107662</v>
      </c>
      <c r="O16" s="507">
        <f t="shared" si="2"/>
        <v>39.141331142152836</v>
      </c>
      <c r="P16" s="82">
        <f t="shared" si="3"/>
        <v>53.185542168674701</v>
      </c>
    </row>
    <row r="17" spans="2:16" x14ac:dyDescent="0.3">
      <c r="B17" s="364" t="str">
        <f>WACC!$B17</f>
        <v>ACC</v>
      </c>
      <c r="C17" s="78" t="s">
        <v>439</v>
      </c>
      <c r="D17" s="80">
        <f>'DATA VALUATION &amp; OTHERS'!$C9</f>
        <v>1784</v>
      </c>
      <c r="E17" s="80">
        <f>'DATA VALUATION &amp; OTHERS'!$D9</f>
        <v>18</v>
      </c>
      <c r="F17" s="374">
        <f t="shared" si="0"/>
        <v>32112</v>
      </c>
      <c r="G17" s="80">
        <f>'DATA VALUATION &amp; OTHERS'!$F9</f>
        <v>430</v>
      </c>
      <c r="H17" s="374">
        <f>'DATA VALUATION &amp; OTHERS'!$H9</f>
        <v>33519</v>
      </c>
      <c r="J17" s="80">
        <f>'DATA VALUATION &amp; OTHERS'!$I9</f>
        <v>19959</v>
      </c>
      <c r="K17" s="81">
        <f>'DATA VALUATION &amp; OTHERS'!$J9</f>
        <v>2572</v>
      </c>
      <c r="L17" s="78">
        <f>'DATA VALUATION &amp; OTHERS'!$K9</f>
        <v>2402</v>
      </c>
      <c r="N17" s="501">
        <f t="shared" si="1"/>
        <v>1.6793927551480534</v>
      </c>
      <c r="O17" s="507">
        <f t="shared" si="2"/>
        <v>13.032270606531881</v>
      </c>
      <c r="P17" s="82">
        <f t="shared" si="3"/>
        <v>13.368859283930059</v>
      </c>
    </row>
    <row r="18" spans="2:16" x14ac:dyDescent="0.3">
      <c r="B18" s="364" t="s">
        <v>444</v>
      </c>
      <c r="C18" s="78" t="s">
        <v>497</v>
      </c>
      <c r="D18" s="80">
        <f>'DATA VALUATION &amp; OTHERS'!$C10</f>
        <v>1950</v>
      </c>
      <c r="E18" s="80">
        <f>'DATA VALUATION &amp; OTHERS'!$D10</f>
        <v>18</v>
      </c>
      <c r="F18" s="374">
        <f t="shared" si="0"/>
        <v>35100</v>
      </c>
      <c r="G18" s="80">
        <f>'DATA VALUATION &amp; OTHERS'!$F10</f>
        <v>4805</v>
      </c>
      <c r="H18" s="374">
        <f>'DATA VALUATION &amp; OTHERS'!$H10</f>
        <v>41620</v>
      </c>
      <c r="J18" s="80">
        <f>'DATA VALUATION &amp; OTHERS'!$I10</f>
        <v>13995</v>
      </c>
      <c r="K18" s="81">
        <f>'DATA VALUATION &amp; OTHERS'!$J10</f>
        <v>2639</v>
      </c>
      <c r="L18" s="78">
        <f>'DATA VALUATION &amp; OTHERS'!$K10</f>
        <v>949</v>
      </c>
      <c r="N18" s="501">
        <f t="shared" si="1"/>
        <v>2.9739192568774562</v>
      </c>
      <c r="O18" s="507">
        <f t="shared" si="2"/>
        <v>15.771125426297839</v>
      </c>
      <c r="P18" s="82">
        <f t="shared" si="3"/>
        <v>36.986301369863014</v>
      </c>
    </row>
    <row r="19" spans="2:16" ht="7.05" customHeight="1" x14ac:dyDescent="0.3">
      <c r="B19" s="83"/>
      <c r="C19" s="84"/>
      <c r="D19" s="85"/>
      <c r="E19" s="85"/>
      <c r="F19" s="85"/>
      <c r="G19" s="85"/>
      <c r="H19" s="86"/>
      <c r="J19" s="87"/>
      <c r="K19" s="87"/>
      <c r="L19" s="86"/>
      <c r="N19" s="502"/>
      <c r="O19" s="508"/>
      <c r="P19" s="86"/>
    </row>
    <row r="20" spans="2:16" ht="7.05" customHeight="1" x14ac:dyDescent="0.3"/>
    <row r="21" spans="2:16" x14ac:dyDescent="0.3">
      <c r="B21" s="362" t="s">
        <v>151</v>
      </c>
      <c r="C21" s="70"/>
      <c r="D21" s="70"/>
      <c r="E21" s="70"/>
      <c r="F21" s="70"/>
      <c r="G21" s="70"/>
      <c r="H21" s="70"/>
      <c r="I21" s="70"/>
      <c r="J21" s="70"/>
      <c r="K21" s="70"/>
      <c r="L21" s="70"/>
      <c r="M21" s="70"/>
      <c r="N21" s="88">
        <f>MAX(N11:N18)</f>
        <v>7.0996346728661575</v>
      </c>
      <c r="O21" s="88">
        <f t="shared" ref="O21:P21" si="4">MAX(O11:O18)</f>
        <v>39.141331142152836</v>
      </c>
      <c r="P21" s="88">
        <f t="shared" si="4"/>
        <v>87.31481481481481</v>
      </c>
    </row>
    <row r="22" spans="2:16" ht="16.2" x14ac:dyDescent="0.3">
      <c r="B22" s="362" t="s">
        <v>287</v>
      </c>
      <c r="C22" s="70"/>
      <c r="D22" s="70"/>
      <c r="E22" s="70"/>
      <c r="F22" s="70"/>
      <c r="G22" s="70"/>
      <c r="H22" s="70"/>
      <c r="I22" s="70"/>
      <c r="J22" s="70"/>
      <c r="K22" s="70"/>
      <c r="L22" s="70"/>
      <c r="M22" s="70"/>
      <c r="N22" s="88">
        <f>QUARTILE(N11:N18,3)</f>
        <v>4.7888402073879037</v>
      </c>
      <c r="O22" s="88">
        <f t="shared" ref="O22:P22" si="5">QUARTILE(O11:O18,3)</f>
        <v>29.501658891953781</v>
      </c>
      <c r="P22" s="88">
        <f t="shared" si="5"/>
        <v>54.621338334373917</v>
      </c>
    </row>
    <row r="23" spans="2:16" x14ac:dyDescent="0.3">
      <c r="B23" s="365" t="s">
        <v>71</v>
      </c>
      <c r="C23" s="22"/>
      <c r="D23" s="22"/>
      <c r="E23" s="22"/>
      <c r="F23" s="22"/>
      <c r="G23" s="22"/>
      <c r="H23" s="22"/>
      <c r="I23" s="22"/>
      <c r="J23" s="22"/>
      <c r="K23" s="22"/>
      <c r="L23" s="22"/>
      <c r="M23" s="22"/>
      <c r="N23" s="38">
        <f>AVERAGE(N11:N18)</f>
        <v>4.146382757584699</v>
      </c>
      <c r="O23" s="38">
        <f t="shared" ref="O23:P23" si="6">AVERAGE(O11:O18)</f>
        <v>24.335772673566844</v>
      </c>
      <c r="P23" s="38">
        <f t="shared" si="6"/>
        <v>46.460490661071795</v>
      </c>
    </row>
    <row r="24" spans="2:16" x14ac:dyDescent="0.3">
      <c r="B24" s="365" t="s">
        <v>72</v>
      </c>
      <c r="C24" s="22"/>
      <c r="D24" s="22"/>
      <c r="E24" s="22"/>
      <c r="F24" s="22"/>
      <c r="G24" s="22"/>
      <c r="H24" s="22"/>
      <c r="I24" s="22"/>
      <c r="J24" s="22"/>
      <c r="K24" s="22"/>
      <c r="L24" s="22"/>
      <c r="M24" s="22"/>
      <c r="N24" s="38">
        <f>MEDIAN(N11:N18)</f>
        <v>4.3096896770107662</v>
      </c>
      <c r="O24" s="38">
        <f t="shared" ref="O24:P24" si="7">MEDIAN(O11:O18)</f>
        <v>23.361426256077795</v>
      </c>
      <c r="P24" s="38">
        <f t="shared" si="7"/>
        <v>41.862236628849274</v>
      </c>
    </row>
    <row r="25" spans="2:16" ht="16.2" x14ac:dyDescent="0.3">
      <c r="B25" s="362" t="s">
        <v>288</v>
      </c>
      <c r="C25" s="70"/>
      <c r="D25" s="70"/>
      <c r="E25" s="70"/>
      <c r="F25" s="70"/>
      <c r="G25" s="70"/>
      <c r="H25" s="70"/>
      <c r="I25" s="70"/>
      <c r="J25" s="70"/>
      <c r="K25" s="70"/>
      <c r="L25" s="70"/>
      <c r="M25" s="70"/>
      <c r="N25" s="88">
        <f>QUARTILE(N11:N18,1)</f>
        <v>3.1791408916460537</v>
      </c>
      <c r="O25" s="88">
        <f t="shared" ref="O25:P25" si="8">QUARTILE(O11:O18,1)</f>
        <v>17.906031463148921</v>
      </c>
      <c r="P25" s="88">
        <f t="shared" si="8"/>
        <v>36.717423615580273</v>
      </c>
    </row>
    <row r="26" spans="2:16" x14ac:dyDescent="0.3">
      <c r="B26" s="362" t="s">
        <v>150</v>
      </c>
      <c r="C26" s="70"/>
      <c r="D26" s="70"/>
      <c r="E26" s="70"/>
      <c r="F26" s="70"/>
      <c r="G26" s="70"/>
      <c r="H26" s="70"/>
      <c r="I26" s="70"/>
      <c r="J26" s="70"/>
      <c r="K26" s="70"/>
      <c r="L26" s="70"/>
      <c r="M26" s="70"/>
      <c r="N26" s="88">
        <f>MIN(N11:N18)</f>
        <v>1.6793927551480534</v>
      </c>
      <c r="O26" s="88">
        <f t="shared" ref="O26:P26" si="9">MIN(O11:O18)</f>
        <v>13.032270606531881</v>
      </c>
      <c r="P26" s="88">
        <f t="shared" si="9"/>
        <v>13.368859283930059</v>
      </c>
    </row>
    <row r="27" spans="2:16" ht="7.05" customHeight="1" x14ac:dyDescent="0.3"/>
    <row r="28" spans="2:16" x14ac:dyDescent="0.3">
      <c r="B28" s="4" t="s">
        <v>450</v>
      </c>
      <c r="C28" s="74"/>
      <c r="D28" s="74"/>
      <c r="E28" s="74"/>
      <c r="F28" s="74"/>
      <c r="G28" s="74"/>
      <c r="H28" s="74"/>
      <c r="I28" s="74"/>
      <c r="J28" s="74"/>
      <c r="K28" s="74"/>
      <c r="L28" s="74"/>
      <c r="M28" s="74"/>
      <c r="N28" s="37" t="s">
        <v>246</v>
      </c>
      <c r="O28" s="37" t="s">
        <v>229</v>
      </c>
      <c r="P28" s="37" t="s">
        <v>245</v>
      </c>
    </row>
    <row r="29" spans="2:16" ht="7.05" customHeight="1" x14ac:dyDescent="0.3"/>
    <row r="30" spans="2:16" x14ac:dyDescent="0.3">
      <c r="B30" s="56" t="s">
        <v>252</v>
      </c>
      <c r="N30" s="3">
        <f>N24*J11</f>
        <v>327342.47941735276</v>
      </c>
      <c r="O30" s="3">
        <f>O24*K11</f>
        <v>310823.77633711509</v>
      </c>
      <c r="P30" s="3">
        <f>P24*L11</f>
        <v>257578.34197730958</v>
      </c>
    </row>
    <row r="31" spans="2:16" x14ac:dyDescent="0.3">
      <c r="B31" s="56" t="s">
        <v>253</v>
      </c>
      <c r="N31" s="3">
        <f>$G$11</f>
        <v>23030</v>
      </c>
      <c r="O31" s="3">
        <f t="shared" ref="O31:P31" si="10">$G$11</f>
        <v>23030</v>
      </c>
      <c r="P31" s="3">
        <f t="shared" si="10"/>
        <v>23030</v>
      </c>
    </row>
    <row r="32" spans="2:16" x14ac:dyDescent="0.3">
      <c r="B32" s="56" t="s">
        <v>254</v>
      </c>
      <c r="N32" s="3">
        <f>N30-N31</f>
        <v>304312.47941735276</v>
      </c>
      <c r="O32" s="3">
        <f t="shared" ref="O32:P32" si="11">O30-O31</f>
        <v>287793.77633711509</v>
      </c>
      <c r="P32" s="3">
        <f t="shared" si="11"/>
        <v>234548.34197730958</v>
      </c>
    </row>
    <row r="33" spans="2:16" x14ac:dyDescent="0.3">
      <c r="B33" s="56" t="s">
        <v>248</v>
      </c>
      <c r="N33" s="3">
        <f>$E$11</f>
        <v>29.99561253839029</v>
      </c>
      <c r="O33" s="3">
        <f t="shared" ref="O33:P33" si="12">$E$11</f>
        <v>29.99561253839029</v>
      </c>
      <c r="P33" s="3">
        <f t="shared" si="12"/>
        <v>29.99561253839029</v>
      </c>
    </row>
    <row r="34" spans="2:16" ht="7.05" customHeight="1" x14ac:dyDescent="0.3"/>
    <row r="35" spans="2:16" x14ac:dyDescent="0.3">
      <c r="B35" s="4" t="s">
        <v>255</v>
      </c>
      <c r="C35" s="4"/>
      <c r="D35" s="4"/>
      <c r="E35" s="4"/>
      <c r="F35" s="4"/>
      <c r="G35" s="4"/>
      <c r="H35" s="4"/>
      <c r="I35" s="4"/>
      <c r="J35" s="4"/>
      <c r="K35" s="4"/>
      <c r="L35" s="4"/>
      <c r="M35" s="4"/>
      <c r="N35" s="4">
        <f>N32/N33</f>
        <v>10145.233041261428</v>
      </c>
      <c r="O35" s="4">
        <f t="shared" ref="O35:P35" si="13">O32/O33</f>
        <v>9594.5290655017743</v>
      </c>
      <c r="P35" s="4">
        <f t="shared" si="13"/>
        <v>7819.4216463197645</v>
      </c>
    </row>
    <row r="37" spans="2:16" x14ac:dyDescent="0.3">
      <c r="B37" s="173" t="s">
        <v>256</v>
      </c>
      <c r="C37" s="113"/>
      <c r="D37" s="113"/>
      <c r="E37" s="113"/>
      <c r="F37" s="113"/>
      <c r="G37" s="113"/>
      <c r="H37" s="113"/>
      <c r="I37" s="113"/>
      <c r="J37" s="113"/>
      <c r="K37" s="113"/>
      <c r="L37" s="113"/>
      <c r="M37" s="113"/>
      <c r="N37" s="442" t="str">
        <f>IF(N35&gt;$D$11,"UNDERVALUED","OVERVALUED")</f>
        <v>OVERVALUED</v>
      </c>
      <c r="O37" s="442" t="str">
        <f t="shared" ref="O37:P37" si="14">IF(O35&gt;$D$11,"UNDERVALUED","OVERVALUED")</f>
        <v>OVERVALUED</v>
      </c>
      <c r="P37" s="442" t="str">
        <f t="shared" si="14"/>
        <v>OVERVALUED</v>
      </c>
    </row>
    <row r="39" spans="2:16" x14ac:dyDescent="0.3">
      <c r="B39" s="70"/>
    </row>
    <row r="40" spans="2:16" x14ac:dyDescent="0.3">
      <c r="B40" s="70"/>
    </row>
    <row r="41" spans="2:16" x14ac:dyDescent="0.3">
      <c r="B41" s="70"/>
    </row>
    <row r="42" spans="2:16" x14ac:dyDescent="0.3">
      <c r="B42" s="70"/>
    </row>
    <row r="43" spans="2:16" x14ac:dyDescent="0.3">
      <c r="B43" s="70"/>
    </row>
    <row r="44" spans="2:16" x14ac:dyDescent="0.3">
      <c r="B44" s="70"/>
    </row>
    <row r="45" spans="2:16" x14ac:dyDescent="0.3">
      <c r="B45" s="70"/>
    </row>
    <row r="46" spans="2:16" x14ac:dyDescent="0.3">
      <c r="B46" s="70"/>
    </row>
    <row r="47" spans="2:16" x14ac:dyDescent="0.3">
      <c r="B47" s="70"/>
    </row>
    <row r="48" spans="2:16" x14ac:dyDescent="0.3">
      <c r="B48" s="70"/>
    </row>
    <row r="49" spans="2:16" x14ac:dyDescent="0.3">
      <c r="B49" s="70"/>
    </row>
    <row r="50" spans="2:16" x14ac:dyDescent="0.3">
      <c r="B50" s="70"/>
    </row>
    <row r="51" spans="2:16" x14ac:dyDescent="0.3">
      <c r="B51" s="70"/>
    </row>
    <row r="52" spans="2:16" x14ac:dyDescent="0.3">
      <c r="B52" s="70"/>
    </row>
    <row r="53" spans="2:16" x14ac:dyDescent="0.3">
      <c r="B53" s="70"/>
    </row>
    <row r="54" spans="2:16" x14ac:dyDescent="0.3">
      <c r="B54" s="70"/>
    </row>
    <row r="55" spans="2:16" x14ac:dyDescent="0.3">
      <c r="B55" s="70"/>
    </row>
    <row r="57" spans="2:16" x14ac:dyDescent="0.3">
      <c r="B57" s="105"/>
      <c r="C57" s="105"/>
      <c r="D57" s="105"/>
      <c r="E57" s="105"/>
      <c r="F57" s="105"/>
      <c r="G57" s="105"/>
      <c r="H57" s="105"/>
      <c r="I57" s="105"/>
      <c r="J57" s="105"/>
      <c r="K57" s="105"/>
      <c r="L57" s="105"/>
      <c r="M57" s="105"/>
      <c r="N57" s="105"/>
      <c r="O57" s="105"/>
      <c r="P57" s="105"/>
    </row>
    <row r="59" spans="2:16" x14ac:dyDescent="0.3">
      <c r="B59" s="530" t="s">
        <v>2672</v>
      </c>
      <c r="C59" s="530"/>
      <c r="D59" s="530"/>
      <c r="E59" s="530"/>
      <c r="F59" s="530"/>
      <c r="G59" s="530"/>
      <c r="H59" s="530"/>
      <c r="I59" s="530"/>
      <c r="J59" s="530"/>
      <c r="K59" s="530"/>
      <c r="L59" s="530"/>
      <c r="M59" s="530"/>
      <c r="N59" s="530"/>
      <c r="O59" s="530"/>
      <c r="P59" s="530"/>
    </row>
  </sheetData>
  <mergeCells count="4">
    <mergeCell ref="D7:H7"/>
    <mergeCell ref="J7:L7"/>
    <mergeCell ref="N7:P7"/>
    <mergeCell ref="B59:P59"/>
  </mergeCells>
  <printOptions horizontalCentered="1" verticalCentered="1"/>
  <pageMargins left="0" right="0" top="0" bottom="0" header="0" footer="0"/>
  <pageSetup paperSize="9" scale="59" fitToHeight="11" orientation="landscape" horizontalDpi="1200" verticalDpi="120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showGridLines="0" workbookViewId="0"/>
  </sheetViews>
  <sheetFormatPr defaultRowHeight="14.4" x14ac:dyDescent="0.3"/>
  <cols>
    <col min="1" max="16384" width="8.88671875" style="53"/>
  </cols>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L48"/>
  <sheetViews>
    <sheetView zoomScale="70" zoomScaleNormal="70" workbookViewId="0">
      <pane xSplit="2" ySplit="7" topLeftCell="C8" activePane="bottomRight" state="frozen"/>
      <selection pane="topRight" activeCell="C1" sqref="C1"/>
      <selection pane="bottomLeft" activeCell="A8" sqref="A8"/>
      <selection pane="bottomRight" activeCell="C25" sqref="C25"/>
    </sheetView>
  </sheetViews>
  <sheetFormatPr defaultColWidth="16.77734375" defaultRowHeight="14.4" x14ac:dyDescent="0.3"/>
  <cols>
    <col min="1" max="1" width="2" style="3" customWidth="1"/>
    <col min="2" max="2" width="44.77734375" style="3" customWidth="1"/>
    <col min="3" max="7" width="16.77734375" style="3"/>
    <col min="8" max="9" width="2" style="3" customWidth="1"/>
    <col min="10" max="16384" width="16.77734375" style="3"/>
  </cols>
  <sheetData>
    <row r="1" spans="2:12" ht="15.6" x14ac:dyDescent="0.4">
      <c r="B1" s="104" t="s">
        <v>342</v>
      </c>
      <c r="C1" s="105"/>
      <c r="D1" s="105"/>
      <c r="E1" s="105"/>
      <c r="F1" s="105"/>
      <c r="G1" s="105"/>
      <c r="H1" s="105"/>
      <c r="I1" s="105"/>
      <c r="J1" s="105"/>
      <c r="K1" s="105"/>
      <c r="L1" s="105"/>
    </row>
    <row r="2" spans="2:12" ht="23.4" x14ac:dyDescent="0.45">
      <c r="B2" s="106" t="s">
        <v>341</v>
      </c>
      <c r="C2" s="105"/>
      <c r="D2" s="105"/>
      <c r="E2" s="105"/>
      <c r="F2" s="105"/>
      <c r="G2" s="105"/>
      <c r="H2" s="105"/>
      <c r="I2" s="105"/>
      <c r="J2" s="105"/>
      <c r="K2" s="105"/>
      <c r="L2" s="105"/>
    </row>
    <row r="3" spans="2:12" x14ac:dyDescent="0.3">
      <c r="B3" s="105" t="s">
        <v>343</v>
      </c>
      <c r="C3" s="105"/>
      <c r="D3" s="105"/>
      <c r="E3" s="105"/>
      <c r="F3" s="105"/>
      <c r="G3" s="105"/>
      <c r="H3" s="105"/>
      <c r="I3" s="105"/>
      <c r="J3" s="105"/>
      <c r="K3" s="105"/>
      <c r="L3" s="105"/>
    </row>
    <row r="5" spans="2:12" x14ac:dyDescent="0.3">
      <c r="B5" s="107" t="s">
        <v>153</v>
      </c>
      <c r="C5" s="107"/>
      <c r="D5" s="107"/>
      <c r="E5" s="107"/>
      <c r="F5" s="107"/>
      <c r="G5" s="107"/>
      <c r="H5" s="78"/>
      <c r="I5" s="1"/>
      <c r="J5" s="107"/>
      <c r="K5" s="107"/>
      <c r="L5" s="105"/>
    </row>
    <row r="6" spans="2:12" x14ac:dyDescent="0.3">
      <c r="H6" s="78"/>
    </row>
    <row r="7" spans="2:12" x14ac:dyDescent="0.3">
      <c r="B7" s="107" t="s">
        <v>1</v>
      </c>
      <c r="C7" s="110">
        <v>44440</v>
      </c>
      <c r="D7" s="110">
        <f>EDATE(C7,12)</f>
        <v>44805</v>
      </c>
      <c r="E7" s="110">
        <f t="shared" ref="E7:G7" si="0">EDATE(D7,12)</f>
        <v>45170</v>
      </c>
      <c r="F7" s="110">
        <f t="shared" si="0"/>
        <v>45536</v>
      </c>
      <c r="G7" s="110">
        <f t="shared" si="0"/>
        <v>45901</v>
      </c>
      <c r="H7" s="78"/>
      <c r="J7" s="187" t="s">
        <v>186</v>
      </c>
      <c r="K7" s="109" t="s">
        <v>187</v>
      </c>
      <c r="L7" s="109" t="s">
        <v>188</v>
      </c>
    </row>
    <row r="8" spans="2:12" ht="7.05" customHeight="1" x14ac:dyDescent="0.3">
      <c r="H8" s="78"/>
    </row>
    <row r="9" spans="2:12" x14ac:dyDescent="0.3">
      <c r="B9" s="56" t="s">
        <v>189</v>
      </c>
      <c r="C9" s="3">
        <f>'YoY GROWTH %'!C$9</f>
        <v>0</v>
      </c>
      <c r="D9" s="49">
        <f>'YoY GROWTH %'!D$9</f>
        <v>0.16823159330385629</v>
      </c>
      <c r="E9" s="49">
        <f>'YoY GROWTH %'!E$9</f>
        <v>0.20028418291949945</v>
      </c>
      <c r="F9" s="49">
        <f>'YoY GROWTH %'!F$9</f>
        <v>0.12208293734251208</v>
      </c>
      <c r="G9" s="49">
        <f>'YoY GROWTH %'!G$9</f>
        <v>7.2338343236630465E-2</v>
      </c>
      <c r="H9" s="78"/>
      <c r="J9" s="70"/>
      <c r="K9" s="73">
        <f t="shared" ref="K9:K14" si="1">AVERAGE(D9:F9)</f>
        <v>0.16353290452195593</v>
      </c>
      <c r="L9" s="73">
        <f t="shared" ref="L9:L14" si="2">MEDIAN(D9:F9)</f>
        <v>0.16823159330385629</v>
      </c>
    </row>
    <row r="10" spans="2:12" x14ac:dyDescent="0.3">
      <c r="B10" s="56" t="s">
        <v>154</v>
      </c>
      <c r="C10" s="3">
        <f>'YoY GROWTH %'!C$14</f>
        <v>0</v>
      </c>
      <c r="D10" s="49">
        <f>'YoY GROWTH %'!D$14</f>
        <v>-2.1076459571696238E-2</v>
      </c>
      <c r="E10" s="49">
        <f>'YoY GROWTH %'!E$14</f>
        <v>-7.4797706901255312E-2</v>
      </c>
      <c r="F10" s="49">
        <f>'YoY GROWTH %'!F$14</f>
        <v>0.22162056220797921</v>
      </c>
      <c r="G10" s="49">
        <f>'YoY GROWTH %'!G$14</f>
        <v>-2.0827200471003837E-2</v>
      </c>
      <c r="H10" s="78"/>
      <c r="J10" s="70"/>
      <c r="K10" s="73">
        <f t="shared" si="1"/>
        <v>4.191546524500922E-2</v>
      </c>
      <c r="L10" s="73">
        <f t="shared" si="2"/>
        <v>-2.1076459571696238E-2</v>
      </c>
    </row>
    <row r="11" spans="2:12" x14ac:dyDescent="0.3">
      <c r="B11" s="56" t="s">
        <v>176</v>
      </c>
      <c r="C11" s="3">
        <f>'YoY GROWTH %'!C$18</f>
        <v>0</v>
      </c>
      <c r="D11" s="49">
        <f>'YoY GROWTH %'!D$18</f>
        <v>3.2942193675888909E-2</v>
      </c>
      <c r="E11" s="49">
        <f>'YoY GROWTH %'!E$18</f>
        <v>-0.11365707247659196</v>
      </c>
      <c r="F11" s="49">
        <f>'YoY GROWTH %'!F$18</f>
        <v>0.27829449206850265</v>
      </c>
      <c r="G11" s="49">
        <f>'YoY GROWTH %'!G$18</f>
        <v>-0.19356200527704481</v>
      </c>
      <c r="H11" s="78"/>
      <c r="J11" s="70"/>
      <c r="K11" s="73">
        <f t="shared" si="1"/>
        <v>6.5859871089266539E-2</v>
      </c>
      <c r="L11" s="73">
        <f t="shared" si="2"/>
        <v>3.2942193675888909E-2</v>
      </c>
    </row>
    <row r="12" spans="2:12" x14ac:dyDescent="0.3">
      <c r="B12" s="56" t="s">
        <v>155</v>
      </c>
      <c r="C12" s="3">
        <f>'YoY GROWTH %'!C$16</f>
        <v>0</v>
      </c>
      <c r="D12" s="49">
        <f>'YoY GROWTH %'!D$16</f>
        <v>-2.8555474376370071E-2</v>
      </c>
      <c r="E12" s="49">
        <f>'YoY GROWTH %'!E$16</f>
        <v>-0.11522754450486183</v>
      </c>
      <c r="F12" s="49">
        <f>'YoY GROWTH %'!F$16</f>
        <v>0.26813310115192057</v>
      </c>
      <c r="G12" s="49">
        <f>'YoY GROWTH %'!G$16</f>
        <v>-0.11031312841137608</v>
      </c>
      <c r="H12" s="78"/>
      <c r="J12" s="70"/>
      <c r="K12" s="73">
        <f t="shared" si="1"/>
        <v>4.1450027423562887E-2</v>
      </c>
      <c r="L12" s="73">
        <f t="shared" si="2"/>
        <v>-2.8555474376370071E-2</v>
      </c>
    </row>
    <row r="13" spans="2:12" x14ac:dyDescent="0.3">
      <c r="B13" s="56" t="s">
        <v>156</v>
      </c>
      <c r="C13" s="3">
        <f>'YoY GROWTH %'!C$20</f>
        <v>0</v>
      </c>
      <c r="D13" s="49">
        <f>'YoY GROWTH %'!D$20</f>
        <v>0.29050737675422766</v>
      </c>
      <c r="E13" s="49">
        <f>'YoY GROWTH %'!E$20</f>
        <v>-0.29323512681523056</v>
      </c>
      <c r="F13" s="49">
        <f>'YoY GROWTH %'!F$20</f>
        <v>0.39208619611509832</v>
      </c>
      <c r="G13" s="49">
        <f>'YoY GROWTH %'!G$20</f>
        <v>-0.12809975910443527</v>
      </c>
      <c r="H13" s="78"/>
      <c r="J13" s="70"/>
      <c r="K13" s="73">
        <f t="shared" si="1"/>
        <v>0.12978614868469848</v>
      </c>
      <c r="L13" s="73">
        <f t="shared" si="2"/>
        <v>0.29050737675422766</v>
      </c>
    </row>
    <row r="14" spans="2:12" x14ac:dyDescent="0.3">
      <c r="B14" s="333" t="s">
        <v>157</v>
      </c>
      <c r="C14" s="51">
        <v>0</v>
      </c>
      <c r="D14" s="66">
        <f>'YoY GROWTH %'!D$22</f>
        <v>1.9017670298201685</v>
      </c>
      <c r="E14" s="66">
        <f>'YoY GROWTH %'!E$22</f>
        <v>2.1908043831464719E-2</v>
      </c>
      <c r="F14" s="66">
        <f>'YoY GROWTH %'!F$22</f>
        <v>-3.3923347289961381E-3</v>
      </c>
      <c r="G14" s="66">
        <f>'YoY GROWTH %'!G$22</f>
        <v>0.7806692464295284</v>
      </c>
      <c r="H14" s="78"/>
      <c r="J14" s="437"/>
      <c r="K14" s="169">
        <f t="shared" si="1"/>
        <v>0.64009424630754574</v>
      </c>
      <c r="L14" s="169">
        <f t="shared" si="2"/>
        <v>2.1908043831464719E-2</v>
      </c>
    </row>
    <row r="15" spans="2:12" ht="7.05" customHeight="1" x14ac:dyDescent="0.3">
      <c r="B15" s="56"/>
      <c r="D15" s="49"/>
      <c r="E15" s="49"/>
      <c r="F15" s="49"/>
      <c r="G15" s="49"/>
      <c r="H15" s="78"/>
      <c r="J15" s="70"/>
      <c r="K15" s="70"/>
      <c r="L15" s="73"/>
    </row>
    <row r="16" spans="2:12" x14ac:dyDescent="0.3">
      <c r="B16" s="56" t="s">
        <v>158</v>
      </c>
      <c r="C16" s="49">
        <f>'COMMON SIZE STATEMENT'!C14</f>
        <v>0.43997888206955721</v>
      </c>
      <c r="D16" s="49">
        <f>'COMMON SIZE STATEMENT'!D14</f>
        <v>0.40093027915153356</v>
      </c>
      <c r="E16" s="49">
        <f>'COMMON SIZE STATEMENT'!E14</f>
        <v>0.33772492252489922</v>
      </c>
      <c r="F16" s="49">
        <f>'COMMON SIZE STATEMENT'!F14</f>
        <v>0.35595945473610624</v>
      </c>
      <c r="G16" s="49">
        <f>'COMMON SIZE STATEMENT'!G14</f>
        <v>0.3535769697127733</v>
      </c>
      <c r="H16" s="78"/>
      <c r="J16" s="70"/>
      <c r="K16" s="73">
        <f>AVERAGE(C16:F16)</f>
        <v>0.38364838462052409</v>
      </c>
      <c r="L16" s="73">
        <f>MEDIAN(C16:F16)</f>
        <v>0.3784448669438199</v>
      </c>
    </row>
    <row r="17" spans="2:12" x14ac:dyDescent="0.3">
      <c r="B17" s="56" t="s">
        <v>159</v>
      </c>
      <c r="C17" s="49">
        <f>'COMMON SIZE STATEMENT'!C16</f>
        <v>0.27015552475857368</v>
      </c>
      <c r="D17" s="49">
        <f>'COMMON SIZE STATEMENT'!D16</f>
        <v>0.22637771849245214</v>
      </c>
      <c r="E17" s="49">
        <f>'COMMON SIZE STATEMENT'!E16</f>
        <v>0.17449632948277038</v>
      </c>
      <c r="F17" s="49">
        <f>'COMMON SIZE STATEMENT'!F16</f>
        <v>0.18997553303040896</v>
      </c>
      <c r="G17" s="49">
        <f>'COMMON SIZE STATEMENT'!G16</f>
        <v>0.17347031903936166</v>
      </c>
      <c r="H17" s="78"/>
      <c r="J17" s="70"/>
      <c r="K17" s="73">
        <f>AVERAGE(C17:F17)</f>
        <v>0.2152512764410513</v>
      </c>
      <c r="L17" s="73">
        <f>MEDIAN(C17:F17)</f>
        <v>0.20817662576143053</v>
      </c>
    </row>
    <row r="18" spans="2:12" x14ac:dyDescent="0.3">
      <c r="B18" s="56" t="s">
        <v>160</v>
      </c>
      <c r="C18" s="49">
        <f>'COMMON SIZE STATEMENT'!C18</f>
        <v>0.21076134538815197</v>
      </c>
      <c r="D18" s="49">
        <f>'COMMON SIZE STATEMENT'!D18</f>
        <v>0.17525887534967374</v>
      </c>
      <c r="E18" s="49">
        <f>'COMMON SIZE STATEMENT'!E18</f>
        <v>0.12918959334553443</v>
      </c>
      <c r="F18" s="49">
        <f>'COMMON SIZE STATEMENT'!F18</f>
        <v>0.1460048933939182</v>
      </c>
      <c r="G18" s="49">
        <f>'COMMON SIZE STATEMENT'!G18</f>
        <v>0.12113586878577295</v>
      </c>
      <c r="H18" s="78"/>
      <c r="J18" s="70"/>
      <c r="K18" s="73">
        <f>AVERAGE(C18:F18)</f>
        <v>0.16530367686931957</v>
      </c>
      <c r="L18" s="73">
        <f>MEDIAN(C18:F18)</f>
        <v>0.16063188437179599</v>
      </c>
    </row>
    <row r="19" spans="2:12" x14ac:dyDescent="0.3">
      <c r="B19" s="56" t="s">
        <v>161</v>
      </c>
      <c r="C19" s="49">
        <f>'COMMON SIZE STATEMENT'!C20</f>
        <v>0.17809454673442002</v>
      </c>
      <c r="D19" s="49">
        <f>'COMMON SIZE STATEMENT'!D20</f>
        <v>0.15746995102683953</v>
      </c>
      <c r="E19" s="49">
        <f>'COMMON SIZE STATEMENT'!E20</f>
        <v>0.11628277650931727</v>
      </c>
      <c r="F19" s="49">
        <f>'COMMON SIZE STATEMENT'!F20</f>
        <v>0.13247116392869626</v>
      </c>
      <c r="G19" s="49">
        <f>'COMMON SIZE STATEMENT'!G20</f>
        <v>9.9623202388557874E-2</v>
      </c>
      <c r="H19" s="78"/>
      <c r="J19" s="70"/>
      <c r="K19" s="73">
        <f>AVERAGE(C19:F19)</f>
        <v>0.14607960954981827</v>
      </c>
      <c r="L19" s="73">
        <f>MEDIAN(C19:F19)</f>
        <v>0.14497055747776788</v>
      </c>
    </row>
    <row r="20" spans="2:12" x14ac:dyDescent="0.3">
      <c r="B20" s="333" t="s">
        <v>162</v>
      </c>
      <c r="C20" s="66">
        <f>'COMMON SIZE STATEMENT'!C22</f>
        <v>0.12226401812622363</v>
      </c>
      <c r="D20" s="66">
        <f>'COMMON SIZE STATEMENT'!D22</f>
        <v>0.13506107710824858</v>
      </c>
      <c r="E20" s="66">
        <f>'COMMON SIZE STATEMENT'!E22</f>
        <v>7.9528187068521689E-2</v>
      </c>
      <c r="F20" s="66">
        <f>'COMMON SIZE STATEMENT'!F22</f>
        <v>9.866480251660259E-2</v>
      </c>
      <c r="G20" s="66">
        <f>'COMMON SIZE STATEMENT'!G22</f>
        <v>8.022268869216026E-2</v>
      </c>
      <c r="H20" s="78"/>
      <c r="J20" s="437"/>
      <c r="K20" s="169">
        <f>AVERAGE(C20:F20)</f>
        <v>0.10887952120489913</v>
      </c>
      <c r="L20" s="169">
        <f>MEDIAN(C20:F20)</f>
        <v>0.1104644103214131</v>
      </c>
    </row>
    <row r="21" spans="2:12" ht="7.05" customHeight="1" x14ac:dyDescent="0.3">
      <c r="B21" s="56"/>
      <c r="H21" s="78"/>
      <c r="J21" s="70"/>
      <c r="K21" s="70"/>
      <c r="L21" s="73"/>
    </row>
    <row r="22" spans="2:12" x14ac:dyDescent="0.3">
      <c r="B22" s="56" t="s">
        <v>163</v>
      </c>
      <c r="C22" s="49">
        <f>'COMMON SIZE STATEMENT'!C$15</f>
        <v>0.16982335731098352</v>
      </c>
      <c r="D22" s="49">
        <f>'COMMON SIZE STATEMENT'!D$15</f>
        <v>0.17455256065908142</v>
      </c>
      <c r="E22" s="49">
        <f>'COMMON SIZE STATEMENT'!E$15</f>
        <v>0.16322859304212881</v>
      </c>
      <c r="F22" s="49">
        <f>'COMMON SIZE STATEMENT'!F$15</f>
        <v>0.16598392170569731</v>
      </c>
      <c r="G22" s="49">
        <f>'COMMON SIZE STATEMENT'!G$15</f>
        <v>0.18010665067341164</v>
      </c>
      <c r="H22" s="78"/>
      <c r="J22" s="70"/>
      <c r="K22" s="73">
        <f>AVERAGE(C22:F22)</f>
        <v>0.16839710817947276</v>
      </c>
      <c r="L22" s="73">
        <f>MEDIAN(C22:F22)</f>
        <v>0.16790363950834042</v>
      </c>
    </row>
    <row r="23" spans="2:12" x14ac:dyDescent="0.3">
      <c r="B23" s="56" t="s">
        <v>164</v>
      </c>
      <c r="C23" s="49">
        <f>'COMMON SIZE STATEMENT'!C$17</f>
        <v>5.9394179370421699E-2</v>
      </c>
      <c r="D23" s="49">
        <f>'COMMON SIZE STATEMENT'!D$17</f>
        <v>5.1118843142778383E-2</v>
      </c>
      <c r="E23" s="49">
        <f>'COMMON SIZE STATEMENT'!E$17</f>
        <v>4.5306736137235952E-2</v>
      </c>
      <c r="F23" s="49">
        <f>'COMMON SIZE STATEMENT'!F$17</f>
        <v>4.3970639636490741E-2</v>
      </c>
      <c r="G23" s="49">
        <f>'COMMON SIZE STATEMENT'!G$17</f>
        <v>5.2334450253588703E-2</v>
      </c>
      <c r="H23" s="78"/>
      <c r="J23" s="70"/>
      <c r="K23" s="73">
        <f>AVERAGE(C23:F23)</f>
        <v>4.9947599571731699E-2</v>
      </c>
      <c r="L23" s="73">
        <f>MEDIAN(C23:F23)</f>
        <v>4.8212789640007164E-2</v>
      </c>
    </row>
    <row r="24" spans="2:12" x14ac:dyDescent="0.3">
      <c r="B24" s="333" t="s">
        <v>165</v>
      </c>
      <c r="C24" s="66">
        <f>C$17</f>
        <v>0.27015552475857368</v>
      </c>
      <c r="D24" s="66">
        <f>D$17</f>
        <v>0.22637771849245214</v>
      </c>
      <c r="E24" s="66">
        <f>E$17</f>
        <v>0.17449632948277038</v>
      </c>
      <c r="F24" s="66">
        <f>F$17</f>
        <v>0.18997553303040896</v>
      </c>
      <c r="G24" s="66">
        <f t="shared" ref="G24" si="3">G$17</f>
        <v>0.17347031903936166</v>
      </c>
      <c r="H24" s="78"/>
      <c r="J24" s="437"/>
      <c r="K24" s="169">
        <f>AVERAGE(C24:F24)</f>
        <v>0.2152512764410513</v>
      </c>
      <c r="L24" s="169">
        <f>MEDIAN(C24:F24)</f>
        <v>0.20817662576143053</v>
      </c>
    </row>
    <row r="25" spans="2:12" ht="7.05" customHeight="1" x14ac:dyDescent="0.3">
      <c r="B25" s="56"/>
      <c r="H25" s="78"/>
      <c r="J25" s="70"/>
      <c r="K25" s="70"/>
      <c r="L25" s="70"/>
    </row>
    <row r="26" spans="2:12" x14ac:dyDescent="0.3">
      <c r="B26" s="56" t="s">
        <v>166</v>
      </c>
      <c r="C26" s="49">
        <f>('INCOME STATEMENT'!C34)/('BALANCE SHEET'!C63+'BALANCE SHEET'!C72)</f>
        <v>0.1460896878764314</v>
      </c>
      <c r="D26" s="49">
        <f>('INCOME STATEMENT'!D34)/('BALANCE SHEET'!D63+'BALANCE SHEET'!D72)</f>
        <v>0.14491090403792706</v>
      </c>
      <c r="E26" s="49">
        <f>('INCOME STATEMENT'!E34)/('BALANCE SHEET'!E63+'BALANCE SHEET'!E72)</f>
        <v>0.12052719726633254</v>
      </c>
      <c r="F26" s="49">
        <f>('INCOME STATEMENT'!F34)/('BALANCE SHEET'!F63+'BALANCE SHEET'!F72)</f>
        <v>0.14143698787837747</v>
      </c>
      <c r="G26" s="49">
        <f>('INCOME STATEMENT'!G34)/('BALANCE SHEET'!G63+'BALANCE SHEET'!G72)</f>
        <v>9.4669913695601224E-2</v>
      </c>
      <c r="H26" s="78"/>
      <c r="J26" s="70"/>
      <c r="K26" s="73">
        <f>AVERAGE(C26:F26)</f>
        <v>0.13824119426476711</v>
      </c>
      <c r="L26" s="73">
        <f>MEDIAN(C26:F26)</f>
        <v>0.14317394595815225</v>
      </c>
    </row>
    <row r="27" spans="2:12" x14ac:dyDescent="0.3">
      <c r="B27" s="56" t="s">
        <v>167</v>
      </c>
      <c r="C27" s="49">
        <f>'COMMON SIZE STATEMENT'!C$23</f>
        <v>0.11403682439120966</v>
      </c>
      <c r="D27" s="49">
        <f>'COMMON SIZE STATEMENT'!D$23</f>
        <v>0.11500708762595407</v>
      </c>
      <c r="E27" s="49">
        <f>'COMMON SIZE STATEMENT'!E$23</f>
        <v>6.2412598328351387E-2</v>
      </c>
      <c r="F27" s="49">
        <f>'COMMON SIZE STATEMENT'!F$23</f>
        <v>8.3369451240824885E-2</v>
      </c>
      <c r="G27" s="49">
        <f>'COMMON SIZE STATEMENT'!G$23</f>
        <v>5.4003311646827208E-2</v>
      </c>
      <c r="H27" s="78"/>
      <c r="J27" s="70"/>
      <c r="K27" s="73">
        <f>AVERAGE(C27:F27)</f>
        <v>9.3706490396585004E-2</v>
      </c>
      <c r="L27" s="73">
        <f>MEDIAN(C27:F27)</f>
        <v>9.8703137816017278E-2</v>
      </c>
    </row>
    <row r="28" spans="2:12" x14ac:dyDescent="0.3">
      <c r="B28" s="56" t="s">
        <v>168</v>
      </c>
      <c r="C28" s="49">
        <f>('INCOME STATEMENT'!C42)/(SUM('BALANCE SHEET'!C69,'BALANCE SHEET'!C70))</f>
        <v>0.12582061846334949</v>
      </c>
      <c r="D28" s="49">
        <f>('INCOME STATEMENT'!D42)/(SUM('BALANCE SHEET'!D69,'BALANCE SHEET'!D70))</f>
        <v>0.14221476359698279</v>
      </c>
      <c r="E28" s="49">
        <f>('INCOME STATEMENT'!E42)/(SUM('BALANCE SHEET'!E69,'BALANCE SHEET'!E70))</f>
        <v>9.3316390714030945E-2</v>
      </c>
      <c r="F28" s="49">
        <f>('INCOME STATEMENT'!F42)/(SUM('BALANCE SHEET'!F69,'BALANCE SHEET'!F70))</f>
        <v>0.11717530634609637</v>
      </c>
      <c r="G28" s="49">
        <f>('INCOME STATEMENT'!G42)/(SUM('BALANCE SHEET'!G69,'BALANCE SHEET'!G70))</f>
        <v>8.7023548546778864E-2</v>
      </c>
      <c r="H28" s="78"/>
      <c r="J28" s="70"/>
      <c r="K28" s="73">
        <f>AVERAGE(C28:F28)</f>
        <v>0.1196317697801149</v>
      </c>
      <c r="L28" s="73">
        <f>MEDIAN(C28:F28)</f>
        <v>0.12149796240472294</v>
      </c>
    </row>
    <row r="29" spans="2:12" x14ac:dyDescent="0.3">
      <c r="B29" s="56" t="s">
        <v>169</v>
      </c>
      <c r="C29" s="49">
        <f t="shared" ref="C29:F29" si="4">C27*C28</f>
        <v>1.4348183772498378E-2</v>
      </c>
      <c r="D29" s="49">
        <f t="shared" si="4"/>
        <v>1.6355705778702545E-2</v>
      </c>
      <c r="E29" s="49">
        <f t="shared" si="4"/>
        <v>5.8241184110863131E-3</v>
      </c>
      <c r="F29" s="49">
        <f t="shared" si="4"/>
        <v>9.7688409890496E-3</v>
      </c>
      <c r="G29" s="49">
        <f t="shared" ref="G29" si="5">G27*G28</f>
        <v>4.6995598127844958E-3</v>
      </c>
      <c r="H29" s="78"/>
      <c r="J29" s="70"/>
      <c r="K29" s="73">
        <f>AVERAGE(C29:F29)</f>
        <v>1.1574212237834209E-2</v>
      </c>
      <c r="L29" s="73">
        <f>MEDIAN(C29:F29)</f>
        <v>1.2058512380773989E-2</v>
      </c>
    </row>
    <row r="30" spans="2:12" x14ac:dyDescent="0.3">
      <c r="B30" s="333" t="s">
        <v>170</v>
      </c>
      <c r="C30" s="89">
        <f>-'INCOME STATEMENT'!C34/'INCOME STATEMENT'!C36</f>
        <v>6.4518518518518517</v>
      </c>
      <c r="D30" s="89">
        <f>-'INCOME STATEMENT'!D34/'INCOME STATEMENT'!D36</f>
        <v>9.8521345174709669</v>
      </c>
      <c r="E30" s="89">
        <f>-'INCOME STATEMENT'!E34/'INCOME STATEMENT'!E36</f>
        <v>10.009407817969665</v>
      </c>
      <c r="F30" s="89">
        <f>-'INCOME STATEMENT'!F34/'INCOME STATEMENT'!F36</f>
        <v>10.788223140495868</v>
      </c>
      <c r="G30" s="89">
        <f>-'INCOME STATEMENT'!G34/'INCOME STATEMENT'!G36</f>
        <v>5.6309090909090909</v>
      </c>
      <c r="H30" s="78"/>
      <c r="J30" s="437"/>
      <c r="K30" s="170">
        <f>AVERAGE(C30:F30)</f>
        <v>9.2754043319470867</v>
      </c>
      <c r="L30" s="170">
        <f>MEDIAN(C30:F30)</f>
        <v>9.9307711677203159</v>
      </c>
    </row>
    <row r="31" spans="2:12" ht="7.05" customHeight="1" x14ac:dyDescent="0.3">
      <c r="B31" s="56"/>
      <c r="H31" s="78"/>
      <c r="J31" s="70"/>
      <c r="K31" s="70"/>
      <c r="L31" s="70"/>
    </row>
    <row r="32" spans="2:12" x14ac:dyDescent="0.3">
      <c r="B32" s="56" t="s">
        <v>171</v>
      </c>
      <c r="C32" s="52">
        <f>'INCOME STATEMENT'!C11/'BALANCE SHEET'!C16</f>
        <v>17.395954881369118</v>
      </c>
      <c r="D32" s="52">
        <f>'INCOME STATEMENT'!D11/'BALANCE SHEET'!D16</f>
        <v>17.124188943257771</v>
      </c>
      <c r="E32" s="52">
        <f>'INCOME STATEMENT'!E11/'BALANCE SHEET'!E16</f>
        <v>16.353672854032304</v>
      </c>
      <c r="F32" s="52">
        <f>'INCOME STATEMENT'!F11/'BALANCE SHEET'!F16</f>
        <v>16.575035063113603</v>
      </c>
      <c r="G32" s="52">
        <f>'INCOME STATEMENT'!G11/'BALANCE SHEET'!G16</f>
        <v>12.895585738539898</v>
      </c>
      <c r="H32" s="78"/>
      <c r="J32" s="70"/>
      <c r="K32" s="88">
        <f>AVERAGE(C32:F32)</f>
        <v>16.862212935443196</v>
      </c>
      <c r="L32" s="88">
        <f>MEDIAN(C32:F32)</f>
        <v>16.849612003185687</v>
      </c>
    </row>
    <row r="33" spans="2:12" x14ac:dyDescent="0.3">
      <c r="B33" s="56" t="s">
        <v>172</v>
      </c>
      <c r="C33" s="52">
        <f>'INCOME STATEMENT'!C11/'BALANCE SHEET'!C44</f>
        <v>10.560802833530106</v>
      </c>
      <c r="D33" s="52">
        <f>'INCOME STATEMENT'!D11/'BALANCE SHEET'!D44</f>
        <v>10.734805626306166</v>
      </c>
      <c r="E33" s="52">
        <f>'INCOME STATEMENT'!E11/'BALANCE SHEET'!E44</f>
        <v>13.916115985274088</v>
      </c>
      <c r="F33" s="52">
        <f>'INCOME STATEMENT'!F11/'BALANCE SHEET'!F44</f>
        <v>14.21002004008016</v>
      </c>
      <c r="G33" s="52">
        <f>'INCOME STATEMENT'!G11/'BALANCE SHEET'!G44</f>
        <v>10.476551724137931</v>
      </c>
      <c r="H33" s="78"/>
      <c r="J33" s="70"/>
      <c r="K33" s="88">
        <f>AVERAGE(C33:F33)</f>
        <v>12.355436121297631</v>
      </c>
      <c r="L33" s="88">
        <f>MEDIAN(C33:F33)</f>
        <v>12.325460805790126</v>
      </c>
    </row>
    <row r="34" spans="2:12" x14ac:dyDescent="0.3">
      <c r="B34" s="56" t="s">
        <v>173</v>
      </c>
      <c r="C34" s="52">
        <f>'INCOME STATEMENT'!C11/'BALANCE SHEET'!C13</f>
        <v>11.13393079412497</v>
      </c>
      <c r="D34" s="52">
        <f>'INCOME STATEMENT'!D11/'BALANCE SHEET'!D13</f>
        <v>9.4000675533188698</v>
      </c>
      <c r="E34" s="52">
        <f>'INCOME STATEMENT'!E11/'BALANCE SHEET'!E13</f>
        <v>9.5646712029801133</v>
      </c>
      <c r="F34" s="52">
        <f>'INCOME STATEMENT'!F11/'BALANCE SHEET'!F13</f>
        <v>8.513386961219835</v>
      </c>
      <c r="G34" s="52">
        <f>'INCOME STATEMENT'!G11/'BALANCE SHEET'!G13</f>
        <v>7.9434218782681452</v>
      </c>
      <c r="H34" s="78"/>
      <c r="J34" s="70"/>
      <c r="K34" s="88">
        <f>AVERAGE(C34:F34)</f>
        <v>9.6530141279109483</v>
      </c>
      <c r="L34" s="88">
        <f>MEDIAN(C34:F34)</f>
        <v>9.4823693781494924</v>
      </c>
    </row>
    <row r="35" spans="2:12" x14ac:dyDescent="0.3">
      <c r="B35" s="56" t="s">
        <v>174</v>
      </c>
      <c r="C35" s="52">
        <f>'INCOME STATEMENT'!C11/'BALANCE SHEET'!C36</f>
        <v>0.70743898388193793</v>
      </c>
      <c r="D35" s="52">
        <f>'INCOME STATEMENT'!D11/'BALANCE SHEET'!D36</f>
        <v>0.79040894053543131</v>
      </c>
      <c r="E35" s="52">
        <f>'INCOME STATEMENT'!E11/'BALANCE SHEET'!E36</f>
        <v>0.90586155927128265</v>
      </c>
      <c r="F35" s="52">
        <f>'INCOME STATEMENT'!F11/'BALANCE SHEET'!F36</f>
        <v>0.93042907754887805</v>
      </c>
      <c r="G35" s="52">
        <f>'INCOME STATEMENT'!G11/'BALANCE SHEET'!G36</f>
        <v>0.69855240407607699</v>
      </c>
      <c r="H35" s="78"/>
      <c r="J35" s="70"/>
      <c r="K35" s="88">
        <f>AVERAGE(C35:F35)</f>
        <v>0.83353464030938251</v>
      </c>
      <c r="L35" s="88">
        <f>MEDIAN(C35:F35)</f>
        <v>0.84813524990335698</v>
      </c>
    </row>
    <row r="36" spans="2:12" x14ac:dyDescent="0.3">
      <c r="B36" s="333" t="s">
        <v>175</v>
      </c>
      <c r="C36" s="89">
        <f>'INCOME STATEMENT'!C11/'BALANCE SHEET'!C72</f>
        <v>1.0124734006429121</v>
      </c>
      <c r="D36" s="89">
        <f>'INCOME STATEMENT'!D11/'BALANCE SHEET'!D72</f>
        <v>1.0428977578587366</v>
      </c>
      <c r="E36" s="89">
        <f>'INCOME STATEMENT'!E11/'BALANCE SHEET'!E72</f>
        <v>1.1641144131179022</v>
      </c>
      <c r="F36" s="89">
        <f>'INCOME STATEMENT'!F11/'BALANCE SHEET'!F72</f>
        <v>1.1773652575299705</v>
      </c>
      <c r="G36" s="89">
        <f>'INCOME STATEMENT'!G11/'BALANCE SHEET'!G72</f>
        <v>1.0742521745279683</v>
      </c>
      <c r="H36" s="78"/>
      <c r="J36" s="437"/>
      <c r="K36" s="170">
        <f>AVERAGE(C36:F36)</f>
        <v>1.0992127072873803</v>
      </c>
      <c r="L36" s="170">
        <f>MEDIAN(C36:F36)</f>
        <v>1.1035060854883194</v>
      </c>
    </row>
    <row r="37" spans="2:12" ht="7.05" customHeight="1" x14ac:dyDescent="0.3">
      <c r="H37" s="78"/>
      <c r="J37" s="70"/>
      <c r="K37" s="70"/>
      <c r="L37" s="70"/>
    </row>
    <row r="38" spans="2:12" ht="14.4" customHeight="1" x14ac:dyDescent="0.3">
      <c r="B38" s="1" t="s">
        <v>185</v>
      </c>
      <c r="H38" s="78"/>
      <c r="J38" s="70"/>
      <c r="K38" s="70"/>
      <c r="L38" s="70"/>
    </row>
    <row r="39" spans="2:12" x14ac:dyDescent="0.3">
      <c r="B39" s="56" t="s">
        <v>178</v>
      </c>
      <c r="C39" s="3">
        <v>0</v>
      </c>
      <c r="D39" s="3">
        <f>(('BALANCE SHEET'!C$16+'BALANCE SHEET'!D$16)/2)/'INCOME STATEMENT'!D$14*365</f>
        <v>19.39072637621209</v>
      </c>
      <c r="E39" s="3">
        <f>(('BALANCE SHEET'!D$16+'BALANCE SHEET'!E$16)/2)/'INCOME STATEMENT'!E$14*365</f>
        <v>19.865691653334494</v>
      </c>
      <c r="F39" s="3">
        <f>(('BALANCE SHEET'!E$16+'BALANCE SHEET'!F$16)/2)/'INCOME STATEMENT'!F$14*365</f>
        <v>20.782469765816149</v>
      </c>
      <c r="G39" s="3">
        <f>(('BALANCE SHEET'!F$16+'BALANCE SHEET'!G$16)/2)/'INCOME STATEMENT'!G$14*365</f>
        <v>24.194057288882515</v>
      </c>
      <c r="H39" s="78"/>
      <c r="J39" s="70"/>
      <c r="K39" s="70">
        <f>AVERAGE(C39:F39)</f>
        <v>15.009721948840681</v>
      </c>
      <c r="L39" s="70">
        <f>MEDIAN(C39:F39)</f>
        <v>19.62820901477329</v>
      </c>
    </row>
    <row r="40" spans="2:12" x14ac:dyDescent="0.3">
      <c r="B40" s="56" t="s">
        <v>179</v>
      </c>
      <c r="C40" s="3">
        <v>0</v>
      </c>
      <c r="D40" s="3">
        <f>-(('BALANCE SHEET'!C$46+'BALANCE SHEET'!D$46)/2)/'INCOME STATEMENT'!D$18*365</f>
        <v>60.180190969046265</v>
      </c>
      <c r="E40" s="3">
        <f>-(('BALANCE SHEET'!D$46+'BALANCE SHEET'!E$46)/2)/'INCOME STATEMENT'!E$18*365</f>
        <v>56.502431337918068</v>
      </c>
      <c r="F40" s="3">
        <f>-(('BALANCE SHEET'!E$46+'BALANCE SHEET'!F$46)/2)/'INCOME STATEMENT'!F$18*365</f>
        <v>62.144686855530232</v>
      </c>
      <c r="G40" s="3">
        <f>-(('BALANCE SHEET'!F$46+'BALANCE SHEET'!G$46)/2)/'INCOME STATEMENT'!G$18*365</f>
        <v>65.535094796288817</v>
      </c>
      <c r="H40" s="78"/>
      <c r="J40" s="70"/>
      <c r="K40" s="70">
        <f>AVERAGE(C40:F40)</f>
        <v>44.706827290623643</v>
      </c>
      <c r="L40" s="70">
        <f>MEDIAN(C40:F40)</f>
        <v>58.341311153482167</v>
      </c>
    </row>
    <row r="41" spans="2:12" x14ac:dyDescent="0.3">
      <c r="B41" s="56" t="s">
        <v>180</v>
      </c>
      <c r="C41" s="3">
        <v>0</v>
      </c>
      <c r="D41" s="3">
        <f>-(('BALANCE SHEET'!C$13+'BALANCE SHEET'!D$13)/2)/'INCOME STATEMENT'!D$18*365</f>
        <v>55.141254418571606</v>
      </c>
      <c r="E41" s="3">
        <f>-(('BALANCE SHEET'!D$13+'BALANCE SHEET'!E$13)/2)/'INCOME STATEMENT'!E$18*365</f>
        <v>52.773400561500715</v>
      </c>
      <c r="F41" s="3">
        <f>-(('BALANCE SHEET'!E$13+'BALANCE SHEET'!F$13)/2)/'INCOME STATEMENT'!F$18*365</f>
        <v>59.192477477477475</v>
      </c>
      <c r="G41" s="3">
        <f>-(('BALANCE SHEET'!F$13+'BALANCE SHEET'!G$13)/2)/'INCOME STATEMENT'!G$18*365</f>
        <v>65.85533481242436</v>
      </c>
      <c r="H41" s="78"/>
      <c r="J41" s="70"/>
      <c r="K41" s="70">
        <f>AVERAGE(C41:F41)</f>
        <v>41.776783114387449</v>
      </c>
      <c r="L41" s="70">
        <f>MEDIAN(C41:F41)</f>
        <v>53.957327490036164</v>
      </c>
    </row>
    <row r="42" spans="2:12" x14ac:dyDescent="0.3">
      <c r="B42" s="333" t="s">
        <v>181</v>
      </c>
      <c r="C42" s="51">
        <f>SUM(C41,C39)-C40</f>
        <v>0</v>
      </c>
      <c r="D42" s="51">
        <f>SUM(D41,D39)-D40</f>
        <v>14.351789825737427</v>
      </c>
      <c r="E42" s="51">
        <f>SUM(E41,E39)-E40</f>
        <v>16.136660876917148</v>
      </c>
      <c r="F42" s="51">
        <f>SUM(F41,F39)-F40</f>
        <v>17.830260387763396</v>
      </c>
      <c r="G42" s="51">
        <f t="shared" ref="G42" si="6">SUM(G41,G39)-G40</f>
        <v>24.514297305018061</v>
      </c>
      <c r="H42" s="78"/>
      <c r="J42" s="437"/>
      <c r="K42" s="168">
        <f>AVERAGE(C42:F42)</f>
        <v>12.079677772604493</v>
      </c>
      <c r="L42" s="168">
        <f>MEDIAN(C42:F42)</f>
        <v>15.244225351327287</v>
      </c>
    </row>
    <row r="43" spans="2:12" ht="7.05" customHeight="1" x14ac:dyDescent="0.3">
      <c r="B43" s="56"/>
      <c r="H43" s="78"/>
      <c r="J43" s="70"/>
      <c r="K43" s="70"/>
      <c r="L43" s="70"/>
    </row>
    <row r="44" spans="2:12" x14ac:dyDescent="0.3">
      <c r="B44" s="56" t="s">
        <v>182</v>
      </c>
      <c r="C44" s="49">
        <f>'CASH FLOW STAEMENT'!C$27/'INCOME STATEMENT'!C$11</f>
        <v>0.2914253773057574</v>
      </c>
      <c r="D44" s="49">
        <f>'CASH FLOW STAEMENT'!D$27/'INCOME STATEMENT'!D$11</f>
        <v>0.18693362570992542</v>
      </c>
      <c r="E44" s="49">
        <f>'CASH FLOW STAEMENT'!E$27/'INCOME STATEMENT'!E$11</f>
        <v>0.14818521447982752</v>
      </c>
      <c r="F44" s="49">
        <f>'CASH FLOW STAEMENT'!F$27/'INCOME STATEMENT'!F$11</f>
        <v>0.15861397867659502</v>
      </c>
      <c r="G44" s="49">
        <f>'CASH FLOW STAEMENT'!G$27/'INCOME STATEMENT'!G$11</f>
        <v>0.14582318478046211</v>
      </c>
      <c r="H44" s="78"/>
      <c r="J44" s="70"/>
      <c r="K44" s="73">
        <f>AVERAGE(C44:F44)</f>
        <v>0.19628954904302631</v>
      </c>
      <c r="L44" s="73">
        <f>MEDIAN(C44:F44)</f>
        <v>0.17277380219326022</v>
      </c>
    </row>
    <row r="45" spans="2:12" x14ac:dyDescent="0.3">
      <c r="B45" s="56" t="s">
        <v>183</v>
      </c>
      <c r="C45" s="49">
        <f>'CASH FLOW STAEMENT'!C$27/'BALANCE SHEET'!C$38</f>
        <v>0.15108380665352961</v>
      </c>
      <c r="D45" s="49">
        <f>'CASH FLOW STAEMENT'!D$27/'BALANCE SHEET'!D$38</f>
        <v>0.1170133195983615</v>
      </c>
      <c r="E45" s="49">
        <f>'CASH FLOW STAEMENT'!E$27/'BALANCE SHEET'!E$38</f>
        <v>0.10343965099605273</v>
      </c>
      <c r="F45" s="49">
        <f>'CASH FLOW STAEMENT'!F$27/'BALANCE SHEET'!F$38</f>
        <v>0.113204698493221</v>
      </c>
      <c r="G45" s="49">
        <f>'CASH FLOW STAEMENT'!G$27/'BALANCE SHEET'!G$38</f>
        <v>8.3737175949376658E-2</v>
      </c>
      <c r="H45" s="78"/>
      <c r="J45" s="70"/>
      <c r="K45" s="73">
        <f>AVERAGE(C45:F45)</f>
        <v>0.12118536893529121</v>
      </c>
      <c r="L45" s="73">
        <f>MEDIAN(C45:F45)</f>
        <v>0.11510900904579124</v>
      </c>
    </row>
    <row r="46" spans="2:12" x14ac:dyDescent="0.3">
      <c r="B46" s="333" t="s">
        <v>184</v>
      </c>
      <c r="C46" s="66">
        <f>'CASH FLOW STAEMENT'!C$27/('BALANCE SHEET'!C$44+'BALANCE SHEET'!C$56)</f>
        <v>0.73294719676095144</v>
      </c>
      <c r="D46" s="66">
        <f>'CASH FLOW STAEMENT'!D$27/('BALANCE SHEET'!D$44+'BALANCE SHEET'!D$56)</f>
        <v>0.96370128317213599</v>
      </c>
      <c r="E46" s="66">
        <f>'CASH FLOW STAEMENT'!E$27/('BALANCE SHEET'!E$44+'BALANCE SHEET'!E$56)</f>
        <v>0.94651431503376549</v>
      </c>
      <c r="F46" s="66">
        <f>'CASH FLOW STAEMENT'!F$27/('BALANCE SHEET'!F$44+'BALANCE SHEET'!F$56)</f>
        <v>1.0922598815188891</v>
      </c>
      <c r="G46" s="66">
        <f>'CASH FLOW STAEMENT'!G$27/('BALANCE SHEET'!G$44+'BALANCE SHEET'!G$56)</f>
        <v>0.48093790707772471</v>
      </c>
      <c r="H46" s="78"/>
      <c r="J46" s="437"/>
      <c r="K46" s="169">
        <f>AVERAGE(C46:F46)</f>
        <v>0.93385566912143547</v>
      </c>
      <c r="L46" s="169">
        <f>MEDIAN(C46:F46)</f>
        <v>0.95510779910295074</v>
      </c>
    </row>
    <row r="47" spans="2:12" ht="14.4" customHeight="1" x14ac:dyDescent="0.3">
      <c r="C47" s="49"/>
      <c r="D47" s="49"/>
      <c r="E47" s="49"/>
      <c r="F47" s="49"/>
      <c r="G47" s="49"/>
      <c r="K47" s="49"/>
      <c r="L47" s="49"/>
    </row>
    <row r="48" spans="2:12" x14ac:dyDescent="0.3">
      <c r="B48" s="105"/>
      <c r="C48" s="105"/>
      <c r="D48" s="105"/>
      <c r="E48" s="105"/>
      <c r="F48" s="105"/>
      <c r="G48" s="105"/>
      <c r="H48" s="105"/>
      <c r="I48" s="105"/>
      <c r="J48" s="105"/>
      <c r="K48" s="105"/>
      <c r="L48" s="105"/>
    </row>
  </sheetData>
  <printOptions horizontalCentered="1" verticalCentered="1"/>
  <pageMargins left="0" right="0" top="0" bottom="0" header="0" footer="0"/>
  <pageSetup paperSize="9" scale="78" orientation="landscape" horizontalDpi="1200" verticalDpi="1200" r:id="rId1"/>
  <drawing r:id="rId2"/>
  <extLst>
    <ext xmlns:x14="http://schemas.microsoft.com/office/spreadsheetml/2009/9/main" uri="{05C60535-1F16-4fd2-B633-F4F36F0B64E0}">
      <x14:sparklineGroups xmlns:xm="http://schemas.microsoft.com/office/excel/2006/main">
        <x14:sparklineGroup displayEmptyCellsAs="gap" markers="1" high="1" low="1" first="1" last="1" negative="1">
          <x14:colorSeries theme="1"/>
          <x14:colorNegative rgb="FFD00000"/>
          <x14:colorAxis rgb="FF000000"/>
          <x14:colorMarkers rgb="FFD00000"/>
          <x14:colorFirst rgb="FFD00000"/>
          <x14:colorLast rgb="FFD00000"/>
          <x14:colorHigh rgb="FFD00000"/>
          <x14:colorLow rgb="FFD00000"/>
          <x14:sparklines>
            <x14:sparkline>
              <xm:f>'RATIO ANALYSIS'!C44:G44</xm:f>
              <xm:sqref>J44</xm:sqref>
            </x14:sparkline>
            <x14:sparkline>
              <xm:f>'RATIO ANALYSIS'!C45:G45</xm:f>
              <xm:sqref>J45</xm:sqref>
            </x14:sparkline>
            <x14:sparkline>
              <xm:f>'RATIO ANALYSIS'!C46:G46</xm:f>
              <xm:sqref>J46</xm:sqref>
            </x14:sparkline>
          </x14:sparklines>
        </x14:sparklineGroup>
        <x14:sparklineGroup displayEmptyCellsAs="gap" markers="1" high="1" low="1" first="1" last="1" negative="1">
          <x14:colorSeries theme="1"/>
          <x14:colorNegative rgb="FFFF0000"/>
          <x14:colorAxis rgb="FF000000"/>
          <x14:colorMarkers rgb="FFFF0000"/>
          <x14:colorFirst rgb="FFFF0000"/>
          <x14:colorLast rgb="FFFF0000"/>
          <x14:colorHigh rgb="FFFF0000"/>
          <x14:colorLow rgb="FFFF0000"/>
          <x14:sparklines>
            <x14:sparkline>
              <xm:f>'RATIO ANALYSIS'!C47:G47</xm:f>
              <xm:sqref>J47</xm:sqref>
            </x14:sparkline>
          </x14:sparklines>
        </x14:sparklineGroup>
        <x14:sparklineGroup displayEmptyCellsAs="gap" markers="1" high="1" low="1" first="1" last="1" negative="1">
          <x14:colorSeries theme="1"/>
          <x14:colorNegative rgb="FFD00000"/>
          <x14:colorAxis rgb="FF000000"/>
          <x14:colorMarkers rgb="FFD00000"/>
          <x14:colorFirst rgb="FFD00000"/>
          <x14:colorLast rgb="FFD00000"/>
          <x14:colorHigh rgb="FFD00000"/>
          <x14:colorLow rgb="FFD00000"/>
          <x14:sparklines>
            <x14:sparkline>
              <xm:f>'RATIO ANALYSIS'!C32:G32</xm:f>
              <xm:sqref>J32</xm:sqref>
            </x14:sparkline>
            <x14:sparkline>
              <xm:f>'RATIO ANALYSIS'!C33:G33</xm:f>
              <xm:sqref>J33</xm:sqref>
            </x14:sparkline>
            <x14:sparkline>
              <xm:f>'RATIO ANALYSIS'!C34:G34</xm:f>
              <xm:sqref>J34</xm:sqref>
            </x14:sparkline>
            <x14:sparkline>
              <xm:f>'RATIO ANALYSIS'!C35:G35</xm:f>
              <xm:sqref>J35</xm:sqref>
            </x14:sparkline>
            <x14:sparkline>
              <xm:f>'RATIO ANALYSIS'!C36:G36</xm:f>
              <xm:sqref>J36</xm:sqref>
            </x14:sparkline>
          </x14:sparklines>
        </x14:sparklineGroup>
        <x14:sparklineGroup displayEmptyCellsAs="gap" markers="1" high="1" low="1" first="1" last="1" negative="1">
          <x14:colorSeries theme="1"/>
          <x14:colorNegative rgb="FFD00000"/>
          <x14:colorAxis rgb="FF000000"/>
          <x14:colorMarkers rgb="FFD00000"/>
          <x14:colorFirst rgb="FFD00000"/>
          <x14:colorLast rgb="FFD00000"/>
          <x14:colorHigh rgb="FFD00000"/>
          <x14:colorLow rgb="FFD00000"/>
          <x14:sparklines>
            <x14:sparkline>
              <xm:f>'RATIO ANALYSIS'!C26:G26</xm:f>
              <xm:sqref>J26</xm:sqref>
            </x14:sparkline>
            <x14:sparkline>
              <xm:f>'RATIO ANALYSIS'!C27:G27</xm:f>
              <xm:sqref>J27</xm:sqref>
            </x14:sparkline>
            <x14:sparkline>
              <xm:f>'RATIO ANALYSIS'!C28:G28</xm:f>
              <xm:sqref>J28</xm:sqref>
            </x14:sparkline>
            <x14:sparkline>
              <xm:f>'RATIO ANALYSIS'!C29:G29</xm:f>
              <xm:sqref>J29</xm:sqref>
            </x14:sparkline>
            <x14:sparkline>
              <xm:f>'RATIO ANALYSIS'!C30:G30</xm:f>
              <xm:sqref>J30</xm:sqref>
            </x14:sparkline>
          </x14:sparklines>
        </x14:sparklineGroup>
        <x14:sparklineGroup displayEmptyCellsAs="gap" markers="1" high="1" low="1" first="1" last="1" negative="1">
          <x14:colorSeries theme="1"/>
          <x14:colorNegative rgb="FFD00000"/>
          <x14:colorAxis rgb="FF000000"/>
          <x14:colorMarkers rgb="FFD00000"/>
          <x14:colorFirst rgb="FFD00000"/>
          <x14:colorLast rgb="FFD00000"/>
          <x14:colorHigh rgb="FFD00000"/>
          <x14:colorLow rgb="FFD00000"/>
          <x14:sparklines>
            <x14:sparkline>
              <xm:f>'RATIO ANALYSIS'!C22:G22</xm:f>
              <xm:sqref>J22</xm:sqref>
            </x14:sparkline>
            <x14:sparkline>
              <xm:f>'RATIO ANALYSIS'!C23:G23</xm:f>
              <xm:sqref>J23</xm:sqref>
            </x14:sparkline>
            <x14:sparkline>
              <xm:f>'RATIO ANALYSIS'!C24:G24</xm:f>
              <xm:sqref>J24</xm:sqref>
            </x14:sparkline>
          </x14:sparklines>
        </x14:sparklineGroup>
        <x14:sparklineGroup displayEmptyCellsAs="gap" markers="1" high="1" low="1" first="1" last="1" negative="1">
          <x14:colorSeries theme="1"/>
          <x14:colorNegative rgb="FFD00000"/>
          <x14:colorAxis rgb="FF000000"/>
          <x14:colorMarkers rgb="FFD00000"/>
          <x14:colorFirst rgb="FFD00000"/>
          <x14:colorLast rgb="FFD00000"/>
          <x14:colorHigh rgb="FFD00000"/>
          <x14:colorLow rgb="FFD00000"/>
          <x14:sparklines>
            <x14:sparkline>
              <xm:f>'RATIO ANALYSIS'!C16:G16</xm:f>
              <xm:sqref>J16</xm:sqref>
            </x14:sparkline>
            <x14:sparkline>
              <xm:f>'RATIO ANALYSIS'!C17:G17</xm:f>
              <xm:sqref>J17</xm:sqref>
            </x14:sparkline>
            <x14:sparkline>
              <xm:f>'RATIO ANALYSIS'!C18:G18</xm:f>
              <xm:sqref>J18</xm:sqref>
            </x14:sparkline>
            <x14:sparkline>
              <xm:f>'RATIO ANALYSIS'!C19:G19</xm:f>
              <xm:sqref>J19</xm:sqref>
            </x14:sparkline>
            <x14:sparkline>
              <xm:f>'RATIO ANALYSIS'!C20:G20</xm:f>
              <xm:sqref>J20</xm:sqref>
            </x14:sparkline>
          </x14:sparklines>
        </x14:sparklineGroup>
        <x14:sparklineGroup displayEmptyCellsAs="gap" markers="1" high="1" low="1" first="1" last="1" negative="1">
          <x14:colorSeries theme="1"/>
          <x14:colorNegative rgb="FFD00000"/>
          <x14:colorAxis rgb="FF000000"/>
          <x14:colorMarkers rgb="FFD00000"/>
          <x14:colorFirst rgb="FFD00000"/>
          <x14:colorLast rgb="FFD00000"/>
          <x14:colorHigh rgb="FFD00000"/>
          <x14:colorLow rgb="FFD00000"/>
          <x14:sparklines>
            <x14:sparkline>
              <xm:f>'RATIO ANALYSIS'!D9:G9</xm:f>
              <xm:sqref>J9</xm:sqref>
            </x14:sparkline>
            <x14:sparkline>
              <xm:f>'RATIO ANALYSIS'!D10:G10</xm:f>
              <xm:sqref>J10</xm:sqref>
            </x14:sparkline>
            <x14:sparkline>
              <xm:f>'RATIO ANALYSIS'!D11:G11</xm:f>
              <xm:sqref>J11</xm:sqref>
            </x14:sparkline>
            <x14:sparkline>
              <xm:f>'RATIO ANALYSIS'!D12:G12</xm:f>
              <xm:sqref>J12</xm:sqref>
            </x14:sparkline>
            <x14:sparkline>
              <xm:f>'RATIO ANALYSIS'!D13:G13</xm:f>
              <xm:sqref>J13</xm:sqref>
            </x14:sparkline>
            <x14:sparkline>
              <xm:f>'RATIO ANALYSIS'!D14:G14</xm:f>
              <xm:sqref>J14</xm:sqref>
            </x14:sparkline>
          </x14:sparklines>
        </x14:sparklineGroup>
        <x14:sparklineGroup displayEmptyCellsAs="gap" markers="1" high="1" low="1" first="1" last="1" negative="1">
          <x14:colorSeries theme="1"/>
          <x14:colorNegative rgb="FFD00000"/>
          <x14:colorAxis rgb="FF000000"/>
          <x14:colorMarkers rgb="FFD00000"/>
          <x14:colorFirst rgb="FFD00000"/>
          <x14:colorLast rgb="FFD00000"/>
          <x14:colorHigh rgb="FFD00000"/>
          <x14:colorLow rgb="FFD00000"/>
          <x14:sparklines>
            <x14:sparkline>
              <xm:f>'RATIO ANALYSIS'!D39:G39</xm:f>
              <xm:sqref>J39</xm:sqref>
            </x14:sparkline>
            <x14:sparkline>
              <xm:f>'RATIO ANALYSIS'!D40:G40</xm:f>
              <xm:sqref>J40</xm:sqref>
            </x14:sparkline>
            <x14:sparkline>
              <xm:f>'RATIO ANALYSIS'!D41:G41</xm:f>
              <xm:sqref>J41</xm:sqref>
            </x14:sparkline>
            <x14:sparkline>
              <xm:f>'RATIO ANALYSIS'!D42:G42</xm:f>
              <xm:sqref>J42</xm:sqref>
            </x14:sparkline>
          </x14:sparklines>
        </x14:sparklineGroup>
      </x14:sparklineGroup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P67"/>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190" customWidth="1"/>
    <col min="2" max="2" width="44.77734375" style="190" customWidth="1"/>
    <col min="3" max="7" width="16.77734375" style="190"/>
    <col min="8" max="8" width="2" style="190" customWidth="1"/>
    <col min="9" max="9" width="15.21875" style="190" customWidth="1"/>
    <col min="10" max="10" width="22.33203125" style="190" bestFit="1" customWidth="1"/>
    <col min="11" max="16384" width="16.77734375" style="190"/>
  </cols>
  <sheetData>
    <row r="1" spans="2:16" ht="15.6" x14ac:dyDescent="0.4">
      <c r="B1" s="188" t="s">
        <v>342</v>
      </c>
      <c r="C1" s="189"/>
      <c r="D1" s="189"/>
      <c r="E1" s="189"/>
      <c r="F1" s="189"/>
      <c r="G1" s="189"/>
      <c r="I1" s="240"/>
      <c r="J1" s="240"/>
      <c r="K1" s="240"/>
      <c r="L1" s="240"/>
    </row>
    <row r="2" spans="2:16" ht="23.4" x14ac:dyDescent="0.45">
      <c r="B2" s="191" t="s">
        <v>341</v>
      </c>
      <c r="C2" s="189"/>
      <c r="D2" s="189"/>
      <c r="E2" s="189"/>
      <c r="F2" s="189"/>
      <c r="G2" s="189"/>
      <c r="I2" s="240"/>
      <c r="J2" s="240"/>
      <c r="K2" s="240"/>
      <c r="L2" s="240"/>
    </row>
    <row r="3" spans="2:16" x14ac:dyDescent="0.3">
      <c r="B3" s="189" t="s">
        <v>343</v>
      </c>
      <c r="C3" s="189"/>
      <c r="D3" s="189"/>
      <c r="E3" s="189"/>
      <c r="F3" s="189"/>
      <c r="G3" s="189"/>
      <c r="I3" s="240"/>
      <c r="J3" s="240"/>
      <c r="K3" s="240"/>
      <c r="L3" s="240"/>
    </row>
    <row r="4" spans="2:16" x14ac:dyDescent="0.3">
      <c r="I4" s="240"/>
      <c r="J4" s="240"/>
      <c r="K4" s="240"/>
      <c r="L4" s="240"/>
    </row>
    <row r="5" spans="2:16" x14ac:dyDescent="0.3">
      <c r="B5" s="192" t="s">
        <v>227</v>
      </c>
      <c r="C5" s="192"/>
      <c r="D5" s="192"/>
      <c r="E5" s="192"/>
      <c r="F5" s="192"/>
      <c r="G5" s="192"/>
      <c r="H5" s="193"/>
      <c r="I5" s="241"/>
      <c r="J5" s="241"/>
      <c r="K5" s="240"/>
      <c r="L5" s="240"/>
    </row>
    <row r="6" spans="2:16" x14ac:dyDescent="0.3">
      <c r="I6" s="240"/>
      <c r="J6" s="240"/>
      <c r="K6" s="240"/>
      <c r="L6" s="240"/>
    </row>
    <row r="7" spans="2:16" x14ac:dyDescent="0.3">
      <c r="B7" s="192" t="s">
        <v>1</v>
      </c>
      <c r="C7" s="110">
        <v>44440</v>
      </c>
      <c r="D7" s="110">
        <f>EDATE(C7,12)</f>
        <v>44805</v>
      </c>
      <c r="E7" s="110">
        <f t="shared" ref="E7:G7" si="0">EDATE(D7,12)</f>
        <v>45170</v>
      </c>
      <c r="F7" s="110">
        <f t="shared" si="0"/>
        <v>45536</v>
      </c>
      <c r="G7" s="110">
        <f t="shared" si="0"/>
        <v>45901</v>
      </c>
      <c r="I7" s="240"/>
      <c r="J7" s="242"/>
      <c r="K7" s="242"/>
      <c r="L7" s="242"/>
      <c r="M7" s="215"/>
      <c r="N7" s="215"/>
    </row>
    <row r="8" spans="2:16" ht="7.05" customHeight="1" x14ac:dyDescent="0.3"/>
    <row r="9" spans="2:16" x14ac:dyDescent="0.3">
      <c r="B9" s="194" t="s">
        <v>451</v>
      </c>
      <c r="C9" s="190">
        <f>'DATA HISTORICAL'!$C$1814</f>
        <v>5288.15</v>
      </c>
      <c r="D9" s="190">
        <f>'DATA HISTORICAL'!$C$1566</f>
        <v>7591.05</v>
      </c>
      <c r="E9" s="190">
        <f>'DATA HISTORICAL'!$C$1318</f>
        <v>6959.05</v>
      </c>
      <c r="F9" s="190">
        <f>'DATA HISTORICAL'!$C$1072</f>
        <v>10503.05</v>
      </c>
      <c r="G9" s="190">
        <f>'REGRESSION BETA'!$C$34</f>
        <v>11498.65</v>
      </c>
      <c r="M9" s="49"/>
      <c r="N9" s="49"/>
      <c r="O9" s="49"/>
      <c r="P9" s="49"/>
    </row>
    <row r="10" spans="2:16" x14ac:dyDescent="0.3">
      <c r="B10" s="194" t="s">
        <v>96</v>
      </c>
      <c r="C10" s="190">
        <f>'INCOME STATEMENT'!C$45</f>
        <v>189.33</v>
      </c>
      <c r="D10" s="190">
        <f>'INCOME STATEMENT'!D$45</f>
        <v>248.98</v>
      </c>
      <c r="E10" s="190">
        <f>'INCOME STATEMENT'!E$45</f>
        <v>175.54</v>
      </c>
      <c r="F10" s="190">
        <f>'INCOME STATEMENT'!F$45</f>
        <v>242.87</v>
      </c>
      <c r="G10" s="190">
        <f>'INCOME STATEMENT'!G$45</f>
        <v>205.13</v>
      </c>
      <c r="M10" s="49"/>
      <c r="N10" s="49"/>
    </row>
    <row r="11" spans="2:16" ht="7.05" customHeight="1" x14ac:dyDescent="0.3"/>
    <row r="12" spans="2:16" x14ac:dyDescent="0.3">
      <c r="B12" s="195" t="s">
        <v>228</v>
      </c>
      <c r="C12" s="27">
        <f>C9/C10</f>
        <v>27.930861458828495</v>
      </c>
      <c r="D12" s="27">
        <f t="shared" ref="D12:G12" si="1">D9/D10</f>
        <v>30.488593461322196</v>
      </c>
      <c r="E12" s="27">
        <f t="shared" si="1"/>
        <v>39.643670958186171</v>
      </c>
      <c r="F12" s="27">
        <f t="shared" si="1"/>
        <v>43.245563470169223</v>
      </c>
      <c r="G12" s="27">
        <f t="shared" si="1"/>
        <v>56.055428265002682</v>
      </c>
      <c r="J12" s="216"/>
      <c r="K12" s="216"/>
      <c r="L12" s="216"/>
      <c r="M12" s="21"/>
      <c r="N12" s="216"/>
    </row>
    <row r="13" spans="2:16" ht="7.05" customHeight="1" x14ac:dyDescent="0.3"/>
    <row r="14" spans="2:16" x14ac:dyDescent="0.3">
      <c r="B14" s="194" t="s">
        <v>451</v>
      </c>
      <c r="C14" s="190">
        <f>$C$9</f>
        <v>5288.15</v>
      </c>
      <c r="D14" s="190">
        <f>$D$9</f>
        <v>7591.05</v>
      </c>
      <c r="E14" s="190">
        <f>$E$9</f>
        <v>6959.05</v>
      </c>
      <c r="F14" s="190">
        <f>$F$9</f>
        <v>10503.05</v>
      </c>
      <c r="G14" s="190">
        <f>$G$9</f>
        <v>11498.65</v>
      </c>
    </row>
    <row r="15" spans="2:16" x14ac:dyDescent="0.3">
      <c r="B15" s="194" t="s">
        <v>452</v>
      </c>
      <c r="C15" s="190">
        <f>'BALANCE SHEET'!C$72/'INCOME STATEMENT'!C$44</f>
        <v>1504.7613206189276</v>
      </c>
      <c r="D15" s="190">
        <f>'BALANCE SHEET'!D$72/'INCOME STATEMENT'!D$44</f>
        <v>1750.7324394644097</v>
      </c>
      <c r="E15" s="190">
        <f>'BALANCE SHEET'!E$72/'INCOME STATEMENT'!E$44</f>
        <v>1881.1271916628682</v>
      </c>
      <c r="F15" s="190">
        <f>'BALANCE SHEET'!F$72/'INCOME STATEMENT'!F$44</f>
        <v>2072.7063369703842</v>
      </c>
      <c r="G15" s="190">
        <f>'BALANCE SHEET'!G$72/'INCOME STATEMENT'!G$44</f>
        <v>2357.1780676092962</v>
      </c>
    </row>
    <row r="16" spans="2:16" ht="7.05" customHeight="1" x14ac:dyDescent="0.3"/>
    <row r="17" spans="2:14" x14ac:dyDescent="0.3">
      <c r="B17" s="195" t="s">
        <v>453</v>
      </c>
      <c r="C17" s="27">
        <f>C14/C15</f>
        <v>3.5142782629639338</v>
      </c>
      <c r="D17" s="27">
        <f t="shared" ref="D17:G17" si="2">D14/D15</f>
        <v>4.3359281115064512</v>
      </c>
      <c r="E17" s="27">
        <f t="shared" si="2"/>
        <v>3.6994042884725826</v>
      </c>
      <c r="F17" s="27">
        <f t="shared" si="2"/>
        <v>5.067312147726633</v>
      </c>
      <c r="G17" s="27">
        <f t="shared" si="2"/>
        <v>4.8781422829299412</v>
      </c>
      <c r="J17" s="216"/>
      <c r="K17" s="216"/>
      <c r="L17" s="216"/>
      <c r="M17" s="216"/>
      <c r="N17" s="216"/>
    </row>
    <row r="18" spans="2:14" ht="7.05" customHeight="1" x14ac:dyDescent="0.3"/>
    <row r="19" spans="2:14" x14ac:dyDescent="0.3">
      <c r="B19" s="194" t="s">
        <v>207</v>
      </c>
      <c r="C19" s="190">
        <f>C$14*'INCOME STATEMENT'!C$44</f>
        <v>155239.7279881688</v>
      </c>
      <c r="D19" s="190">
        <f>D$14*'INCOME STATEMENT'!D$44</f>
        <v>218683.70500441795</v>
      </c>
      <c r="E19" s="190">
        <f>E$14*'INCOME STATEMENT'!E$44</f>
        <v>200968.43624530034</v>
      </c>
      <c r="F19" s="190">
        <f>F$14*'INCOME STATEMENT'!F$44</f>
        <v>305183.94140898419</v>
      </c>
      <c r="G19" s="190">
        <f>G$14*'INCOME STATEMENT'!G$44</f>
        <v>344909.05011456151</v>
      </c>
    </row>
    <row r="20" spans="2:14" x14ac:dyDescent="0.3">
      <c r="B20" s="194" t="s">
        <v>216</v>
      </c>
      <c r="C20" s="190">
        <f>'INCOME STATEMENT'!C$14</f>
        <v>45459</v>
      </c>
      <c r="D20" s="190">
        <f>'INCOME STATEMENT'!D$14</f>
        <v>53106.64</v>
      </c>
      <c r="E20" s="190">
        <f>'INCOME STATEMENT'!E$14</f>
        <v>63743.060000000005</v>
      </c>
      <c r="F20" s="190">
        <f>'INCOME STATEMENT'!F$14</f>
        <v>71525</v>
      </c>
      <c r="G20" s="190">
        <f>'INCOME STATEMENT'!G$14</f>
        <v>76699</v>
      </c>
    </row>
    <row r="21" spans="2:14" ht="7.05" customHeight="1" x14ac:dyDescent="0.3"/>
    <row r="22" spans="2:14" x14ac:dyDescent="0.3">
      <c r="B22" s="195" t="s">
        <v>454</v>
      </c>
      <c r="C22" s="27">
        <f>C19/C20</f>
        <v>3.4149393516832487</v>
      </c>
      <c r="D22" s="27">
        <f>D19/D20</f>
        <v>4.1178222724016802</v>
      </c>
      <c r="E22" s="27">
        <f>E19/E20</f>
        <v>3.1527892800455506</v>
      </c>
      <c r="F22" s="27">
        <f>F19/F20</f>
        <v>4.2668149795034491</v>
      </c>
      <c r="G22" s="27">
        <f t="shared" ref="G22" si="3">G19/G20</f>
        <v>4.4969171712090317</v>
      </c>
      <c r="J22" s="216"/>
      <c r="K22" s="216"/>
      <c r="L22" s="216"/>
      <c r="M22" s="216"/>
      <c r="N22" s="216"/>
    </row>
    <row r="23" spans="2:14" ht="7.05" customHeight="1" x14ac:dyDescent="0.3"/>
    <row r="24" spans="2:14" x14ac:dyDescent="0.3">
      <c r="B24" s="194" t="s">
        <v>268</v>
      </c>
      <c r="C24" s="190">
        <f>C$19+C$39-'BALANCE SHEET'!C$17-'BALANCE SHEET'!C$17</f>
        <v>172668.7279881688</v>
      </c>
      <c r="D24" s="190">
        <f>D$19+D$39-'BALANCE SHEET'!D$17-'BALANCE SHEET'!D$17</f>
        <v>228645.46500441793</v>
      </c>
      <c r="E24" s="190">
        <f>E$19+E$39-'BALANCE SHEET'!E$17-'BALANCE SHEET'!E$17</f>
        <v>210128.47624530035</v>
      </c>
      <c r="F24" s="190">
        <f>F$19+F$39-'BALANCE SHEET'!F$17-'BALANCE SHEET'!F$17</f>
        <v>314374.94140898419</v>
      </c>
      <c r="G24" s="190">
        <f>G$19+G$39-'BALANCE SHEET'!G$17-'BALANCE SHEET'!G$17</f>
        <v>367005.05011456151</v>
      </c>
    </row>
    <row r="25" spans="2:14" x14ac:dyDescent="0.3">
      <c r="B25" s="194" t="s">
        <v>7</v>
      </c>
      <c r="C25" s="190">
        <f>'INCOME STATEMENT'!C$30</f>
        <v>12281</v>
      </c>
      <c r="D25" s="190">
        <f>'INCOME STATEMENT'!D$30</f>
        <v>12022.159999999998</v>
      </c>
      <c r="E25" s="190">
        <f>'INCOME STATEMENT'!E$30</f>
        <v>11122.930000000002</v>
      </c>
      <c r="F25" s="190">
        <f>'INCOME STATEMENT'!F$30</f>
        <v>13588</v>
      </c>
      <c r="G25" s="190">
        <f>'INCOME STATEMENT'!G$30</f>
        <v>13305</v>
      </c>
    </row>
    <row r="26" spans="2:14" ht="7.05" customHeight="1" x14ac:dyDescent="0.3"/>
    <row r="27" spans="2:14" x14ac:dyDescent="0.3">
      <c r="B27" s="195" t="s">
        <v>229</v>
      </c>
      <c r="C27" s="27">
        <f>C24/C25</f>
        <v>14.059826397538377</v>
      </c>
      <c r="D27" s="27">
        <f>D24/D25</f>
        <v>19.018667610846801</v>
      </c>
      <c r="E27" s="27">
        <f>E24/E25</f>
        <v>18.891468007557389</v>
      </c>
      <c r="F27" s="27">
        <f>F24/F25</f>
        <v>23.136218826095391</v>
      </c>
      <c r="G27" s="27">
        <f t="shared" ref="G27" si="4">G24/G25</f>
        <v>27.583994747430403</v>
      </c>
      <c r="J27" s="216"/>
      <c r="K27" s="216"/>
      <c r="L27" s="216"/>
      <c r="M27" s="216"/>
      <c r="N27" s="216"/>
    </row>
    <row r="28" spans="2:14" ht="7.05" customHeight="1" x14ac:dyDescent="0.3"/>
    <row r="29" spans="2:14" x14ac:dyDescent="0.3">
      <c r="B29" s="194" t="s">
        <v>15</v>
      </c>
      <c r="C29" s="190">
        <f>'INCOME STATEMENT'!C$47</f>
        <v>12.740089960417416</v>
      </c>
      <c r="D29" s="190">
        <f>'INCOME STATEMENT'!D$47</f>
        <v>36.968773004082195</v>
      </c>
      <c r="E29" s="190">
        <f>'INCOME STATEMENT'!E$47</f>
        <v>37.778686503451098</v>
      </c>
      <c r="F29" s="190">
        <f>'INCOME STATEMENT'!F$47</f>
        <v>37.650528553209583</v>
      </c>
      <c r="G29" s="190">
        <f>'INCOME STATEMENT'!G$47</f>
        <v>67.04313830651715</v>
      </c>
    </row>
    <row r="30" spans="2:14" x14ac:dyDescent="0.3">
      <c r="B30" s="194" t="s">
        <v>451</v>
      </c>
      <c r="C30" s="190">
        <f>$C$9</f>
        <v>5288.15</v>
      </c>
      <c r="D30" s="190">
        <f>$D$9</f>
        <v>7591.05</v>
      </c>
      <c r="E30" s="190">
        <f>$E$9</f>
        <v>6959.05</v>
      </c>
      <c r="F30" s="190">
        <f>$F$9</f>
        <v>10503.05</v>
      </c>
      <c r="G30" s="190">
        <f>$G$9</f>
        <v>11498.65</v>
      </c>
    </row>
    <row r="31" spans="2:14" ht="7.05" customHeight="1" x14ac:dyDescent="0.3"/>
    <row r="32" spans="2:14" x14ac:dyDescent="0.3">
      <c r="B32" s="195" t="s">
        <v>455</v>
      </c>
      <c r="C32" s="19">
        <f>C29/C30</f>
        <v>2.4091771149489741E-3</v>
      </c>
      <c r="D32" s="19">
        <f t="shared" ref="D32:G32" si="5">D29/D30</f>
        <v>4.8700473589400935E-3</v>
      </c>
      <c r="E32" s="19">
        <f t="shared" si="5"/>
        <v>5.4287131869222233E-3</v>
      </c>
      <c r="F32" s="19">
        <f t="shared" si="5"/>
        <v>3.5847233473333541E-3</v>
      </c>
      <c r="G32" s="19">
        <f t="shared" si="5"/>
        <v>5.8305225662592698E-3</v>
      </c>
      <c r="J32" s="21"/>
      <c r="K32" s="21"/>
      <c r="L32" s="21"/>
      <c r="M32" s="21"/>
      <c r="N32" s="21"/>
    </row>
    <row r="33" spans="2:14" ht="7.05" customHeight="1" x14ac:dyDescent="0.3"/>
    <row r="34" spans="2:14" x14ac:dyDescent="0.3">
      <c r="B34" s="194" t="s">
        <v>228</v>
      </c>
      <c r="C34" s="52">
        <f>C$12</f>
        <v>27.930861458828495</v>
      </c>
      <c r="D34" s="52">
        <f t="shared" ref="D34:G34" si="6">D$12</f>
        <v>30.488593461322196</v>
      </c>
      <c r="E34" s="52">
        <f t="shared" si="6"/>
        <v>39.643670958186171</v>
      </c>
      <c r="F34" s="52">
        <f t="shared" si="6"/>
        <v>43.245563470169223</v>
      </c>
      <c r="G34" s="52">
        <f t="shared" si="6"/>
        <v>56.055428265002682</v>
      </c>
      <c r="J34" s="52"/>
      <c r="K34" s="52"/>
      <c r="L34" s="52"/>
      <c r="M34" s="52"/>
      <c r="N34" s="52"/>
    </row>
    <row r="35" spans="2:14" x14ac:dyDescent="0.3">
      <c r="B35" s="194" t="s">
        <v>2669</v>
      </c>
      <c r="C35" s="190">
        <f>'YoY GROWTH %'!C$21</f>
        <v>0</v>
      </c>
      <c r="D35" s="49">
        <f>'YoY GROWTH %'!D$21</f>
        <v>0.3150583637035862</v>
      </c>
      <c r="E35" s="49">
        <f>'YoY GROWTH %'!E$21</f>
        <v>-0.29496345087958875</v>
      </c>
      <c r="F35" s="49">
        <f>'YoY GROWTH %'!F$21</f>
        <v>0.38355930272302619</v>
      </c>
      <c r="G35" s="49">
        <f>'YoY GROWTH %'!G$21</f>
        <v>-0.15539177337670362</v>
      </c>
      <c r="J35" s="49"/>
      <c r="K35" s="49"/>
      <c r="L35" s="49"/>
      <c r="M35" s="49"/>
      <c r="N35" s="49"/>
    </row>
    <row r="36" spans="2:14" ht="7.05" customHeight="1" x14ac:dyDescent="0.3"/>
    <row r="37" spans="2:14" x14ac:dyDescent="0.3">
      <c r="B37" s="195" t="s">
        <v>458</v>
      </c>
      <c r="C37" s="196">
        <f>'YoY GROWTH %'!C$20</f>
        <v>0</v>
      </c>
      <c r="D37" s="27">
        <f>(D34/D35)/10</f>
        <v>9.6771255658543733</v>
      </c>
      <c r="E37" s="27">
        <f t="shared" ref="E37:G37" si="7">(E34/E35)/10</f>
        <v>-13.440197705840401</v>
      </c>
      <c r="F37" s="27">
        <f t="shared" si="7"/>
        <v>11.274805007505574</v>
      </c>
      <c r="G37" s="27">
        <f t="shared" si="7"/>
        <v>-36.073613838688921</v>
      </c>
      <c r="J37" s="216"/>
      <c r="K37" s="216"/>
      <c r="L37" s="216"/>
      <c r="M37" s="216"/>
      <c r="N37" s="216"/>
    </row>
    <row r="38" spans="2:14" ht="7.05" customHeight="1" x14ac:dyDescent="0.3"/>
    <row r="39" spans="2:14" x14ac:dyDescent="0.3">
      <c r="B39" s="194" t="s">
        <v>60</v>
      </c>
      <c r="C39" s="190">
        <f>'BALANCE SHEET'!C$44+'BALANCE SHEET'!C$56</f>
        <v>17783</v>
      </c>
      <c r="D39" s="190">
        <f>'BALANCE SHEET'!D$44+'BALANCE SHEET'!D$56</f>
        <v>10202.84</v>
      </c>
      <c r="E39" s="190">
        <f>'BALANCE SHEET'!E$44+'BALANCE SHEET'!E$56</f>
        <v>9900.7799999999988</v>
      </c>
      <c r="F39" s="190">
        <f>'BALANCE SHEET'!F$44+'BALANCE SHEET'!F$56</f>
        <v>10297</v>
      </c>
      <c r="G39" s="190">
        <f>'BALANCE SHEET'!G$44+'BALANCE SHEET'!G$56</f>
        <v>23030</v>
      </c>
    </row>
    <row r="40" spans="2:14" x14ac:dyDescent="0.3">
      <c r="B40" s="194" t="s">
        <v>456</v>
      </c>
      <c r="C40" s="190">
        <f>'BALANCE SHEET'!C$72</f>
        <v>44174</v>
      </c>
      <c r="D40" s="190">
        <f>'BALANCE SHEET'!D$72</f>
        <v>50435.27</v>
      </c>
      <c r="E40" s="190">
        <f>'BALANCE SHEET'!E$72</f>
        <v>54324.54</v>
      </c>
      <c r="F40" s="190">
        <f>'BALANCE SHEET'!F$72</f>
        <v>60226</v>
      </c>
      <c r="G40" s="190">
        <f>'BALANCE SHEET'!G$72</f>
        <v>70705</v>
      </c>
      <c r="I40" s="547" t="s">
        <v>2777</v>
      </c>
      <c r="J40" s="547"/>
      <c r="K40" s="547"/>
      <c r="L40" s="547"/>
    </row>
    <row r="41" spans="2:14" ht="7.05" customHeight="1" x14ac:dyDescent="0.3">
      <c r="I41" s="547"/>
      <c r="J41" s="547"/>
      <c r="K41" s="547"/>
      <c r="L41" s="547"/>
    </row>
    <row r="42" spans="2:14" x14ac:dyDescent="0.3">
      <c r="B42" s="195" t="s">
        <v>457</v>
      </c>
      <c r="C42" s="27">
        <f>C39/C40</f>
        <v>0.40256712093086433</v>
      </c>
      <c r="D42" s="27">
        <f>D39/D40</f>
        <v>0.20229573471104648</v>
      </c>
      <c r="E42" s="27">
        <f>E39/E40</f>
        <v>0.18225244060971338</v>
      </c>
      <c r="F42" s="27">
        <f>F39/F40</f>
        <v>0.17097266961113142</v>
      </c>
      <c r="G42" s="27">
        <f t="shared" ref="G42" si="8">G39/G40</f>
        <v>0.32571953892935435</v>
      </c>
      <c r="I42" s="547"/>
      <c r="J42" s="547"/>
      <c r="K42" s="547"/>
      <c r="L42" s="547"/>
      <c r="M42" s="216"/>
      <c r="N42" s="216"/>
    </row>
    <row r="57" spans="4:7" x14ac:dyDescent="0.3">
      <c r="D57" s="203" t="s">
        <v>109</v>
      </c>
      <c r="E57" s="544" t="s">
        <v>2670</v>
      </c>
      <c r="F57" s="544"/>
      <c r="G57" s="238" t="s">
        <v>485</v>
      </c>
    </row>
    <row r="58" spans="4:7" x14ac:dyDescent="0.3">
      <c r="D58" s="389" t="s">
        <v>245</v>
      </c>
      <c r="E58" s="548" t="s">
        <v>2658</v>
      </c>
      <c r="F58" s="549"/>
      <c r="G58" s="469" t="s">
        <v>490</v>
      </c>
    </row>
    <row r="59" spans="4:7" x14ac:dyDescent="0.3">
      <c r="D59" s="390" t="s">
        <v>486</v>
      </c>
      <c r="E59" s="527" t="s">
        <v>489</v>
      </c>
      <c r="F59" s="543"/>
      <c r="G59" s="469" t="s">
        <v>491</v>
      </c>
    </row>
    <row r="60" spans="4:7" x14ac:dyDescent="0.3">
      <c r="D60" s="390" t="s">
        <v>454</v>
      </c>
      <c r="E60" s="527" t="s">
        <v>2659</v>
      </c>
      <c r="F60" s="543"/>
      <c r="G60" s="469" t="s">
        <v>490</v>
      </c>
    </row>
    <row r="61" spans="4:7" x14ac:dyDescent="0.3">
      <c r="D61" s="390" t="s">
        <v>487</v>
      </c>
      <c r="E61" s="527" t="s">
        <v>2662</v>
      </c>
      <c r="F61" s="543"/>
      <c r="G61" s="471" t="s">
        <v>2867</v>
      </c>
    </row>
    <row r="62" spans="4:7" x14ac:dyDescent="0.3">
      <c r="D62" s="390" t="s">
        <v>488</v>
      </c>
      <c r="E62" s="527" t="s">
        <v>2661</v>
      </c>
      <c r="F62" s="543"/>
      <c r="G62" s="472" t="s">
        <v>2660</v>
      </c>
    </row>
    <row r="63" spans="4:7" x14ac:dyDescent="0.3">
      <c r="D63" s="390" t="s">
        <v>458</v>
      </c>
      <c r="E63" s="527" t="s">
        <v>2869</v>
      </c>
      <c r="F63" s="543"/>
      <c r="G63" s="472" t="s">
        <v>2660</v>
      </c>
    </row>
    <row r="64" spans="4:7" x14ac:dyDescent="0.3">
      <c r="D64" s="391" t="s">
        <v>457</v>
      </c>
      <c r="E64" s="544" t="s">
        <v>2868</v>
      </c>
      <c r="F64" s="545"/>
      <c r="G64" s="470" t="s">
        <v>492</v>
      </c>
    </row>
    <row r="65" spans="2:12" x14ac:dyDescent="0.3">
      <c r="D65" s="546"/>
      <c r="E65" s="546"/>
      <c r="F65" s="546"/>
      <c r="G65" s="546"/>
    </row>
    <row r="67" spans="2:12" x14ac:dyDescent="0.3">
      <c r="B67" s="189"/>
      <c r="C67" s="189"/>
      <c r="D67" s="189"/>
      <c r="E67" s="189"/>
      <c r="F67" s="189"/>
      <c r="G67" s="189"/>
      <c r="H67" s="189"/>
      <c r="I67" s="189"/>
      <c r="J67" s="189"/>
      <c r="K67" s="189"/>
      <c r="L67" s="189"/>
    </row>
  </sheetData>
  <mergeCells count="10">
    <mergeCell ref="E62:F62"/>
    <mergeCell ref="E61:F61"/>
    <mergeCell ref="E64:F64"/>
    <mergeCell ref="D65:G65"/>
    <mergeCell ref="I40:L42"/>
    <mergeCell ref="E58:F58"/>
    <mergeCell ref="E59:F59"/>
    <mergeCell ref="E60:F60"/>
    <mergeCell ref="E63:F63"/>
    <mergeCell ref="E57:F57"/>
  </mergeCells>
  <printOptions horizontalCentered="1" verticalCentered="1"/>
  <pageMargins left="0" right="0" top="0" bottom="0" header="0" footer="0"/>
  <pageSetup paperSize="9" scale="65" orientation="landscape" horizontalDpi="1200" verticalDpi="1200" r:id="rId1"/>
  <colBreaks count="1" manualBreakCount="1">
    <brk id="12" max="1048575"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O4966"/>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53" customWidth="1"/>
    <col min="2" max="2" width="44.77734375" style="53" customWidth="1"/>
    <col min="3" max="5" width="16.77734375" style="53"/>
    <col min="6" max="6" width="2.77734375" style="53" customWidth="1"/>
    <col min="7" max="8" width="16.77734375" style="53"/>
    <col min="9" max="9" width="2.77734375" style="53" customWidth="1"/>
    <col min="10" max="16384" width="16.77734375" style="53"/>
  </cols>
  <sheetData>
    <row r="1" spans="2:14" ht="15.6" x14ac:dyDescent="0.4">
      <c r="B1" s="104" t="s">
        <v>342</v>
      </c>
      <c r="C1" s="105"/>
      <c r="D1" s="105"/>
      <c r="E1" s="105"/>
      <c r="F1" s="105"/>
      <c r="G1" s="105"/>
      <c r="H1" s="105"/>
      <c r="I1" s="105"/>
      <c r="J1" s="105"/>
      <c r="K1" s="105"/>
      <c r="L1" s="105"/>
      <c r="M1" s="105"/>
      <c r="N1" s="105"/>
    </row>
    <row r="2" spans="2:14" ht="23.4" x14ac:dyDescent="0.45">
      <c r="B2" s="106" t="s">
        <v>341</v>
      </c>
      <c r="C2" s="105"/>
      <c r="D2" s="105"/>
      <c r="E2" s="105"/>
      <c r="F2" s="105"/>
      <c r="G2" s="105"/>
      <c r="H2" s="105"/>
      <c r="I2" s="105"/>
      <c r="J2" s="105"/>
      <c r="K2" s="105"/>
      <c r="L2" s="105"/>
      <c r="M2" s="105"/>
      <c r="N2" s="105"/>
    </row>
    <row r="3" spans="2:14" x14ac:dyDescent="0.3">
      <c r="B3" s="105" t="s">
        <v>343</v>
      </c>
      <c r="C3" s="105"/>
      <c r="D3" s="105"/>
      <c r="E3" s="105"/>
      <c r="F3" s="105"/>
      <c r="G3" s="105"/>
      <c r="H3" s="105"/>
      <c r="I3" s="105"/>
      <c r="J3" s="105"/>
      <c r="K3" s="105"/>
      <c r="L3" s="105"/>
      <c r="M3" s="105"/>
      <c r="N3" s="105"/>
    </row>
    <row r="4" spans="2:14" x14ac:dyDescent="0.3">
      <c r="B4" s="3"/>
      <c r="C4" s="3"/>
      <c r="D4" s="3"/>
      <c r="E4" s="3"/>
      <c r="F4" s="3"/>
      <c r="G4" s="3"/>
      <c r="H4" s="3"/>
      <c r="I4" s="3"/>
      <c r="J4" s="3"/>
      <c r="K4" s="3"/>
      <c r="L4" s="3"/>
      <c r="M4" s="3"/>
      <c r="N4" s="3"/>
    </row>
    <row r="5" spans="2:14" x14ac:dyDescent="0.3">
      <c r="B5" s="107" t="s">
        <v>285</v>
      </c>
      <c r="C5" s="107"/>
      <c r="D5" s="107"/>
      <c r="E5" s="107"/>
      <c r="F5" s="107"/>
      <c r="G5" s="107"/>
      <c r="H5" s="107"/>
      <c r="I5" s="107"/>
      <c r="J5" s="107"/>
      <c r="K5" s="107"/>
      <c r="L5" s="107"/>
      <c r="M5" s="107"/>
      <c r="N5" s="107"/>
    </row>
    <row r="6" spans="2:14" ht="13.95" customHeight="1" x14ac:dyDescent="0.3"/>
    <row r="7" spans="2:14" x14ac:dyDescent="0.3">
      <c r="B7" s="40" t="s">
        <v>97</v>
      </c>
      <c r="C7" s="41" t="s">
        <v>98</v>
      </c>
      <c r="D7" s="41" t="s">
        <v>270</v>
      </c>
      <c r="E7" s="41" t="s">
        <v>271</v>
      </c>
      <c r="G7" s="43" t="s">
        <v>281</v>
      </c>
      <c r="H7" s="43" t="s">
        <v>282</v>
      </c>
      <c r="J7" s="550" t="s">
        <v>447</v>
      </c>
      <c r="K7" s="550"/>
      <c r="L7" s="550"/>
      <c r="M7" s="550"/>
      <c r="N7" s="550"/>
    </row>
    <row r="8" spans="2:14" ht="7.05" customHeight="1" x14ac:dyDescent="0.3"/>
    <row r="9" spans="2:14" x14ac:dyDescent="0.3">
      <c r="B9" s="58">
        <f>'DATA HISTORICAL'!$B654</f>
        <v>45904</v>
      </c>
      <c r="C9" s="60">
        <f>'DATA HISTORICAL'!$C654</f>
        <v>12651</v>
      </c>
      <c r="D9" s="53">
        <f t="shared" ref="D9:D72" si="0">LN(C9/C10)</f>
        <v>-6.4607851587660517E-3</v>
      </c>
      <c r="E9" s="53">
        <v>0.15957956643838175</v>
      </c>
      <c r="G9" s="90">
        <v>1</v>
      </c>
      <c r="H9" s="90">
        <f t="shared" ref="H9:H72" ca="1" si="1">_xlfn.NORM.INV(RAND(),N$10,N$11)</f>
        <v>2.5650893238195846E-2</v>
      </c>
      <c r="J9" s="172" t="s">
        <v>283</v>
      </c>
    </row>
    <row r="10" spans="2:14" x14ac:dyDescent="0.3">
      <c r="B10" s="58">
        <f>'DATA HISTORICAL'!$B655</f>
        <v>45903</v>
      </c>
      <c r="C10" s="60">
        <f>'DATA HISTORICAL'!$C655</f>
        <v>12733</v>
      </c>
      <c r="D10" s="53">
        <f t="shared" si="0"/>
        <v>2.3563602198329605E-4</v>
      </c>
      <c r="E10" s="53">
        <v>0.14843479812709759</v>
      </c>
      <c r="G10" s="90">
        <v>2</v>
      </c>
      <c r="H10" s="90">
        <f t="shared" ca="1" si="1"/>
        <v>1.3582152727275934E-2</v>
      </c>
      <c r="J10" s="53" t="s">
        <v>272</v>
      </c>
      <c r="N10" s="42">
        <f>AVERAGE(E9:E4964)</f>
        <v>5.7644881696317625E-3</v>
      </c>
    </row>
    <row r="11" spans="2:14" x14ac:dyDescent="0.3">
      <c r="B11" s="58">
        <f>'DATA HISTORICAL'!$B656</f>
        <v>45902</v>
      </c>
      <c r="C11" s="60">
        <f>'DATA HISTORICAL'!$C656</f>
        <v>12730</v>
      </c>
      <c r="D11" s="53">
        <f t="shared" si="0"/>
        <v>-7.5129481573560581E-3</v>
      </c>
      <c r="E11" s="53">
        <v>0.12841012823066955</v>
      </c>
      <c r="G11" s="90">
        <v>3</v>
      </c>
      <c r="H11" s="90">
        <f t="shared" ca="1" si="1"/>
        <v>2.1212411159431982E-2</v>
      </c>
      <c r="J11" s="53" t="s">
        <v>273</v>
      </c>
      <c r="N11" s="49">
        <f>_xlfn.STDEV.S(E9:E4964)</f>
        <v>1.782166399306169E-2</v>
      </c>
    </row>
    <row r="12" spans="2:14" x14ac:dyDescent="0.3">
      <c r="B12" s="58">
        <f>'DATA HISTORICAL'!$B657</f>
        <v>45901</v>
      </c>
      <c r="C12" s="60">
        <f>'DATA HISTORICAL'!$C657</f>
        <v>12826</v>
      </c>
      <c r="D12" s="53">
        <f t="shared" si="0"/>
        <v>1.4607972007959784E-2</v>
      </c>
      <c r="E12" s="53">
        <v>0.11407271279643189</v>
      </c>
      <c r="G12" s="90">
        <v>4</v>
      </c>
      <c r="H12" s="90">
        <f t="shared" ca="1" si="1"/>
        <v>-1.2677436204578712E-2</v>
      </c>
      <c r="J12" s="53" t="s">
        <v>274</v>
      </c>
      <c r="N12" s="49">
        <f>MIN(E9:E4964)</f>
        <v>-2.1184284549014207E-2</v>
      </c>
    </row>
    <row r="13" spans="2:14" x14ac:dyDescent="0.3">
      <c r="B13" s="58">
        <f>'DATA HISTORICAL'!$B658</f>
        <v>45898</v>
      </c>
      <c r="C13" s="60">
        <f>'DATA HISTORICAL'!$C658</f>
        <v>12640</v>
      </c>
      <c r="D13" s="53">
        <f t="shared" si="0"/>
        <v>9.459154031900726E-3</v>
      </c>
      <c r="E13" s="53">
        <v>0.11285202205219863</v>
      </c>
      <c r="G13" s="90">
        <v>5</v>
      </c>
      <c r="H13" s="90">
        <f t="shared" ca="1" si="1"/>
        <v>1.482688290875999E-2</v>
      </c>
      <c r="J13" s="53" t="s">
        <v>275</v>
      </c>
      <c r="N13" s="49">
        <f>MAX(E9:E4964)</f>
        <v>0.15957956643838175</v>
      </c>
    </row>
    <row r="14" spans="2:14" x14ac:dyDescent="0.3">
      <c r="B14" s="58">
        <f>'DATA HISTORICAL'!$B659</f>
        <v>45897</v>
      </c>
      <c r="C14" s="60">
        <f>'DATA HISTORICAL'!$C659</f>
        <v>12521</v>
      </c>
      <c r="D14" s="53">
        <f>LN(C14/C15)</f>
        <v>-7.0829152900175382E-3</v>
      </c>
      <c r="E14" s="53">
        <v>0.11137211338847805</v>
      </c>
      <c r="G14" s="90">
        <v>6</v>
      </c>
      <c r="H14" s="90">
        <f t="shared" ca="1" si="1"/>
        <v>-1.002104171129738E-2</v>
      </c>
      <c r="J14" s="68" t="s">
        <v>280</v>
      </c>
      <c r="K14" s="68"/>
      <c r="L14" s="68"/>
      <c r="M14" s="68"/>
      <c r="N14" s="68">
        <f>'PV FCFF'!$C$52</f>
        <v>11499</v>
      </c>
    </row>
    <row r="15" spans="2:14" x14ac:dyDescent="0.3">
      <c r="B15" s="58">
        <f>'DATA HISTORICAL'!$B660</f>
        <v>45895</v>
      </c>
      <c r="C15" s="60">
        <f>'DATA HISTORICAL'!$C660</f>
        <v>12610</v>
      </c>
      <c r="D15" s="53">
        <f t="shared" si="0"/>
        <v>3.1725888590984164E-4</v>
      </c>
      <c r="E15" s="53">
        <v>0.10894747869593141</v>
      </c>
      <c r="G15" s="90">
        <v>7</v>
      </c>
      <c r="H15" s="90">
        <f t="shared" ca="1" si="1"/>
        <v>-1.3618675591517387E-2</v>
      </c>
    </row>
    <row r="16" spans="2:14" x14ac:dyDescent="0.3">
      <c r="B16" s="58">
        <f>'DATA HISTORICAL'!$B661</f>
        <v>45894</v>
      </c>
      <c r="C16" s="60">
        <f>'DATA HISTORICAL'!$C661</f>
        <v>12606</v>
      </c>
      <c r="D16" s="53">
        <f t="shared" si="0"/>
        <v>1.3494743067960699E-3</v>
      </c>
      <c r="E16" s="53">
        <v>0.10814271882271316</v>
      </c>
      <c r="G16" s="90">
        <v>8</v>
      </c>
      <c r="H16" s="90">
        <f t="shared" ca="1" si="1"/>
        <v>-1.4267060598108224E-2</v>
      </c>
      <c r="J16" s="172" t="s">
        <v>284</v>
      </c>
    </row>
    <row r="17" spans="2:15" x14ac:dyDescent="0.3">
      <c r="B17" s="58">
        <f>'DATA HISTORICAL'!$B662</f>
        <v>45891</v>
      </c>
      <c r="C17" s="60">
        <f>'DATA HISTORICAL'!$C662</f>
        <v>12589</v>
      </c>
      <c r="D17" s="53">
        <f t="shared" si="0"/>
        <v>-2.2075604823913034E-2</v>
      </c>
      <c r="E17" s="53">
        <v>0.10747536825875487</v>
      </c>
      <c r="G17" s="90">
        <v>9</v>
      </c>
      <c r="H17" s="90">
        <f t="shared" ca="1" si="1"/>
        <v>1.7644772915982924E-2</v>
      </c>
      <c r="J17" s="53" t="s">
        <v>272</v>
      </c>
      <c r="N17" s="42">
        <f ca="1">AVERAGE(H9:H4964)</f>
        <v>5.6003370212407899E-3</v>
      </c>
    </row>
    <row r="18" spans="2:15" x14ac:dyDescent="0.3">
      <c r="B18" s="58">
        <f>'DATA HISTORICAL'!$B663</f>
        <v>45890</v>
      </c>
      <c r="C18" s="60">
        <f>'DATA HISTORICAL'!$C663</f>
        <v>12870</v>
      </c>
      <c r="D18" s="53">
        <f t="shared" si="0"/>
        <v>-3.1075202238883186E-4</v>
      </c>
      <c r="E18" s="53">
        <v>0.10618671757035038</v>
      </c>
      <c r="G18" s="90">
        <v>10</v>
      </c>
      <c r="H18" s="90">
        <f t="shared" ca="1" si="1"/>
        <v>-1.3783696695234531E-3</v>
      </c>
      <c r="J18" s="53" t="s">
        <v>273</v>
      </c>
      <c r="N18" s="49">
        <f ca="1">_xlfn.STDEV.S(H12:H4964)</f>
        <v>1.7937411294947699E-2</v>
      </c>
    </row>
    <row r="19" spans="2:15" x14ac:dyDescent="0.3">
      <c r="B19" s="58">
        <f>'DATA HISTORICAL'!$B664</f>
        <v>45889</v>
      </c>
      <c r="C19" s="60">
        <f>'DATA HISTORICAL'!$C664</f>
        <v>12874</v>
      </c>
      <c r="D19" s="53">
        <f t="shared" si="0"/>
        <v>8.5480053384575391E-4</v>
      </c>
      <c r="E19" s="53">
        <v>0.1059251052084877</v>
      </c>
      <c r="G19" s="90">
        <v>11</v>
      </c>
      <c r="H19" s="90">
        <f t="shared" ca="1" si="1"/>
        <v>-2.1197209166022947E-2</v>
      </c>
      <c r="J19" s="53" t="s">
        <v>274</v>
      </c>
      <c r="N19" s="49">
        <f ca="1">MIN(H16:H4964)</f>
        <v>-7.1523555151270291E-2</v>
      </c>
    </row>
    <row r="20" spans="2:15" x14ac:dyDescent="0.3">
      <c r="B20" s="58">
        <f>'DATA HISTORICAL'!$B665</f>
        <v>45888</v>
      </c>
      <c r="C20" s="60">
        <f>'DATA HISTORICAL'!$C665</f>
        <v>12863</v>
      </c>
      <c r="D20" s="53">
        <f t="shared" si="0"/>
        <v>7.647922403131337E-3</v>
      </c>
      <c r="E20" s="53">
        <v>0.10590231885340726</v>
      </c>
      <c r="G20" s="90">
        <v>12</v>
      </c>
      <c r="H20" s="90">
        <f t="shared" ca="1" si="1"/>
        <v>1.1581647127410936E-2</v>
      </c>
      <c r="J20" s="53" t="s">
        <v>275</v>
      </c>
      <c r="N20" s="49">
        <f ca="1">MAX(H11:H4964)</f>
        <v>6.2442437517389468E-2</v>
      </c>
    </row>
    <row r="21" spans="2:15" x14ac:dyDescent="0.3">
      <c r="B21" s="58">
        <f>'DATA HISTORICAL'!$B666</f>
        <v>45887</v>
      </c>
      <c r="C21" s="60">
        <f>'DATA HISTORICAL'!$C666</f>
        <v>12765</v>
      </c>
      <c r="D21" s="53">
        <f t="shared" si="0"/>
        <v>3.5726628734099999E-2</v>
      </c>
      <c r="E21" s="53">
        <v>9.8336526346683148E-2</v>
      </c>
      <c r="G21" s="90">
        <v>13</v>
      </c>
      <c r="H21" s="90">
        <f t="shared" ca="1" si="1"/>
        <v>-4.2470724240502239E-3</v>
      </c>
      <c r="J21" s="68" t="s">
        <v>280</v>
      </c>
      <c r="K21" s="68"/>
      <c r="L21" s="68"/>
      <c r="M21" s="68"/>
      <c r="N21" s="68">
        <f>'PV FCFF'!$C$52</f>
        <v>11499</v>
      </c>
    </row>
    <row r="22" spans="2:15" x14ac:dyDescent="0.3">
      <c r="B22" s="58">
        <f>'DATA HISTORICAL'!$B667</f>
        <v>45883</v>
      </c>
      <c r="C22" s="60">
        <f>'DATA HISTORICAL'!$C667</f>
        <v>12317</v>
      </c>
      <c r="D22" s="53">
        <f t="shared" si="0"/>
        <v>-6.7966925612881323E-3</v>
      </c>
      <c r="E22" s="53">
        <v>9.7815838080730425E-2</v>
      </c>
      <c r="G22" s="90">
        <v>14</v>
      </c>
      <c r="H22" s="90">
        <f t="shared" ca="1" si="1"/>
        <v>1.7369539835340436E-3</v>
      </c>
    </row>
    <row r="23" spans="2:15" x14ac:dyDescent="0.3">
      <c r="B23" s="58">
        <f>'DATA HISTORICAL'!$B668</f>
        <v>45882</v>
      </c>
      <c r="C23" s="60">
        <f>'DATA HISTORICAL'!$C668</f>
        <v>12401</v>
      </c>
      <c r="D23" s="53">
        <f t="shared" si="0"/>
        <v>-3.863183879013615E-3</v>
      </c>
      <c r="E23" s="53">
        <v>9.2224209632212673E-2</v>
      </c>
      <c r="G23" s="90">
        <v>15</v>
      </c>
      <c r="H23" s="90">
        <f t="shared" ca="1" si="1"/>
        <v>-1.8951022894483929E-2</v>
      </c>
      <c r="J23" s="25" t="s">
        <v>276</v>
      </c>
      <c r="K23" s="41" t="s">
        <v>278</v>
      </c>
      <c r="L23" s="41" t="s">
        <v>277</v>
      </c>
      <c r="M23" s="41" t="s">
        <v>98</v>
      </c>
      <c r="N23" s="41" t="s">
        <v>279</v>
      </c>
      <c r="O23" s="91"/>
    </row>
    <row r="24" spans="2:15" x14ac:dyDescent="0.3">
      <c r="B24" s="58">
        <f>'DATA HISTORICAL'!$B669</f>
        <v>45881</v>
      </c>
      <c r="C24" s="60">
        <f>'DATA HISTORICAL'!$C669</f>
        <v>12449</v>
      </c>
      <c r="D24" s="53">
        <f t="shared" si="0"/>
        <v>3.5406812558844611E-3</v>
      </c>
      <c r="E24" s="53">
        <v>9.212480179273555E-2</v>
      </c>
      <c r="G24" s="90">
        <v>16</v>
      </c>
      <c r="H24" s="90">
        <f t="shared" ca="1" si="1"/>
        <v>2.3059371184430438E-2</v>
      </c>
      <c r="J24" s="92">
        <v>0.1</v>
      </c>
      <c r="K24" s="93">
        <v>0.9</v>
      </c>
      <c r="L24" s="91">
        <f ca="1">_xlfn.PERCENTILE.INC($H$9:$H$4964,J24)</f>
        <v>-1.7043460877967025E-2</v>
      </c>
      <c r="M24" s="50">
        <f ca="1">$N$14*(1-L24)</f>
        <v>11694.982756635743</v>
      </c>
      <c r="N24" s="50">
        <f ca="1">$N$14-M24</f>
        <v>-195.9827566357435</v>
      </c>
    </row>
    <row r="25" spans="2:15" x14ac:dyDescent="0.3">
      <c r="B25" s="58">
        <f>'DATA HISTORICAL'!$B670</f>
        <v>45880</v>
      </c>
      <c r="C25" s="60">
        <f>'DATA HISTORICAL'!$C670</f>
        <v>12405</v>
      </c>
      <c r="D25" s="53">
        <f t="shared" si="0"/>
        <v>2.0194481570107461E-2</v>
      </c>
      <c r="E25" s="53">
        <v>8.8614090763814143E-2</v>
      </c>
      <c r="G25" s="90">
        <v>17</v>
      </c>
      <c r="H25" s="90">
        <f t="shared" ca="1" si="1"/>
        <v>1.9288640060659027E-3</v>
      </c>
      <c r="J25" s="92">
        <v>0.05</v>
      </c>
      <c r="K25" s="93">
        <v>0.95</v>
      </c>
      <c r="L25" s="91">
        <f ca="1">_xlfn.PERCENTILE.INC($H$9:$H$4964,J25)</f>
        <v>-2.4004993412060135E-2</v>
      </c>
      <c r="M25" s="50">
        <f ca="1">$N$14*(1-L25)</f>
        <v>11775.033419245279</v>
      </c>
      <c r="N25" s="50">
        <f ca="1">$N$14-M25</f>
        <v>-276.03341924527922</v>
      </c>
    </row>
    <row r="26" spans="2:15" x14ac:dyDescent="0.3">
      <c r="B26" s="58">
        <f>'DATA HISTORICAL'!$B671</f>
        <v>45877</v>
      </c>
      <c r="C26" s="60">
        <f>'DATA HISTORICAL'!$C671</f>
        <v>12157</v>
      </c>
      <c r="D26" s="53">
        <f t="shared" si="0"/>
        <v>-9.4965920417143003E-3</v>
      </c>
      <c r="E26" s="53">
        <v>8.8054088132830305E-2</v>
      </c>
      <c r="G26" s="90">
        <v>18</v>
      </c>
      <c r="H26" s="90">
        <f t="shared" ca="1" si="1"/>
        <v>-2.2176427202971256E-2</v>
      </c>
      <c r="J26" s="92">
        <v>0.01</v>
      </c>
      <c r="K26" s="93">
        <v>0.99</v>
      </c>
      <c r="L26" s="91">
        <f ca="1">_xlfn.PERCENTILE.INC($H$9:$H$4964,J26)</f>
        <v>-3.730939557319999E-2</v>
      </c>
      <c r="M26" s="50">
        <f ca="1">$N$14*(1-L26)</f>
        <v>11928.020739696227</v>
      </c>
      <c r="N26" s="50">
        <f ca="1">$N$14-M26</f>
        <v>-429.02073969622688</v>
      </c>
    </row>
    <row r="27" spans="2:15" x14ac:dyDescent="0.3">
      <c r="B27" s="58">
        <f>'DATA HISTORICAL'!$B672</f>
        <v>45876</v>
      </c>
      <c r="C27" s="60">
        <f>'DATA HISTORICAL'!$C672</f>
        <v>12273</v>
      </c>
      <c r="D27" s="53">
        <f t="shared" si="0"/>
        <v>3.8368960088375642E-3</v>
      </c>
      <c r="E27" s="53">
        <v>8.792603908577655E-2</v>
      </c>
      <c r="G27" s="90">
        <v>19</v>
      </c>
      <c r="H27" s="90">
        <f t="shared" ca="1" si="1"/>
        <v>3.9068104532912547E-2</v>
      </c>
      <c r="J27" s="94">
        <v>5.0000000000000001E-3</v>
      </c>
      <c r="K27" s="91">
        <v>0.995</v>
      </c>
      <c r="L27" s="91">
        <f ca="1">_xlfn.PERCENTILE.INC($H$9:$H$4964,J27)</f>
        <v>-4.1499315269863606E-2</v>
      </c>
      <c r="M27" s="50">
        <f ca="1">$N$14*(1-L27)</f>
        <v>11976.20062628816</v>
      </c>
      <c r="N27" s="50">
        <f ca="1">$N$14-M27</f>
        <v>-477.20062628816049</v>
      </c>
    </row>
    <row r="28" spans="2:15" x14ac:dyDescent="0.3">
      <c r="B28" s="58">
        <f>'DATA HISTORICAL'!$B673</f>
        <v>45875</v>
      </c>
      <c r="C28" s="60">
        <f>'DATA HISTORICAL'!$C673</f>
        <v>12226</v>
      </c>
      <c r="D28" s="53">
        <f t="shared" si="0"/>
        <v>-5.8718159247443018E-3</v>
      </c>
      <c r="E28" s="53">
        <v>8.7186150221806452E-2</v>
      </c>
      <c r="G28" s="90">
        <v>20</v>
      </c>
      <c r="H28" s="90">
        <f t="shared" ca="1" si="1"/>
        <v>1.590316214562245E-2</v>
      </c>
    </row>
    <row r="29" spans="2:15" x14ac:dyDescent="0.3">
      <c r="B29" s="58">
        <f>'DATA HISTORICAL'!$B674</f>
        <v>45874</v>
      </c>
      <c r="C29" s="60">
        <f>'DATA HISTORICAL'!$C674</f>
        <v>12298</v>
      </c>
      <c r="D29" s="53">
        <f t="shared" si="0"/>
        <v>3.3394451722498944E-3</v>
      </c>
      <c r="E29" s="53">
        <v>8.5745504760174451E-2</v>
      </c>
      <c r="G29" s="90">
        <v>21</v>
      </c>
      <c r="H29" s="90">
        <f t="shared" ca="1" si="1"/>
        <v>9.5414208022460596E-3</v>
      </c>
      <c r="J29" s="95"/>
      <c r="K29" s="95"/>
      <c r="L29" s="95"/>
      <c r="M29" s="95"/>
      <c r="N29" s="95"/>
    </row>
    <row r="30" spans="2:15" x14ac:dyDescent="0.3">
      <c r="B30" s="58">
        <f>'DATA HISTORICAL'!$B675</f>
        <v>45873</v>
      </c>
      <c r="C30" s="60">
        <f>'DATA HISTORICAL'!$C675</f>
        <v>12257</v>
      </c>
      <c r="D30" s="53">
        <f t="shared" si="0"/>
        <v>1.1817946324363057E-2</v>
      </c>
      <c r="E30" s="53">
        <v>8.4657113782321769E-2</v>
      </c>
      <c r="G30" s="90">
        <v>22</v>
      </c>
      <c r="H30" s="90">
        <f t="shared" ca="1" si="1"/>
        <v>3.2157691976580282E-3</v>
      </c>
    </row>
    <row r="31" spans="2:15" x14ac:dyDescent="0.3">
      <c r="B31" s="58">
        <f>'DATA HISTORICAL'!$B676</f>
        <v>45870</v>
      </c>
      <c r="C31" s="60">
        <f>'DATA HISTORICAL'!$C676</f>
        <v>12113</v>
      </c>
      <c r="D31" s="53">
        <f t="shared" si="0"/>
        <v>-1.1165044970883237E-2</v>
      </c>
      <c r="E31" s="53">
        <v>8.4486980150257046E-2</v>
      </c>
      <c r="G31" s="90">
        <v>23</v>
      </c>
      <c r="H31" s="90">
        <f t="shared" ca="1" si="1"/>
        <v>1.4715046993730448E-2</v>
      </c>
    </row>
    <row r="32" spans="2:15" x14ac:dyDescent="0.3">
      <c r="B32" s="58">
        <f>'DATA HISTORICAL'!$B677</f>
        <v>45869</v>
      </c>
      <c r="C32" s="60">
        <f>'DATA HISTORICAL'!$C677</f>
        <v>12249</v>
      </c>
      <c r="D32" s="53">
        <f t="shared" si="0"/>
        <v>-1.549945246456721E-3</v>
      </c>
      <c r="E32" s="53">
        <v>8.3092888165146706E-2</v>
      </c>
      <c r="G32" s="90">
        <v>24</v>
      </c>
      <c r="H32" s="90">
        <f t="shared" ca="1" si="1"/>
        <v>7.759130546432267E-3</v>
      </c>
    </row>
    <row r="33" spans="2:14" x14ac:dyDescent="0.3">
      <c r="B33" s="58">
        <f>'DATA HISTORICAL'!$B678</f>
        <v>45868</v>
      </c>
      <c r="C33" s="60">
        <f>'DATA HISTORICAL'!$C678</f>
        <v>12268</v>
      </c>
      <c r="D33" s="53">
        <f t="shared" si="0"/>
        <v>3.8384627961415554E-3</v>
      </c>
      <c r="E33" s="53">
        <v>8.1374125830344923E-2</v>
      </c>
      <c r="G33" s="90">
        <v>25</v>
      </c>
      <c r="H33" s="90">
        <f t="shared" ca="1" si="1"/>
        <v>1.6025067744416706E-2</v>
      </c>
    </row>
    <row r="34" spans="2:14" x14ac:dyDescent="0.3">
      <c r="B34" s="58">
        <f>'DATA HISTORICAL'!$B679</f>
        <v>45867</v>
      </c>
      <c r="C34" s="60">
        <f>'DATA HISTORICAL'!$C679</f>
        <v>12221</v>
      </c>
      <c r="D34" s="53">
        <f t="shared" si="0"/>
        <v>-1.5534936283165307E-3</v>
      </c>
      <c r="E34" s="53">
        <v>8.0879803244769427E-2</v>
      </c>
      <c r="G34" s="90">
        <v>26</v>
      </c>
      <c r="H34" s="90">
        <f t="shared" ca="1" si="1"/>
        <v>2.2817632903851873E-2</v>
      </c>
    </row>
    <row r="35" spans="2:14" x14ac:dyDescent="0.3">
      <c r="B35" s="58">
        <f>'DATA HISTORICAL'!$B680</f>
        <v>45866</v>
      </c>
      <c r="C35" s="60">
        <f>'DATA HISTORICAL'!$C680</f>
        <v>12240</v>
      </c>
      <c r="D35" s="53">
        <f t="shared" si="0"/>
        <v>-8.1665990655597793E-4</v>
      </c>
      <c r="E35" s="53">
        <v>8.0342724819623443E-2</v>
      </c>
      <c r="G35" s="90">
        <v>27</v>
      </c>
      <c r="H35" s="90">
        <f t="shared" ca="1" si="1"/>
        <v>2.5600854334231621E-2</v>
      </c>
    </row>
    <row r="36" spans="2:14" x14ac:dyDescent="0.3">
      <c r="B36" s="58">
        <f>'DATA HISTORICAL'!$B681</f>
        <v>45863</v>
      </c>
      <c r="C36" s="60">
        <f>'DATA HISTORICAL'!$C681</f>
        <v>12250</v>
      </c>
      <c r="D36" s="53">
        <f t="shared" si="0"/>
        <v>-4.3984757725521358E-3</v>
      </c>
      <c r="E36" s="53">
        <v>7.9515296954873471E-2</v>
      </c>
      <c r="G36" s="90">
        <v>28</v>
      </c>
      <c r="H36" s="90">
        <f t="shared" ca="1" si="1"/>
        <v>7.7409980806726654E-3</v>
      </c>
    </row>
    <row r="37" spans="2:14" x14ac:dyDescent="0.3">
      <c r="B37" s="58">
        <f>'DATA HISTORICAL'!$B682</f>
        <v>45862</v>
      </c>
      <c r="C37" s="60">
        <f>'DATA HISTORICAL'!$C682</f>
        <v>12304</v>
      </c>
      <c r="D37" s="53">
        <f t="shared" si="0"/>
        <v>-5.5114420595349873E-3</v>
      </c>
      <c r="E37" s="53">
        <v>7.7735696144432015E-2</v>
      </c>
      <c r="G37" s="90">
        <v>29</v>
      </c>
      <c r="H37" s="90">
        <f t="shared" ca="1" si="1"/>
        <v>9.640259200063981E-3</v>
      </c>
    </row>
    <row r="38" spans="2:14" x14ac:dyDescent="0.3">
      <c r="B38" s="58">
        <f>'DATA HISTORICAL'!$B683</f>
        <v>45861</v>
      </c>
      <c r="C38" s="60">
        <f>'DATA HISTORICAL'!$C683</f>
        <v>12372</v>
      </c>
      <c r="D38" s="53">
        <f t="shared" si="0"/>
        <v>-6.4453977565385569E-3</v>
      </c>
      <c r="E38" s="53">
        <v>7.7263721951084885E-2</v>
      </c>
      <c r="G38" s="90">
        <v>30</v>
      </c>
      <c r="H38" s="90">
        <f t="shared" ca="1" si="1"/>
        <v>-1.6081754176236567E-2</v>
      </c>
    </row>
    <row r="39" spans="2:14" x14ac:dyDescent="0.3">
      <c r="B39" s="58">
        <f>'DATA HISTORICAL'!$B684</f>
        <v>45860</v>
      </c>
      <c r="C39" s="60">
        <f>'DATA HISTORICAL'!$C684</f>
        <v>12452</v>
      </c>
      <c r="D39" s="53">
        <f t="shared" si="0"/>
        <v>-9.9884964856568059E-3</v>
      </c>
      <c r="E39" s="53">
        <v>7.6587666865574763E-2</v>
      </c>
      <c r="G39" s="90">
        <v>31</v>
      </c>
      <c r="H39" s="90">
        <f t="shared" ca="1" si="1"/>
        <v>1.5555266318854063E-2</v>
      </c>
    </row>
    <row r="40" spans="2:14" x14ac:dyDescent="0.3">
      <c r="B40" s="58">
        <f>'DATA HISTORICAL'!$B685</f>
        <v>45859</v>
      </c>
      <c r="C40" s="60">
        <f>'DATA HISTORICAL'!$C685</f>
        <v>12577</v>
      </c>
      <c r="D40" s="53">
        <f t="shared" si="0"/>
        <v>6.3011175581286112E-3</v>
      </c>
      <c r="E40" s="53">
        <v>7.5692949924609079E-2</v>
      </c>
      <c r="G40" s="90">
        <v>32</v>
      </c>
      <c r="H40" s="90">
        <f t="shared" ca="1" si="1"/>
        <v>-2.3214936129641615E-2</v>
      </c>
    </row>
    <row r="41" spans="2:14" x14ac:dyDescent="0.3">
      <c r="B41" s="58">
        <f>'DATA HISTORICAL'!$B686</f>
        <v>45856</v>
      </c>
      <c r="C41" s="60">
        <f>'DATA HISTORICAL'!$C686</f>
        <v>12498</v>
      </c>
      <c r="D41" s="53">
        <f t="shared" si="0"/>
        <v>2.4006721997433248E-4</v>
      </c>
      <c r="E41" s="53">
        <v>7.5441252565828898E-2</v>
      </c>
      <c r="G41" s="90">
        <v>33</v>
      </c>
      <c r="H41" s="90">
        <f t="shared" ca="1" si="1"/>
        <v>3.4511944822516016E-2</v>
      </c>
    </row>
    <row r="42" spans="2:14" x14ac:dyDescent="0.3">
      <c r="B42" s="58">
        <f>'DATA HISTORICAL'!$B687</f>
        <v>45855</v>
      </c>
      <c r="C42" s="60">
        <f>'DATA HISTORICAL'!$C687</f>
        <v>12495</v>
      </c>
      <c r="D42" s="53">
        <f t="shared" si="0"/>
        <v>3.3670065479042485E-3</v>
      </c>
      <c r="E42" s="53">
        <v>7.5000731058035494E-2</v>
      </c>
      <c r="G42" s="90">
        <v>34</v>
      </c>
      <c r="H42" s="90">
        <f t="shared" ca="1" si="1"/>
        <v>2.62323189114251E-2</v>
      </c>
    </row>
    <row r="43" spans="2:14" x14ac:dyDescent="0.3">
      <c r="B43" s="58">
        <f>'DATA HISTORICAL'!$B688</f>
        <v>45854</v>
      </c>
      <c r="C43" s="60">
        <f>'DATA HISTORICAL'!$C688</f>
        <v>12453</v>
      </c>
      <c r="D43" s="53">
        <f t="shared" si="0"/>
        <v>-3.927073770609215E-3</v>
      </c>
      <c r="E43" s="53">
        <v>7.4819737537395251E-2</v>
      </c>
      <c r="G43" s="90">
        <v>35</v>
      </c>
      <c r="H43" s="90">
        <f t="shared" ca="1" si="1"/>
        <v>-9.5107962802357844E-3</v>
      </c>
    </row>
    <row r="44" spans="2:14" x14ac:dyDescent="0.3">
      <c r="B44" s="58">
        <f>'DATA HISTORICAL'!$B689</f>
        <v>45853</v>
      </c>
      <c r="C44" s="60">
        <f>'DATA HISTORICAL'!$C689</f>
        <v>12502</v>
      </c>
      <c r="D44" s="53">
        <f t="shared" si="0"/>
        <v>-1.1191942970151119E-3</v>
      </c>
      <c r="E44" s="53">
        <v>7.3825439223051237E-2</v>
      </c>
      <c r="G44" s="90">
        <v>36</v>
      </c>
      <c r="H44" s="90">
        <f t="shared" ca="1" si="1"/>
        <v>-2.1171351228808706E-2</v>
      </c>
      <c r="J44" s="68"/>
      <c r="K44" s="68"/>
      <c r="L44" s="68"/>
      <c r="M44" s="68"/>
      <c r="N44" s="68"/>
    </row>
    <row r="45" spans="2:14" x14ac:dyDescent="0.3">
      <c r="B45" s="58">
        <f>'DATA HISTORICAL'!$B690</f>
        <v>45852</v>
      </c>
      <c r="C45" s="60">
        <f>'DATA HISTORICAL'!$C690</f>
        <v>12516</v>
      </c>
      <c r="D45" s="53">
        <f t="shared" si="0"/>
        <v>1.6792615197199939E-3</v>
      </c>
      <c r="E45" s="53">
        <v>7.3703106753849598E-2</v>
      </c>
      <c r="G45" s="90">
        <v>37</v>
      </c>
      <c r="H45" s="90">
        <f t="shared" ca="1" si="1"/>
        <v>-9.4122274712315143E-3</v>
      </c>
    </row>
    <row r="46" spans="2:14" x14ac:dyDescent="0.3">
      <c r="B46" s="58">
        <f>'DATA HISTORICAL'!$B691</f>
        <v>45849</v>
      </c>
      <c r="C46" s="60">
        <f>'DATA HISTORICAL'!$C691</f>
        <v>12495</v>
      </c>
      <c r="D46" s="53">
        <f t="shared" si="0"/>
        <v>-1.6792615197200253E-3</v>
      </c>
      <c r="E46" s="53">
        <v>7.3063285856745291E-2</v>
      </c>
      <c r="G46" s="90">
        <v>38</v>
      </c>
      <c r="H46" s="90">
        <f t="shared" ca="1" si="1"/>
        <v>-3.6417588740566852E-2</v>
      </c>
    </row>
    <row r="47" spans="2:14" x14ac:dyDescent="0.3">
      <c r="B47" s="58">
        <f>'DATA HISTORICAL'!$B692</f>
        <v>45848</v>
      </c>
      <c r="C47" s="60">
        <f>'DATA HISTORICAL'!$C692</f>
        <v>12516</v>
      </c>
      <c r="D47" s="53">
        <f t="shared" si="0"/>
        <v>-3.6685582255532702E-3</v>
      </c>
      <c r="E47" s="53">
        <v>7.2518454044378067E-2</v>
      </c>
      <c r="G47" s="90">
        <v>39</v>
      </c>
      <c r="H47" s="90">
        <f t="shared" ca="1" si="1"/>
        <v>-6.4077730370574642E-3</v>
      </c>
    </row>
    <row r="48" spans="2:14" x14ac:dyDescent="0.3">
      <c r="B48" s="58">
        <f>'DATA HISTORICAL'!$B693</f>
        <v>45847</v>
      </c>
      <c r="C48" s="60">
        <f>'DATA HISTORICAL'!$C693</f>
        <v>12562</v>
      </c>
      <c r="D48" s="53">
        <f t="shared" si="0"/>
        <v>9.3574482126336737E-3</v>
      </c>
      <c r="E48" s="53">
        <v>7.1960920783571483E-2</v>
      </c>
      <c r="G48" s="90">
        <v>40</v>
      </c>
      <c r="H48" s="90">
        <f t="shared" ca="1" si="1"/>
        <v>4.5094513738615408E-2</v>
      </c>
    </row>
    <row r="49" spans="2:8" x14ac:dyDescent="0.3">
      <c r="B49" s="58">
        <f>'DATA HISTORICAL'!$B694</f>
        <v>45846</v>
      </c>
      <c r="C49" s="60">
        <f>'DATA HISTORICAL'!$C694</f>
        <v>12445</v>
      </c>
      <c r="D49" s="53">
        <f t="shared" si="0"/>
        <v>8.0678130224126048E-3</v>
      </c>
      <c r="E49" s="53">
        <v>7.0713135405505695E-2</v>
      </c>
      <c r="G49" s="90">
        <v>41</v>
      </c>
      <c r="H49" s="90">
        <f t="shared" ca="1" si="1"/>
        <v>-1.1110551522559957E-2</v>
      </c>
    </row>
    <row r="50" spans="2:8" x14ac:dyDescent="0.3">
      <c r="B50" s="58">
        <f>'DATA HISTORICAL'!$B695</f>
        <v>45845</v>
      </c>
      <c r="C50" s="60">
        <f>'DATA HISTORICAL'!$C695</f>
        <v>12345</v>
      </c>
      <c r="D50" s="53">
        <f t="shared" si="0"/>
        <v>-1.2957406347963382E-2</v>
      </c>
      <c r="E50" s="53">
        <v>7.0365747086805805E-2</v>
      </c>
      <c r="G50" s="90">
        <v>42</v>
      </c>
      <c r="H50" s="90">
        <f t="shared" ca="1" si="1"/>
        <v>5.164574216960361E-3</v>
      </c>
    </row>
    <row r="51" spans="2:8" x14ac:dyDescent="0.3">
      <c r="B51" s="58">
        <f>'DATA HISTORICAL'!$B696</f>
        <v>45842</v>
      </c>
      <c r="C51" s="60">
        <f>'DATA HISTORICAL'!$C696</f>
        <v>12506</v>
      </c>
      <c r="D51" s="53">
        <f t="shared" si="0"/>
        <v>8.6733598653784879E-3</v>
      </c>
      <c r="E51" s="53">
        <v>7.0333952491428001E-2</v>
      </c>
      <c r="G51" s="90">
        <v>43</v>
      </c>
      <c r="H51" s="90">
        <f t="shared" ca="1" si="1"/>
        <v>-3.5084760889469999E-3</v>
      </c>
    </row>
    <row r="52" spans="2:8" x14ac:dyDescent="0.3">
      <c r="B52" s="58">
        <f>'DATA HISTORICAL'!$B697</f>
        <v>45841</v>
      </c>
      <c r="C52" s="60">
        <f>'DATA HISTORICAL'!$C697</f>
        <v>12398</v>
      </c>
      <c r="D52" s="53">
        <f t="shared" si="0"/>
        <v>-3.0603229167796989E-3</v>
      </c>
      <c r="E52" s="53">
        <v>6.9605678231097937E-2</v>
      </c>
      <c r="G52" s="90">
        <v>44</v>
      </c>
      <c r="H52" s="90">
        <f t="shared" ca="1" si="1"/>
        <v>-3.7445470379873176E-2</v>
      </c>
    </row>
    <row r="53" spans="2:8" x14ac:dyDescent="0.3">
      <c r="B53" s="58">
        <f>'DATA HISTORICAL'!$B698</f>
        <v>45840</v>
      </c>
      <c r="C53" s="60">
        <f>'DATA HISTORICAL'!$C698</f>
        <v>12436</v>
      </c>
      <c r="D53" s="53">
        <f t="shared" si="0"/>
        <v>1.8340204073894119E-2</v>
      </c>
      <c r="E53" s="53">
        <v>6.9183620176132485E-2</v>
      </c>
      <c r="G53" s="90">
        <v>45</v>
      </c>
      <c r="H53" s="90">
        <f t="shared" ca="1" si="1"/>
        <v>-2.592538538475333E-3</v>
      </c>
    </row>
    <row r="54" spans="2:8" x14ac:dyDescent="0.3">
      <c r="B54" s="58">
        <f>'DATA HISTORICAL'!$B699</f>
        <v>45839</v>
      </c>
      <c r="C54" s="60">
        <f>'DATA HISTORICAL'!$C699</f>
        <v>12210</v>
      </c>
      <c r="D54" s="53">
        <f t="shared" si="0"/>
        <v>9.6285153194748743E-3</v>
      </c>
      <c r="E54" s="53">
        <v>6.8530393773355902E-2</v>
      </c>
      <c r="G54" s="90">
        <v>46</v>
      </c>
      <c r="H54" s="90">
        <f t="shared" ca="1" si="1"/>
        <v>2.2900506614737665E-2</v>
      </c>
    </row>
    <row r="55" spans="2:8" x14ac:dyDescent="0.3">
      <c r="B55" s="58">
        <f>'DATA HISTORICAL'!$B700</f>
        <v>45838</v>
      </c>
      <c r="C55" s="60">
        <f>'DATA HISTORICAL'!$C700</f>
        <v>12093</v>
      </c>
      <c r="D55" s="53">
        <f t="shared" si="0"/>
        <v>-9.874185385813054E-3</v>
      </c>
      <c r="E55" s="53">
        <v>6.8488590569874885E-2</v>
      </c>
      <c r="G55" s="90">
        <v>47</v>
      </c>
      <c r="H55" s="90">
        <f t="shared" ca="1" si="1"/>
        <v>-5.0183333469551511E-3</v>
      </c>
    </row>
    <row r="56" spans="2:8" x14ac:dyDescent="0.3">
      <c r="B56" s="58">
        <f>'DATA HISTORICAL'!$B701</f>
        <v>45835</v>
      </c>
      <c r="C56" s="60">
        <f>'DATA HISTORICAL'!$C701</f>
        <v>12213</v>
      </c>
      <c r="D56" s="53">
        <f t="shared" si="0"/>
        <v>2.1686001304207482E-2</v>
      </c>
      <c r="E56" s="53">
        <v>6.7903748702368233E-2</v>
      </c>
      <c r="G56" s="90">
        <v>48</v>
      </c>
      <c r="H56" s="90">
        <f t="shared" ca="1" si="1"/>
        <v>1.311318937943576E-2</v>
      </c>
    </row>
    <row r="57" spans="2:8" x14ac:dyDescent="0.3">
      <c r="B57" s="58">
        <f>'DATA HISTORICAL'!$B702</f>
        <v>45834</v>
      </c>
      <c r="C57" s="60">
        <f>'DATA HISTORICAL'!$C702</f>
        <v>11951</v>
      </c>
      <c r="D57" s="53">
        <f t="shared" si="0"/>
        <v>1.8409572443257281E-2</v>
      </c>
      <c r="E57" s="53">
        <v>6.761938647606533E-2</v>
      </c>
      <c r="G57" s="90">
        <v>49</v>
      </c>
      <c r="H57" s="90">
        <f t="shared" ca="1" si="1"/>
        <v>5.6350504098658088E-3</v>
      </c>
    </row>
    <row r="58" spans="2:8" x14ac:dyDescent="0.3">
      <c r="B58" s="58">
        <f>'DATA HISTORICAL'!$B703</f>
        <v>45833</v>
      </c>
      <c r="C58" s="60">
        <f>'DATA HISTORICAL'!$C703</f>
        <v>11733</v>
      </c>
      <c r="D58" s="53">
        <f t="shared" si="0"/>
        <v>1.3212271811350824E-2</v>
      </c>
      <c r="E58" s="53">
        <v>6.6968931191408176E-2</v>
      </c>
      <c r="G58" s="90">
        <v>50</v>
      </c>
      <c r="H58" s="90">
        <f t="shared" ca="1" si="1"/>
        <v>-3.2631338848874356E-2</v>
      </c>
    </row>
    <row r="59" spans="2:8" x14ac:dyDescent="0.3">
      <c r="B59" s="58">
        <f>'DATA HISTORICAL'!$B704</f>
        <v>45832</v>
      </c>
      <c r="C59" s="60">
        <f>'DATA HISTORICAL'!$C704</f>
        <v>11579</v>
      </c>
      <c r="D59" s="53">
        <f t="shared" si="0"/>
        <v>1.129072268846079E-2</v>
      </c>
      <c r="E59" s="53">
        <v>6.668582709471868E-2</v>
      </c>
      <c r="G59" s="90">
        <v>51</v>
      </c>
      <c r="H59" s="90">
        <f t="shared" ca="1" si="1"/>
        <v>-2.404004384230253E-5</v>
      </c>
    </row>
    <row r="60" spans="2:8" x14ac:dyDescent="0.3">
      <c r="B60" s="58">
        <f>'DATA HISTORICAL'!$B705</f>
        <v>45831</v>
      </c>
      <c r="C60" s="60">
        <f>'DATA HISTORICAL'!$C705</f>
        <v>11449</v>
      </c>
      <c r="D60" s="53">
        <f t="shared" si="0"/>
        <v>-7.8578604471071301E-4</v>
      </c>
      <c r="E60" s="53">
        <v>6.6620742872769451E-2</v>
      </c>
      <c r="G60" s="90">
        <v>52</v>
      </c>
      <c r="H60" s="90">
        <f t="shared" ca="1" si="1"/>
        <v>-5.3252137367953804E-2</v>
      </c>
    </row>
    <row r="61" spans="2:8" x14ac:dyDescent="0.3">
      <c r="B61" s="58">
        <f>'DATA HISTORICAL'!$B706</f>
        <v>45828</v>
      </c>
      <c r="C61" s="60">
        <f>'DATA HISTORICAL'!$C706</f>
        <v>11458</v>
      </c>
      <c r="D61" s="53">
        <f t="shared" si="0"/>
        <v>3.3219717585218091E-3</v>
      </c>
      <c r="E61" s="53">
        <v>6.5697541278906688E-2</v>
      </c>
      <c r="G61" s="90">
        <v>53</v>
      </c>
      <c r="H61" s="90">
        <f t="shared" ca="1" si="1"/>
        <v>-5.3854398152931591E-3</v>
      </c>
    </row>
    <row r="62" spans="2:8" x14ac:dyDescent="0.3">
      <c r="B62" s="58">
        <f>'DATA HISTORICAL'!$B707</f>
        <v>45827</v>
      </c>
      <c r="C62" s="60">
        <f>'DATA HISTORICAL'!$C707</f>
        <v>11420</v>
      </c>
      <c r="D62" s="53">
        <f t="shared" si="0"/>
        <v>1.2266714935171531E-3</v>
      </c>
      <c r="E62" s="53">
        <v>6.5581922246460284E-2</v>
      </c>
      <c r="G62" s="90">
        <v>54</v>
      </c>
      <c r="H62" s="90">
        <f t="shared" ca="1" si="1"/>
        <v>6.6840407538380194E-3</v>
      </c>
    </row>
    <row r="63" spans="2:8" x14ac:dyDescent="0.3">
      <c r="B63" s="58">
        <f>'DATA HISTORICAL'!$B708</f>
        <v>45826</v>
      </c>
      <c r="C63" s="60">
        <f>'DATA HISTORICAL'!$C708</f>
        <v>11406</v>
      </c>
      <c r="D63" s="53">
        <f t="shared" si="0"/>
        <v>2.0185183912674867E-3</v>
      </c>
      <c r="E63" s="53">
        <v>6.3418491153021339E-2</v>
      </c>
      <c r="G63" s="90">
        <v>55</v>
      </c>
      <c r="H63" s="90">
        <f t="shared" ca="1" si="1"/>
        <v>-4.185645289030415E-3</v>
      </c>
    </row>
    <row r="64" spans="2:8" x14ac:dyDescent="0.3">
      <c r="B64" s="58">
        <f>'DATA HISTORICAL'!$B709</f>
        <v>45825</v>
      </c>
      <c r="C64" s="60">
        <f>'DATA HISTORICAL'!$C709</f>
        <v>11383</v>
      </c>
      <c r="D64" s="53">
        <f t="shared" si="0"/>
        <v>-9.7911438720652659E-3</v>
      </c>
      <c r="E64" s="53">
        <v>6.3360954220312959E-2</v>
      </c>
      <c r="G64" s="90">
        <v>56</v>
      </c>
      <c r="H64" s="90">
        <f t="shared" ca="1" si="1"/>
        <v>-1.8183258171399288E-2</v>
      </c>
    </row>
    <row r="65" spans="2:8" x14ac:dyDescent="0.3">
      <c r="B65" s="58">
        <f>'DATA HISTORICAL'!$B710</f>
        <v>45824</v>
      </c>
      <c r="C65" s="60">
        <f>'DATA HISTORICAL'!$C710</f>
        <v>11495</v>
      </c>
      <c r="D65" s="53">
        <f t="shared" si="0"/>
        <v>2.3857815414985131E-2</v>
      </c>
      <c r="E65" s="53">
        <v>6.3126113494787306E-2</v>
      </c>
      <c r="G65" s="90">
        <v>57</v>
      </c>
      <c r="H65" s="90">
        <f t="shared" ca="1" si="1"/>
        <v>-1.0382526341039037E-2</v>
      </c>
    </row>
    <row r="66" spans="2:8" x14ac:dyDescent="0.3">
      <c r="B66" s="58">
        <f>'DATA HISTORICAL'!$B711</f>
        <v>45821</v>
      </c>
      <c r="C66" s="60">
        <f>'DATA HISTORICAL'!$C711</f>
        <v>11224</v>
      </c>
      <c r="D66" s="53">
        <f>LN(C66/C67)</f>
        <v>-8.7817125317426296E-3</v>
      </c>
      <c r="E66" s="53">
        <v>6.2881578658419104E-2</v>
      </c>
      <c r="G66" s="90">
        <v>58</v>
      </c>
      <c r="H66" s="90">
        <f t="shared" ca="1" si="1"/>
        <v>-5.4071195237503289E-3</v>
      </c>
    </row>
    <row r="67" spans="2:8" x14ac:dyDescent="0.3">
      <c r="B67" s="58">
        <f>'DATA HISTORICAL'!$B712</f>
        <v>45820</v>
      </c>
      <c r="C67" s="60">
        <f>'DATA HISTORICAL'!$C712</f>
        <v>11323</v>
      </c>
      <c r="D67" s="53">
        <f t="shared" si="0"/>
        <v>-1.2375635193968235E-2</v>
      </c>
      <c r="E67" s="53">
        <v>6.2036060193723368E-2</v>
      </c>
      <c r="G67" s="90">
        <v>59</v>
      </c>
      <c r="H67" s="90">
        <f t="shared" ca="1" si="1"/>
        <v>-7.5915438173200312E-3</v>
      </c>
    </row>
    <row r="68" spans="2:8" x14ac:dyDescent="0.3">
      <c r="B68" s="58">
        <f>'DATA HISTORICAL'!$B713</f>
        <v>45819</v>
      </c>
      <c r="C68" s="60">
        <f>'DATA HISTORICAL'!$C713</f>
        <v>11464</v>
      </c>
      <c r="D68" s="53">
        <f t="shared" si="0"/>
        <v>6.3881206080957957E-3</v>
      </c>
      <c r="E68" s="53">
        <v>6.1992701643221598E-2</v>
      </c>
      <c r="G68" s="90">
        <v>60</v>
      </c>
      <c r="H68" s="90">
        <f t="shared" ca="1" si="1"/>
        <v>-7.3646539045520544E-3</v>
      </c>
    </row>
    <row r="69" spans="2:8" x14ac:dyDescent="0.3">
      <c r="B69" s="58">
        <f>'DATA HISTORICAL'!$B714</f>
        <v>45818</v>
      </c>
      <c r="C69" s="60">
        <f>'DATA HISTORICAL'!$C714</f>
        <v>11391</v>
      </c>
      <c r="D69" s="53">
        <f t="shared" si="0"/>
        <v>1.1566947206230608E-2</v>
      </c>
      <c r="E69" s="53">
        <v>6.1984539553600185E-2</v>
      </c>
      <c r="G69" s="90">
        <v>61</v>
      </c>
      <c r="H69" s="90">
        <f t="shared" ca="1" si="1"/>
        <v>1.1003490416865921E-2</v>
      </c>
    </row>
    <row r="70" spans="2:8" x14ac:dyDescent="0.3">
      <c r="B70" s="58">
        <f>'DATA HISTORICAL'!$B715</f>
        <v>45817</v>
      </c>
      <c r="C70" s="60">
        <f>'DATA HISTORICAL'!$C715</f>
        <v>11260</v>
      </c>
      <c r="D70" s="53">
        <f t="shared" si="0"/>
        <v>6.2186294368440996E-4</v>
      </c>
      <c r="E70" s="53">
        <v>6.1662908736447038E-2</v>
      </c>
      <c r="G70" s="90">
        <v>62</v>
      </c>
      <c r="H70" s="90">
        <f t="shared" ca="1" si="1"/>
        <v>1.7948827010224884E-2</v>
      </c>
    </row>
    <row r="71" spans="2:8" x14ac:dyDescent="0.3">
      <c r="B71" s="58">
        <f>'DATA HISTORICAL'!$B716</f>
        <v>45814</v>
      </c>
      <c r="C71" s="60">
        <f>'DATA HISTORICAL'!$C716</f>
        <v>11253</v>
      </c>
      <c r="D71" s="53">
        <f t="shared" si="0"/>
        <v>8.3884125642957365E-3</v>
      </c>
      <c r="E71" s="53">
        <v>6.1017086359879597E-2</v>
      </c>
      <c r="G71" s="90">
        <v>63</v>
      </c>
      <c r="H71" s="90">
        <f t="shared" ca="1" si="1"/>
        <v>-6.0601152001292921E-3</v>
      </c>
    </row>
    <row r="72" spans="2:8" x14ac:dyDescent="0.3">
      <c r="B72" s="58">
        <f>'DATA HISTORICAL'!$B717</f>
        <v>45813</v>
      </c>
      <c r="C72" s="60">
        <f>'DATA HISTORICAL'!$C717</f>
        <v>11159</v>
      </c>
      <c r="D72" s="53">
        <f t="shared" si="0"/>
        <v>1.1355565425395099E-2</v>
      </c>
      <c r="E72" s="53">
        <v>6.0995182443394455E-2</v>
      </c>
      <c r="G72" s="90">
        <v>64</v>
      </c>
      <c r="H72" s="90">
        <f t="shared" ca="1" si="1"/>
        <v>6.1879994794770106E-3</v>
      </c>
    </row>
    <row r="73" spans="2:8" x14ac:dyDescent="0.3">
      <c r="B73" s="58">
        <f>'DATA HISTORICAL'!$B718</f>
        <v>45812</v>
      </c>
      <c r="C73" s="60">
        <f>'DATA HISTORICAL'!$C718</f>
        <v>11033</v>
      </c>
      <c r="D73" s="53">
        <f t="shared" ref="D73:D136" si="2">LN(C73/C74)</f>
        <v>-1.8125793053075511E-4</v>
      </c>
      <c r="E73" s="53">
        <v>5.999836831857816E-2</v>
      </c>
      <c r="G73" s="90">
        <v>65</v>
      </c>
      <c r="H73" s="90">
        <f t="shared" ref="H73:H136" ca="1" si="3">_xlfn.NORM.INV(RAND(),N$10,N$11)</f>
        <v>-4.4068314986957922E-2</v>
      </c>
    </row>
    <row r="74" spans="2:8" x14ac:dyDescent="0.3">
      <c r="B74" s="58">
        <f>'DATA HISTORICAL'!$B719</f>
        <v>45811</v>
      </c>
      <c r="C74" s="60">
        <f>'DATA HISTORICAL'!$C719</f>
        <v>11035</v>
      </c>
      <c r="D74" s="53">
        <f t="shared" si="2"/>
        <v>-1.4395210342018403E-2</v>
      </c>
      <c r="E74" s="53">
        <v>5.9642595582423609E-2</v>
      </c>
      <c r="G74" s="90">
        <v>66</v>
      </c>
      <c r="H74" s="90">
        <f t="shared" ca="1" si="3"/>
        <v>1.7199627568673197E-2</v>
      </c>
    </row>
    <row r="75" spans="2:8" x14ac:dyDescent="0.3">
      <c r="B75" s="58">
        <f>'DATA HISTORICAL'!$B720</f>
        <v>45810</v>
      </c>
      <c r="C75" s="60">
        <f>'DATA HISTORICAL'!$C720</f>
        <v>11195</v>
      </c>
      <c r="D75" s="53">
        <f t="shared" si="2"/>
        <v>-1.3389870333503952E-3</v>
      </c>
      <c r="E75" s="53">
        <v>5.9557099923280399E-2</v>
      </c>
      <c r="G75" s="90">
        <v>67</v>
      </c>
      <c r="H75" s="90">
        <f t="shared" ca="1" si="3"/>
        <v>1.5598532193389261E-2</v>
      </c>
    </row>
    <row r="76" spans="2:8" x14ac:dyDescent="0.3">
      <c r="B76" s="58">
        <f>'DATA HISTORICAL'!$B721</f>
        <v>45807</v>
      </c>
      <c r="C76" s="60">
        <f>'DATA HISTORICAL'!$C721</f>
        <v>11210</v>
      </c>
      <c r="D76" s="53">
        <f t="shared" si="2"/>
        <v>-5.2493558861436782E-3</v>
      </c>
      <c r="E76" s="53">
        <v>5.9237571045469922E-2</v>
      </c>
      <c r="G76" s="90">
        <v>68</v>
      </c>
      <c r="H76" s="90">
        <f t="shared" ca="1" si="3"/>
        <v>1.0175945031743771E-2</v>
      </c>
    </row>
    <row r="77" spans="2:8" x14ac:dyDescent="0.3">
      <c r="B77" s="58">
        <f>'DATA HISTORICAL'!$B722</f>
        <v>45806</v>
      </c>
      <c r="C77" s="60">
        <f>'DATA HISTORICAL'!$C722</f>
        <v>11269</v>
      </c>
      <c r="D77" s="53">
        <f t="shared" si="2"/>
        <v>2.7547002802058968E-3</v>
      </c>
      <c r="E77" s="53">
        <v>5.8075482447188707E-2</v>
      </c>
      <c r="G77" s="90">
        <v>69</v>
      </c>
      <c r="H77" s="90">
        <f t="shared" ca="1" si="3"/>
        <v>1.1237837759036941E-2</v>
      </c>
    </row>
    <row r="78" spans="2:8" x14ac:dyDescent="0.3">
      <c r="B78" s="58">
        <f>'DATA HISTORICAL'!$B723</f>
        <v>45805</v>
      </c>
      <c r="C78" s="60">
        <f>'DATA HISTORICAL'!$C723</f>
        <v>11238</v>
      </c>
      <c r="D78" s="53">
        <f t="shared" si="2"/>
        <v>-1.6152873378463516E-2</v>
      </c>
      <c r="E78" s="53">
        <v>5.7844596147875259E-2</v>
      </c>
      <c r="G78" s="90">
        <v>70</v>
      </c>
      <c r="H78" s="90">
        <f t="shared" ca="1" si="3"/>
        <v>-1.1184355355948064E-3</v>
      </c>
    </row>
    <row r="79" spans="2:8" x14ac:dyDescent="0.3">
      <c r="B79" s="58">
        <f>'DATA HISTORICAL'!$B724</f>
        <v>45804</v>
      </c>
      <c r="C79" s="60">
        <f>'DATA HISTORICAL'!$C724</f>
        <v>11421</v>
      </c>
      <c r="D79" s="53">
        <f t="shared" si="2"/>
        <v>-2.319446255716329E-2</v>
      </c>
      <c r="E79" s="53">
        <v>5.7666955965542381E-2</v>
      </c>
      <c r="G79" s="90">
        <v>71</v>
      </c>
      <c r="H79" s="90">
        <f t="shared" ca="1" si="3"/>
        <v>2.9976347294067993E-2</v>
      </c>
    </row>
    <row r="80" spans="2:8" x14ac:dyDescent="0.3">
      <c r="B80" s="58">
        <f>'DATA HISTORICAL'!$B725</f>
        <v>45803</v>
      </c>
      <c r="C80" s="60">
        <f>'DATA HISTORICAL'!$C725</f>
        <v>11689</v>
      </c>
      <c r="D80" s="53">
        <f t="shared" si="2"/>
        <v>-4.8645284746944685E-3</v>
      </c>
      <c r="E80" s="53">
        <v>5.7340150522271975E-2</v>
      </c>
      <c r="G80" s="90">
        <v>72</v>
      </c>
      <c r="H80" s="90">
        <f t="shared" ca="1" si="3"/>
        <v>6.0554241710669759E-3</v>
      </c>
    </row>
    <row r="81" spans="2:8" x14ac:dyDescent="0.3">
      <c r="B81" s="58">
        <f>'DATA HISTORICAL'!$B726</f>
        <v>45800</v>
      </c>
      <c r="C81" s="60">
        <f>'DATA HISTORICAL'!$C726</f>
        <v>11746</v>
      </c>
      <c r="D81" s="53">
        <f t="shared" si="2"/>
        <v>5.6347797002466692E-3</v>
      </c>
      <c r="E81" s="53">
        <v>5.709110253318795E-2</v>
      </c>
      <c r="G81" s="90">
        <v>73</v>
      </c>
      <c r="H81" s="90">
        <f t="shared" ca="1" si="3"/>
        <v>-3.0403030715646363E-2</v>
      </c>
    </row>
    <row r="82" spans="2:8" x14ac:dyDescent="0.3">
      <c r="B82" s="58">
        <f>'DATA HISTORICAL'!$B727</f>
        <v>45799</v>
      </c>
      <c r="C82" s="60">
        <f>'DATA HISTORICAL'!$C727</f>
        <v>11680</v>
      </c>
      <c r="D82" s="53">
        <f t="shared" si="2"/>
        <v>1.1993490686352333E-3</v>
      </c>
      <c r="E82" s="53">
        <v>5.679156545860671E-2</v>
      </c>
      <c r="G82" s="90">
        <v>74</v>
      </c>
      <c r="H82" s="90">
        <f t="shared" ca="1" si="3"/>
        <v>3.599464633425227E-2</v>
      </c>
    </row>
    <row r="83" spans="2:8" x14ac:dyDescent="0.3">
      <c r="B83" s="58">
        <f>'DATA HISTORICAL'!$B728</f>
        <v>45798</v>
      </c>
      <c r="C83" s="60">
        <f>'DATA HISTORICAL'!$C728</f>
        <v>11666</v>
      </c>
      <c r="D83" s="53">
        <f t="shared" si="2"/>
        <v>-2.6537703371240511E-3</v>
      </c>
      <c r="E83" s="53">
        <v>5.6621379810704746E-2</v>
      </c>
      <c r="G83" s="90">
        <v>75</v>
      </c>
      <c r="H83" s="90">
        <f t="shared" ca="1" si="3"/>
        <v>-4.7506822431682911E-3</v>
      </c>
    </row>
    <row r="84" spans="2:8" x14ac:dyDescent="0.3">
      <c r="B84" s="58">
        <f>'DATA HISTORICAL'!$B729</f>
        <v>45797</v>
      </c>
      <c r="C84" s="60">
        <f>'DATA HISTORICAL'!$C729</f>
        <v>11697</v>
      </c>
      <c r="D84" s="53">
        <f t="shared" si="2"/>
        <v>-1.9640011631238827E-2</v>
      </c>
      <c r="E84" s="53">
        <v>5.6301417246836856E-2</v>
      </c>
      <c r="G84" s="90">
        <v>76</v>
      </c>
      <c r="H84" s="90">
        <f t="shared" ca="1" si="3"/>
        <v>4.828792654388725E-2</v>
      </c>
    </row>
    <row r="85" spans="2:8" x14ac:dyDescent="0.3">
      <c r="B85" s="58">
        <f>'DATA HISTORICAL'!$B730</f>
        <v>45796</v>
      </c>
      <c r="C85" s="60">
        <f>'DATA HISTORICAL'!$C730</f>
        <v>11929</v>
      </c>
      <c r="D85" s="53">
        <f t="shared" si="2"/>
        <v>2.0139303609827621E-3</v>
      </c>
      <c r="E85" s="53">
        <v>5.5967590637798215E-2</v>
      </c>
      <c r="G85" s="90">
        <v>77</v>
      </c>
      <c r="H85" s="90">
        <f t="shared" ca="1" si="3"/>
        <v>-1.1632517418342835E-2</v>
      </c>
    </row>
    <row r="86" spans="2:8" x14ac:dyDescent="0.3">
      <c r="B86" s="58">
        <f>'DATA HISTORICAL'!$B731</f>
        <v>45793</v>
      </c>
      <c r="C86" s="60">
        <f>'DATA HISTORICAL'!$C731</f>
        <v>11905</v>
      </c>
      <c r="D86" s="53">
        <f t="shared" si="2"/>
        <v>9.2440865442418427E-4</v>
      </c>
      <c r="E86" s="53">
        <v>5.594661676993877E-2</v>
      </c>
      <c r="G86" s="90">
        <v>78</v>
      </c>
      <c r="H86" s="90">
        <f t="shared" ca="1" si="3"/>
        <v>1.6748789803175974E-2</v>
      </c>
    </row>
    <row r="87" spans="2:8" x14ac:dyDescent="0.3">
      <c r="B87" s="58">
        <f>'DATA HISTORICAL'!$B732</f>
        <v>45792</v>
      </c>
      <c r="C87" s="60">
        <f>'DATA HISTORICAL'!$C732</f>
        <v>11894</v>
      </c>
      <c r="D87" s="53">
        <f t="shared" si="2"/>
        <v>1.8841260063917467E-2</v>
      </c>
      <c r="E87" s="53">
        <v>5.5457847594368129E-2</v>
      </c>
      <c r="G87" s="90">
        <v>79</v>
      </c>
      <c r="H87" s="90">
        <f t="shared" ca="1" si="3"/>
        <v>1.1302189098017362E-2</v>
      </c>
    </row>
    <row r="88" spans="2:8" x14ac:dyDescent="0.3">
      <c r="B88" s="58">
        <f>'DATA HISTORICAL'!$B733</f>
        <v>45791</v>
      </c>
      <c r="C88" s="60">
        <f>'DATA HISTORICAL'!$C733</f>
        <v>11672</v>
      </c>
      <c r="D88" s="53">
        <f t="shared" si="2"/>
        <v>9.4287068228862832E-4</v>
      </c>
      <c r="E88" s="53">
        <v>5.47197429368661E-2</v>
      </c>
      <c r="G88" s="90">
        <v>80</v>
      </c>
      <c r="H88" s="90">
        <f t="shared" ca="1" si="3"/>
        <v>6.3638343554995192E-3</v>
      </c>
    </row>
    <row r="89" spans="2:8" x14ac:dyDescent="0.3">
      <c r="B89" s="58">
        <f>'DATA HISTORICAL'!$B734</f>
        <v>45790</v>
      </c>
      <c r="C89" s="60">
        <f>'DATA HISTORICAL'!$C734</f>
        <v>11661</v>
      </c>
      <c r="D89" s="53">
        <f t="shared" si="2"/>
        <v>-6.4111003024847346E-3</v>
      </c>
      <c r="E89" s="53">
        <v>5.4321148053363147E-2</v>
      </c>
      <c r="G89" s="90">
        <v>81</v>
      </c>
      <c r="H89" s="90">
        <f t="shared" ca="1" si="3"/>
        <v>-2.0818740530911079E-3</v>
      </c>
    </row>
    <row r="90" spans="2:8" x14ac:dyDescent="0.3">
      <c r="B90" s="58">
        <f>'DATA HISTORICAL'!$B735</f>
        <v>45789</v>
      </c>
      <c r="C90" s="60">
        <f>'DATA HISTORICAL'!$C735</f>
        <v>11736</v>
      </c>
      <c r="D90" s="53">
        <f t="shared" si="2"/>
        <v>3.2210576848739084E-2</v>
      </c>
      <c r="E90" s="53">
        <v>5.4015299428438385E-2</v>
      </c>
      <c r="G90" s="90">
        <v>82</v>
      </c>
      <c r="H90" s="90">
        <f t="shared" ca="1" si="3"/>
        <v>-1.4501835894111789E-2</v>
      </c>
    </row>
    <row r="91" spans="2:8" x14ac:dyDescent="0.3">
      <c r="B91" s="58">
        <f>'DATA HISTORICAL'!$B736</f>
        <v>45786</v>
      </c>
      <c r="C91" s="60">
        <f>'DATA HISTORICAL'!$C736</f>
        <v>11364</v>
      </c>
      <c r="D91" s="53">
        <f t="shared" si="2"/>
        <v>-2.3223483364960301E-2</v>
      </c>
      <c r="E91" s="53">
        <v>5.3945272910564446E-2</v>
      </c>
      <c r="G91" s="90">
        <v>83</v>
      </c>
      <c r="H91" s="90">
        <f t="shared" ca="1" si="3"/>
        <v>-1.3595650184779595E-2</v>
      </c>
    </row>
    <row r="92" spans="2:8" x14ac:dyDescent="0.3">
      <c r="B92" s="58">
        <f>'DATA HISTORICAL'!$B737</f>
        <v>45785</v>
      </c>
      <c r="C92" s="60">
        <f>'DATA HISTORICAL'!$C737</f>
        <v>11631</v>
      </c>
      <c r="D92" s="53">
        <f t="shared" si="2"/>
        <v>-2.3186922664562605E-3</v>
      </c>
      <c r="E92" s="53">
        <v>5.3866040742262832E-2</v>
      </c>
      <c r="G92" s="90">
        <v>84</v>
      </c>
      <c r="H92" s="90">
        <f t="shared" ca="1" si="3"/>
        <v>-9.421894750347784E-3</v>
      </c>
    </row>
    <row r="93" spans="2:8" x14ac:dyDescent="0.3">
      <c r="B93" s="58">
        <f>'DATA HISTORICAL'!$B738</f>
        <v>45784</v>
      </c>
      <c r="C93" s="60">
        <f>'DATA HISTORICAL'!$C738</f>
        <v>11658</v>
      </c>
      <c r="D93" s="53">
        <f t="shared" si="2"/>
        <v>-2.9977325348234081E-3</v>
      </c>
      <c r="E93" s="53">
        <v>5.3779299209566138E-2</v>
      </c>
      <c r="G93" s="90">
        <v>85</v>
      </c>
      <c r="H93" s="90">
        <f t="shared" ca="1" si="3"/>
        <v>-2.5173561876627885E-2</v>
      </c>
    </row>
    <row r="94" spans="2:8" x14ac:dyDescent="0.3">
      <c r="B94" s="58">
        <f>'DATA HISTORICAL'!$B739</f>
        <v>45783</v>
      </c>
      <c r="C94" s="60">
        <f>'DATA HISTORICAL'!$C739</f>
        <v>11693</v>
      </c>
      <c r="D94" s="53">
        <f t="shared" si="2"/>
        <v>1.968925859716798E-3</v>
      </c>
      <c r="E94" s="53">
        <v>5.3315138778222249E-2</v>
      </c>
      <c r="G94" s="90">
        <v>86</v>
      </c>
      <c r="H94" s="90">
        <f t="shared" ca="1" si="3"/>
        <v>-4.0239965515466236E-3</v>
      </c>
    </row>
    <row r="95" spans="2:8" x14ac:dyDescent="0.3">
      <c r="B95" s="58">
        <f>'DATA HISTORICAL'!$B740</f>
        <v>45782</v>
      </c>
      <c r="C95" s="60">
        <f>'DATA HISTORICAL'!$C740</f>
        <v>11670</v>
      </c>
      <c r="D95" s="53">
        <f t="shared" si="2"/>
        <v>2.2304204150878698E-3</v>
      </c>
      <c r="E95" s="53">
        <v>5.280981924774588E-2</v>
      </c>
      <c r="G95" s="90">
        <v>87</v>
      </c>
      <c r="H95" s="90">
        <f t="shared" ca="1" si="3"/>
        <v>3.076343902268755E-2</v>
      </c>
    </row>
    <row r="96" spans="2:8" x14ac:dyDescent="0.3">
      <c r="B96" s="58">
        <f>'DATA HISTORICAL'!$B741</f>
        <v>45779</v>
      </c>
      <c r="C96" s="60">
        <f>'DATA HISTORICAL'!$C741</f>
        <v>11644</v>
      </c>
      <c r="D96" s="53">
        <f t="shared" si="2"/>
        <v>2.5767661727294747E-4</v>
      </c>
      <c r="E96" s="53">
        <v>5.2408432501437105E-2</v>
      </c>
      <c r="G96" s="90">
        <v>88</v>
      </c>
      <c r="H96" s="90">
        <f t="shared" ca="1" si="3"/>
        <v>7.7778387711373471E-4</v>
      </c>
    </row>
    <row r="97" spans="2:8" x14ac:dyDescent="0.3">
      <c r="B97" s="58">
        <f>'DATA HISTORICAL'!$B742</f>
        <v>45777</v>
      </c>
      <c r="C97" s="60">
        <f>'DATA HISTORICAL'!$C742</f>
        <v>11641</v>
      </c>
      <c r="D97" s="53">
        <f t="shared" si="2"/>
        <v>-1.9396609808264225E-2</v>
      </c>
      <c r="E97" s="53">
        <v>5.2403679307831859E-2</v>
      </c>
      <c r="G97" s="90">
        <v>89</v>
      </c>
      <c r="H97" s="90">
        <f t="shared" ca="1" si="3"/>
        <v>2.430996219233908E-2</v>
      </c>
    </row>
    <row r="98" spans="2:8" x14ac:dyDescent="0.3">
      <c r="B98" s="58">
        <f>'DATA HISTORICAL'!$B743</f>
        <v>45776</v>
      </c>
      <c r="C98" s="60">
        <f>'DATA HISTORICAL'!$C743</f>
        <v>11869</v>
      </c>
      <c r="D98" s="53">
        <f t="shared" si="2"/>
        <v>-2.0431849484387334E-2</v>
      </c>
      <c r="E98" s="53">
        <v>5.2313529515955672E-2</v>
      </c>
      <c r="G98" s="90">
        <v>90</v>
      </c>
      <c r="H98" s="90">
        <f t="shared" ca="1" si="3"/>
        <v>1.5987052678373553E-2</v>
      </c>
    </row>
    <row r="99" spans="2:8" x14ac:dyDescent="0.3">
      <c r="B99" s="58">
        <f>'DATA HISTORICAL'!$B744</f>
        <v>45775</v>
      </c>
      <c r="C99" s="60">
        <f>'DATA HISTORICAL'!$C744</f>
        <v>12114</v>
      </c>
      <c r="D99" s="53">
        <f t="shared" si="2"/>
        <v>-1.0102340444775612E-2</v>
      </c>
      <c r="E99" s="53">
        <v>5.2185024456579139E-2</v>
      </c>
      <c r="G99" s="90">
        <v>91</v>
      </c>
      <c r="H99" s="90">
        <f t="shared" ca="1" si="3"/>
        <v>1.1297563214916106E-2</v>
      </c>
    </row>
    <row r="100" spans="2:8" x14ac:dyDescent="0.3">
      <c r="B100" s="58">
        <f>'DATA HISTORICAL'!$B745</f>
        <v>45772</v>
      </c>
      <c r="C100" s="60">
        <f>'DATA HISTORICAL'!$C745</f>
        <v>12237</v>
      </c>
      <c r="D100" s="53">
        <f t="shared" si="2"/>
        <v>6.3945126892499477E-3</v>
      </c>
      <c r="E100" s="53">
        <v>5.2062429930195796E-2</v>
      </c>
      <c r="G100" s="90">
        <v>92</v>
      </c>
      <c r="H100" s="90">
        <f t="shared" ca="1" si="3"/>
        <v>1.7094800262420096E-3</v>
      </c>
    </row>
    <row r="101" spans="2:8" x14ac:dyDescent="0.3">
      <c r="B101" s="58">
        <f>'DATA HISTORICAL'!$B746</f>
        <v>45771</v>
      </c>
      <c r="C101" s="60">
        <f>'DATA HISTORICAL'!$C746</f>
        <v>12159</v>
      </c>
      <c r="D101" s="53">
        <f t="shared" si="2"/>
        <v>1.7422043446664415E-2</v>
      </c>
      <c r="E101" s="53">
        <v>5.1937672615274169E-2</v>
      </c>
      <c r="G101" s="90">
        <v>93</v>
      </c>
      <c r="H101" s="90">
        <f t="shared" ca="1" si="3"/>
        <v>-9.7875276462447841E-3</v>
      </c>
    </row>
    <row r="102" spans="2:8" x14ac:dyDescent="0.3">
      <c r="B102" s="58">
        <f>'DATA HISTORICAL'!$B747</f>
        <v>45770</v>
      </c>
      <c r="C102" s="60">
        <f>'DATA HISTORICAL'!$C747</f>
        <v>11949</v>
      </c>
      <c r="D102" s="53">
        <f t="shared" si="2"/>
        <v>-8.3654011905359422E-4</v>
      </c>
      <c r="E102" s="53">
        <v>5.184474659901419E-2</v>
      </c>
      <c r="G102" s="90">
        <v>94</v>
      </c>
      <c r="H102" s="90">
        <f t="shared" ca="1" si="3"/>
        <v>-3.9437587911269186E-3</v>
      </c>
    </row>
    <row r="103" spans="2:8" x14ac:dyDescent="0.3">
      <c r="B103" s="58">
        <f>'DATA HISTORICAL'!$B748</f>
        <v>45769</v>
      </c>
      <c r="C103" s="60">
        <f>'DATA HISTORICAL'!$C748</f>
        <v>11959</v>
      </c>
      <c r="D103" s="53">
        <f t="shared" si="2"/>
        <v>2.0926638867803339E-3</v>
      </c>
      <c r="E103" s="53">
        <v>5.1757364726388318E-2</v>
      </c>
      <c r="G103" s="90">
        <v>95</v>
      </c>
      <c r="H103" s="90">
        <f t="shared" ca="1" si="3"/>
        <v>-7.6434730084351194E-3</v>
      </c>
    </row>
    <row r="104" spans="2:8" x14ac:dyDescent="0.3">
      <c r="B104" s="58">
        <f>'DATA HISTORICAL'!$B749</f>
        <v>45768</v>
      </c>
      <c r="C104" s="60">
        <f>'DATA HISTORICAL'!$C749</f>
        <v>11934</v>
      </c>
      <c r="D104" s="53">
        <f t="shared" si="2"/>
        <v>2.7690388995873735E-3</v>
      </c>
      <c r="E104" s="53">
        <v>5.1661219335012505E-2</v>
      </c>
      <c r="G104" s="90">
        <v>96</v>
      </c>
      <c r="H104" s="90">
        <f t="shared" ca="1" si="3"/>
        <v>3.8409131168344893E-2</v>
      </c>
    </row>
    <row r="105" spans="2:8" x14ac:dyDescent="0.3">
      <c r="B105" s="58">
        <f>'DATA HISTORICAL'!$B750</f>
        <v>45764</v>
      </c>
      <c r="C105" s="60">
        <f>'DATA HISTORICAL'!$C750</f>
        <v>11901</v>
      </c>
      <c r="D105" s="53">
        <f t="shared" si="2"/>
        <v>1.4643285056007149E-2</v>
      </c>
      <c r="E105" s="53">
        <v>5.093497327411256E-2</v>
      </c>
      <c r="G105" s="90">
        <v>97</v>
      </c>
      <c r="H105" s="90">
        <f t="shared" ca="1" si="3"/>
        <v>-3.7581582407333154E-3</v>
      </c>
    </row>
    <row r="106" spans="2:8" x14ac:dyDescent="0.3">
      <c r="B106" s="58">
        <f>'DATA HISTORICAL'!$B751</f>
        <v>45763</v>
      </c>
      <c r="C106" s="60">
        <f>'DATA HISTORICAL'!$C751</f>
        <v>11728</v>
      </c>
      <c r="D106" s="53">
        <f t="shared" si="2"/>
        <v>7.6768886783032148E-4</v>
      </c>
      <c r="E106" s="53">
        <v>5.0832786157421872E-2</v>
      </c>
      <c r="G106" s="90">
        <v>98</v>
      </c>
      <c r="H106" s="90">
        <f t="shared" ca="1" si="3"/>
        <v>2.598473780761857E-2</v>
      </c>
    </row>
    <row r="107" spans="2:8" x14ac:dyDescent="0.3">
      <c r="B107" s="58">
        <f>'DATA HISTORICAL'!$B752</f>
        <v>45762</v>
      </c>
      <c r="C107" s="60">
        <f>'DATA HISTORICAL'!$C752</f>
        <v>11719</v>
      </c>
      <c r="D107" s="53">
        <f t="shared" si="2"/>
        <v>1.8634012670668682E-2</v>
      </c>
      <c r="E107" s="53">
        <v>5.0777219573062471E-2</v>
      </c>
      <c r="G107" s="90">
        <v>99</v>
      </c>
      <c r="H107" s="90">
        <f t="shared" ca="1" si="3"/>
        <v>1.4167812393495564E-2</v>
      </c>
    </row>
    <row r="108" spans="2:8" x14ac:dyDescent="0.3">
      <c r="B108" s="58">
        <f>'DATA HISTORICAL'!$B753</f>
        <v>45758</v>
      </c>
      <c r="C108" s="60">
        <f>'DATA HISTORICAL'!$C753</f>
        <v>11502.65</v>
      </c>
      <c r="D108" s="53">
        <f t="shared" si="2"/>
        <v>9.2228936224044138E-3</v>
      </c>
      <c r="E108" s="53">
        <v>5.0730083924240499E-2</v>
      </c>
      <c r="G108" s="90">
        <v>100</v>
      </c>
      <c r="H108" s="90">
        <f t="shared" ca="1" si="3"/>
        <v>-9.9782226757628573E-3</v>
      </c>
    </row>
    <row r="109" spans="2:8" x14ac:dyDescent="0.3">
      <c r="B109" s="58">
        <f>'DATA HISTORICAL'!$B754</f>
        <v>45756</v>
      </c>
      <c r="C109" s="60">
        <f>'DATA HISTORICAL'!$C754</f>
        <v>11397.05</v>
      </c>
      <c r="D109" s="53">
        <f t="shared" si="2"/>
        <v>1.1170293713764873E-2</v>
      </c>
      <c r="E109" s="53">
        <v>5.05666425202436E-2</v>
      </c>
      <c r="G109" s="90">
        <v>101</v>
      </c>
      <c r="H109" s="90">
        <f t="shared" ca="1" si="3"/>
        <v>-5.0238123904748815E-3</v>
      </c>
    </row>
    <row r="110" spans="2:8" x14ac:dyDescent="0.3">
      <c r="B110" s="58">
        <f>'DATA HISTORICAL'!$B755</f>
        <v>45755</v>
      </c>
      <c r="C110" s="60">
        <f>'DATA HISTORICAL'!$C755</f>
        <v>11270.45</v>
      </c>
      <c r="D110" s="53">
        <f t="shared" si="2"/>
        <v>7.0207593592827005E-3</v>
      </c>
      <c r="E110" s="53">
        <v>5.0436727733351394E-2</v>
      </c>
      <c r="G110" s="90">
        <v>102</v>
      </c>
      <c r="H110" s="90">
        <f t="shared" ca="1" si="3"/>
        <v>3.4345322111820703E-2</v>
      </c>
    </row>
    <row r="111" spans="2:8" x14ac:dyDescent="0.3">
      <c r="B111" s="58">
        <f>'DATA HISTORICAL'!$B756</f>
        <v>45754</v>
      </c>
      <c r="C111" s="60">
        <f>'DATA HISTORICAL'!$C756</f>
        <v>11191.6</v>
      </c>
      <c r="D111" s="53">
        <f t="shared" si="2"/>
        <v>-2.7066140263613342E-2</v>
      </c>
      <c r="E111" s="53">
        <v>5.0152695345229162E-2</v>
      </c>
      <c r="G111" s="90">
        <v>103</v>
      </c>
      <c r="H111" s="90">
        <f t="shared" ca="1" si="3"/>
        <v>8.2498351173090553E-3</v>
      </c>
    </row>
    <row r="112" spans="2:8" x14ac:dyDescent="0.3">
      <c r="B112" s="58">
        <f>'DATA HISTORICAL'!$B757</f>
        <v>45751</v>
      </c>
      <c r="C112" s="60">
        <f>'DATA HISTORICAL'!$C757</f>
        <v>11498.65</v>
      </c>
      <c r="D112" s="53">
        <f t="shared" si="2"/>
        <v>-9.3442646560917431E-3</v>
      </c>
      <c r="E112" s="53">
        <v>4.9966673038632642E-2</v>
      </c>
      <c r="G112" s="90">
        <v>104</v>
      </c>
      <c r="H112" s="90">
        <f t="shared" ca="1" si="3"/>
        <v>2.1345399547257875E-2</v>
      </c>
    </row>
    <row r="113" spans="2:8" x14ac:dyDescent="0.3">
      <c r="B113" s="58">
        <f>'DATA HISTORICAL'!$B758</f>
        <v>45750</v>
      </c>
      <c r="C113" s="60">
        <f>'DATA HISTORICAL'!$C758</f>
        <v>11606.6</v>
      </c>
      <c r="D113" s="53">
        <f t="shared" si="2"/>
        <v>3.112133230040745E-2</v>
      </c>
      <c r="E113" s="53">
        <v>4.9811812635107547E-2</v>
      </c>
      <c r="G113" s="90">
        <v>105</v>
      </c>
      <c r="H113" s="90">
        <f t="shared" ca="1" si="3"/>
        <v>1.6970547738130438E-2</v>
      </c>
    </row>
    <row r="114" spans="2:8" x14ac:dyDescent="0.3">
      <c r="B114" s="58">
        <f>'DATA HISTORICAL'!$B759</f>
        <v>45749</v>
      </c>
      <c r="C114" s="60">
        <f>'DATA HISTORICAL'!$C759</f>
        <v>11250.95</v>
      </c>
      <c r="D114" s="53">
        <f t="shared" si="2"/>
        <v>-1.1286222957556071E-2</v>
      </c>
      <c r="E114" s="53">
        <v>4.9806418154810017E-2</v>
      </c>
      <c r="G114" s="90">
        <v>106</v>
      </c>
      <c r="H114" s="90">
        <f t="shared" ca="1" si="3"/>
        <v>-1.4479593125334207E-2</v>
      </c>
    </row>
    <row r="115" spans="2:8" x14ac:dyDescent="0.3">
      <c r="B115" s="58">
        <f>'DATA HISTORICAL'!$B760</f>
        <v>45748</v>
      </c>
      <c r="C115" s="60">
        <f>'DATA HISTORICAL'!$C760</f>
        <v>11378.65</v>
      </c>
      <c r="D115" s="53">
        <f t="shared" si="2"/>
        <v>-1.1438333044427039E-2</v>
      </c>
      <c r="E115" s="53">
        <v>4.9607250000206285E-2</v>
      </c>
      <c r="G115" s="90">
        <v>107</v>
      </c>
      <c r="H115" s="90">
        <f t="shared" ca="1" si="3"/>
        <v>3.2459042866207273E-2</v>
      </c>
    </row>
    <row r="116" spans="2:8" x14ac:dyDescent="0.3">
      <c r="B116" s="58">
        <f>'DATA HISTORICAL'!$B761</f>
        <v>45744</v>
      </c>
      <c r="C116" s="60">
        <f>'DATA HISTORICAL'!$C761</f>
        <v>11509.55</v>
      </c>
      <c r="D116" s="53">
        <f t="shared" si="2"/>
        <v>-7.793489227528887E-3</v>
      </c>
      <c r="E116" s="53">
        <v>4.9453094181239825E-2</v>
      </c>
      <c r="G116" s="90">
        <v>108</v>
      </c>
      <c r="H116" s="90">
        <f t="shared" ca="1" si="3"/>
        <v>2.5707199685800073E-2</v>
      </c>
    </row>
    <row r="117" spans="2:8" x14ac:dyDescent="0.3">
      <c r="B117" s="58">
        <f>'DATA HISTORICAL'!$B762</f>
        <v>45743</v>
      </c>
      <c r="C117" s="60">
        <f>'DATA HISTORICAL'!$C762</f>
        <v>11599.6</v>
      </c>
      <c r="D117" s="53">
        <f t="shared" si="2"/>
        <v>1.7173065797064395E-2</v>
      </c>
      <c r="E117" s="53">
        <v>4.9383397546921823E-2</v>
      </c>
      <c r="G117" s="90">
        <v>109</v>
      </c>
      <c r="H117" s="90">
        <f t="shared" ca="1" si="3"/>
        <v>2.2759531676033069E-2</v>
      </c>
    </row>
    <row r="118" spans="2:8" x14ac:dyDescent="0.3">
      <c r="B118" s="58">
        <f>'DATA HISTORICAL'!$B763</f>
        <v>45742</v>
      </c>
      <c r="C118" s="60">
        <f>'DATA HISTORICAL'!$C763</f>
        <v>11402.1</v>
      </c>
      <c r="D118" s="53">
        <f t="shared" si="2"/>
        <v>-1.6737285544897262E-3</v>
      </c>
      <c r="E118" s="53">
        <v>4.9014874855370621E-2</v>
      </c>
      <c r="G118" s="90">
        <v>110</v>
      </c>
      <c r="H118" s="90">
        <f t="shared" ca="1" si="3"/>
        <v>7.4957581642433307E-3</v>
      </c>
    </row>
    <row r="119" spans="2:8" x14ac:dyDescent="0.3">
      <c r="B119" s="58">
        <f>'DATA HISTORICAL'!$B764</f>
        <v>45741</v>
      </c>
      <c r="C119" s="60">
        <f>'DATA HISTORICAL'!$C764</f>
        <v>11421.2</v>
      </c>
      <c r="D119" s="53">
        <f t="shared" si="2"/>
        <v>3.2932258164008188E-2</v>
      </c>
      <c r="E119" s="53">
        <v>4.8966597929718816E-2</v>
      </c>
      <c r="G119" s="90">
        <v>111</v>
      </c>
      <c r="H119" s="90">
        <f t="shared" ca="1" si="3"/>
        <v>-4.6609124964640024E-3</v>
      </c>
    </row>
    <row r="120" spans="2:8" x14ac:dyDescent="0.3">
      <c r="B120" s="58">
        <f>'DATA HISTORICAL'!$B765</f>
        <v>45740</v>
      </c>
      <c r="C120" s="60">
        <f>'DATA HISTORICAL'!$C765</f>
        <v>11051.2</v>
      </c>
      <c r="D120" s="53">
        <f t="shared" si="2"/>
        <v>6.759619799701762E-3</v>
      </c>
      <c r="E120" s="53">
        <v>4.8716603041773665E-2</v>
      </c>
      <c r="G120" s="90">
        <v>112</v>
      </c>
      <c r="H120" s="90">
        <f t="shared" ca="1" si="3"/>
        <v>4.6745539034126248E-3</v>
      </c>
    </row>
    <row r="121" spans="2:8" x14ac:dyDescent="0.3">
      <c r="B121" s="58">
        <f>'DATA HISTORICAL'!$B766</f>
        <v>45737</v>
      </c>
      <c r="C121" s="60">
        <f>'DATA HISTORICAL'!$C766</f>
        <v>10976.75</v>
      </c>
      <c r="D121" s="53">
        <f t="shared" si="2"/>
        <v>2.6089073356697851E-3</v>
      </c>
      <c r="E121" s="53">
        <v>4.8250721073036941E-2</v>
      </c>
      <c r="G121" s="90">
        <v>113</v>
      </c>
      <c r="H121" s="90">
        <f t="shared" ca="1" si="3"/>
        <v>2.2037815844819536E-2</v>
      </c>
    </row>
    <row r="122" spans="2:8" x14ac:dyDescent="0.3">
      <c r="B122" s="58">
        <f>'DATA HISTORICAL'!$B767</f>
        <v>45736</v>
      </c>
      <c r="C122" s="60">
        <f>'DATA HISTORICAL'!$C767</f>
        <v>10948.15</v>
      </c>
      <c r="D122" s="53">
        <f t="shared" si="2"/>
        <v>1.3618874754782611E-3</v>
      </c>
      <c r="E122" s="53">
        <v>4.8121576854446117E-2</v>
      </c>
      <c r="G122" s="90">
        <v>114</v>
      </c>
      <c r="H122" s="90">
        <f t="shared" ca="1" si="3"/>
        <v>1.101157551803077E-2</v>
      </c>
    </row>
    <row r="123" spans="2:8" x14ac:dyDescent="0.3">
      <c r="B123" s="58">
        <f>'DATA HISTORICAL'!$B768</f>
        <v>45735</v>
      </c>
      <c r="C123" s="60">
        <f>'DATA HISTORICAL'!$C768</f>
        <v>10933.25</v>
      </c>
      <c r="D123" s="53">
        <f t="shared" si="2"/>
        <v>2.1742449134754736E-2</v>
      </c>
      <c r="E123" s="53">
        <v>4.809240576574661E-2</v>
      </c>
      <c r="G123" s="90">
        <v>115</v>
      </c>
      <c r="H123" s="90">
        <f t="shared" ca="1" si="3"/>
        <v>1.6474016028327005E-2</v>
      </c>
    </row>
    <row r="124" spans="2:8" x14ac:dyDescent="0.3">
      <c r="B124" s="58">
        <f>'DATA HISTORICAL'!$B769</f>
        <v>45734</v>
      </c>
      <c r="C124" s="60">
        <f>'DATA HISTORICAL'!$C769</f>
        <v>10698.1</v>
      </c>
      <c r="D124" s="53">
        <f t="shared" si="2"/>
        <v>1.4215214988328046E-2</v>
      </c>
      <c r="E124" s="53">
        <v>4.7873449819231424E-2</v>
      </c>
      <c r="G124" s="90">
        <v>116</v>
      </c>
      <c r="H124" s="90">
        <f t="shared" ca="1" si="3"/>
        <v>1.4098882740152127E-2</v>
      </c>
    </row>
    <row r="125" spans="2:8" x14ac:dyDescent="0.3">
      <c r="B125" s="58">
        <f>'DATA HISTORICAL'!$B770</f>
        <v>45733</v>
      </c>
      <c r="C125" s="60">
        <f>'DATA HISTORICAL'!$C770</f>
        <v>10547.1</v>
      </c>
      <c r="D125" s="53">
        <f t="shared" si="2"/>
        <v>9.0480254591607107E-3</v>
      </c>
      <c r="E125" s="53">
        <v>4.7510017344256028E-2</v>
      </c>
      <c r="G125" s="90">
        <v>117</v>
      </c>
      <c r="H125" s="90">
        <f t="shared" ca="1" si="3"/>
        <v>-4.2041787129280229E-2</v>
      </c>
    </row>
    <row r="126" spans="2:8" x14ac:dyDescent="0.3">
      <c r="B126" s="58">
        <f>'DATA HISTORICAL'!$B771</f>
        <v>45729</v>
      </c>
      <c r="C126" s="60">
        <f>'DATA HISTORICAL'!$C771</f>
        <v>10452.1</v>
      </c>
      <c r="D126" s="53">
        <f t="shared" si="2"/>
        <v>-6.5133142409247603E-3</v>
      </c>
      <c r="E126" s="53">
        <v>4.741439007962845E-2</v>
      </c>
      <c r="G126" s="90">
        <v>118</v>
      </c>
      <c r="H126" s="90">
        <f t="shared" ca="1" si="3"/>
        <v>1.4951802208014026E-2</v>
      </c>
    </row>
    <row r="127" spans="2:8" x14ac:dyDescent="0.3">
      <c r="B127" s="58">
        <f>'DATA HISTORICAL'!$B772</f>
        <v>45728</v>
      </c>
      <c r="C127" s="60">
        <f>'DATA HISTORICAL'!$C772</f>
        <v>10520.4</v>
      </c>
      <c r="D127" s="53">
        <f t="shared" si="2"/>
        <v>7.7434886069204763E-3</v>
      </c>
      <c r="E127" s="53">
        <v>4.7151152877832225E-2</v>
      </c>
      <c r="G127" s="90">
        <v>119</v>
      </c>
      <c r="H127" s="90">
        <f t="shared" ca="1" si="3"/>
        <v>7.2001405559694023E-3</v>
      </c>
    </row>
    <row r="128" spans="2:8" x14ac:dyDescent="0.3">
      <c r="B128" s="58">
        <f>'DATA HISTORICAL'!$B773</f>
        <v>45727</v>
      </c>
      <c r="C128" s="60">
        <f>'DATA HISTORICAL'!$C773</f>
        <v>10439.25</v>
      </c>
      <c r="D128" s="53">
        <f t="shared" si="2"/>
        <v>-7.7149721743244529E-3</v>
      </c>
      <c r="E128" s="53">
        <v>4.7030731181380271E-2</v>
      </c>
      <c r="G128" s="90">
        <v>120</v>
      </c>
      <c r="H128" s="90">
        <f t="shared" ca="1" si="3"/>
        <v>-1.5734318724840473E-2</v>
      </c>
    </row>
    <row r="129" spans="2:8" x14ac:dyDescent="0.3">
      <c r="B129" s="58">
        <f>'DATA HISTORICAL'!$B774</f>
        <v>45726</v>
      </c>
      <c r="C129" s="60">
        <f>'DATA HISTORICAL'!$C774</f>
        <v>10520.1</v>
      </c>
      <c r="D129" s="53">
        <f t="shared" si="2"/>
        <v>-5.9045308375296167E-3</v>
      </c>
      <c r="E129" s="53">
        <v>4.671098288459001E-2</v>
      </c>
      <c r="G129" s="90">
        <v>121</v>
      </c>
      <c r="H129" s="90">
        <f t="shared" ca="1" si="3"/>
        <v>4.9867460584156927E-3</v>
      </c>
    </row>
    <row r="130" spans="2:8" x14ac:dyDescent="0.3">
      <c r="B130" s="58">
        <f>'DATA HISTORICAL'!$B775</f>
        <v>45723</v>
      </c>
      <c r="C130" s="60">
        <f>'DATA HISTORICAL'!$C775</f>
        <v>10582.4</v>
      </c>
      <c r="D130" s="53">
        <f t="shared" si="2"/>
        <v>8.4362259499976607E-3</v>
      </c>
      <c r="E130" s="53">
        <v>4.6620106655247996E-2</v>
      </c>
      <c r="G130" s="90">
        <v>122</v>
      </c>
      <c r="H130" s="90">
        <f t="shared" ca="1" si="3"/>
        <v>4.7589934922446495E-2</v>
      </c>
    </row>
    <row r="131" spans="2:8" x14ac:dyDescent="0.3">
      <c r="B131" s="58">
        <f>'DATA HISTORICAL'!$B776</f>
        <v>45722</v>
      </c>
      <c r="C131" s="60">
        <f>'DATA HISTORICAL'!$C776</f>
        <v>10493.5</v>
      </c>
      <c r="D131" s="53">
        <f t="shared" si="2"/>
        <v>2.7961101733026852E-3</v>
      </c>
      <c r="E131" s="53">
        <v>4.6532196051219582E-2</v>
      </c>
      <c r="G131" s="90">
        <v>123</v>
      </c>
      <c r="H131" s="90">
        <f t="shared" ca="1" si="3"/>
        <v>-1.605636725532298E-2</v>
      </c>
    </row>
    <row r="132" spans="2:8" x14ac:dyDescent="0.3">
      <c r="B132" s="58">
        <f>'DATA HISTORICAL'!$B777</f>
        <v>45721</v>
      </c>
      <c r="C132" s="60">
        <f>'DATA HISTORICAL'!$C777</f>
        <v>10464.200000000001</v>
      </c>
      <c r="D132" s="53">
        <f t="shared" si="2"/>
        <v>9.0332422855526635E-3</v>
      </c>
      <c r="E132" s="53">
        <v>4.6453254389770895E-2</v>
      </c>
      <c r="G132" s="90">
        <v>124</v>
      </c>
      <c r="H132" s="90">
        <f t="shared" ca="1" si="3"/>
        <v>8.7478714751181418E-3</v>
      </c>
    </row>
    <row r="133" spans="2:8" x14ac:dyDescent="0.3">
      <c r="B133" s="58">
        <f>'DATA HISTORICAL'!$B778</f>
        <v>45720</v>
      </c>
      <c r="C133" s="60">
        <f>'DATA HISTORICAL'!$C778</f>
        <v>10370.1</v>
      </c>
      <c r="D133" s="53">
        <f t="shared" si="2"/>
        <v>2.8294298699896412E-3</v>
      </c>
      <c r="E133" s="53">
        <v>4.6450833704663338E-2</v>
      </c>
      <c r="G133" s="90">
        <v>125</v>
      </c>
      <c r="H133" s="90">
        <f t="shared" ca="1" si="3"/>
        <v>5.006533176621665E-2</v>
      </c>
    </row>
    <row r="134" spans="2:8" x14ac:dyDescent="0.3">
      <c r="B134" s="58">
        <f>'DATA HISTORICAL'!$B779</f>
        <v>45719</v>
      </c>
      <c r="C134" s="60">
        <f>'DATA HISTORICAL'!$C779</f>
        <v>10340.799999999999</v>
      </c>
      <c r="D134" s="53">
        <f t="shared" si="2"/>
        <v>2.0748939832092656E-2</v>
      </c>
      <c r="E134" s="53">
        <v>4.6086593924533001E-2</v>
      </c>
      <c r="G134" s="90">
        <v>126</v>
      </c>
      <c r="H134" s="90">
        <f t="shared" ca="1" si="3"/>
        <v>-1.4453119077316352E-2</v>
      </c>
    </row>
    <row r="135" spans="2:8" x14ac:dyDescent="0.3">
      <c r="B135" s="58">
        <f>'DATA HISTORICAL'!$B780</f>
        <v>45716</v>
      </c>
      <c r="C135" s="60">
        <f>'DATA HISTORICAL'!$C780</f>
        <v>10128.450000000001</v>
      </c>
      <c r="D135" s="53">
        <f t="shared" si="2"/>
        <v>-3.102877704425883E-2</v>
      </c>
      <c r="E135" s="53">
        <v>4.6043938501406798E-2</v>
      </c>
      <c r="G135" s="90">
        <v>127</v>
      </c>
      <c r="H135" s="90">
        <f t="shared" ca="1" si="3"/>
        <v>5.6351523834708619E-3</v>
      </c>
    </row>
    <row r="136" spans="2:8" x14ac:dyDescent="0.3">
      <c r="B136" s="58">
        <f>'DATA HISTORICAL'!$B781</f>
        <v>45715</v>
      </c>
      <c r="C136" s="60">
        <f>'DATA HISTORICAL'!$C781</f>
        <v>10447.65</v>
      </c>
      <c r="D136" s="53">
        <f t="shared" si="2"/>
        <v>-4.8253786746564005E-2</v>
      </c>
      <c r="E136" s="53">
        <v>4.5936612496197959E-2</v>
      </c>
      <c r="G136" s="90">
        <v>128</v>
      </c>
      <c r="H136" s="90">
        <f t="shared" ca="1" si="3"/>
        <v>-1.7838219962181961E-2</v>
      </c>
    </row>
    <row r="137" spans="2:8" x14ac:dyDescent="0.3">
      <c r="B137" s="58">
        <f>'DATA HISTORICAL'!$B782</f>
        <v>45713</v>
      </c>
      <c r="C137" s="60">
        <f>'DATA HISTORICAL'!$C782</f>
        <v>10964.15</v>
      </c>
      <c r="D137" s="53">
        <f t="shared" ref="D137:D200" si="4">LN(C137/C138)</f>
        <v>-7.134188791522088E-3</v>
      </c>
      <c r="E137" s="53">
        <v>4.5824837744861187E-2</v>
      </c>
      <c r="G137" s="90">
        <v>129</v>
      </c>
      <c r="H137" s="90">
        <f t="shared" ref="H137:H200" ca="1" si="5">_xlfn.NORM.INV(RAND(),N$10,N$11)</f>
        <v>3.8591679515251963E-2</v>
      </c>
    </row>
    <row r="138" spans="2:8" x14ac:dyDescent="0.3">
      <c r="B138" s="58">
        <f>'DATA HISTORICAL'!$B783</f>
        <v>45712</v>
      </c>
      <c r="C138" s="60">
        <f>'DATA HISTORICAL'!$C783</f>
        <v>11042.65</v>
      </c>
      <c r="D138" s="53">
        <f t="shared" si="4"/>
        <v>-1.0324462540454923E-2</v>
      </c>
      <c r="E138" s="53">
        <v>4.5445316465894635E-2</v>
      </c>
      <c r="G138" s="90">
        <v>130</v>
      </c>
      <c r="H138" s="90">
        <f t="shared" ca="1" si="5"/>
        <v>-8.3929500376738637E-3</v>
      </c>
    </row>
    <row r="139" spans="2:8" x14ac:dyDescent="0.3">
      <c r="B139" s="58">
        <f>'DATA HISTORICAL'!$B784</f>
        <v>45709</v>
      </c>
      <c r="C139" s="60">
        <f>'DATA HISTORICAL'!$C784</f>
        <v>11157.25</v>
      </c>
      <c r="D139" s="53">
        <f t="shared" si="4"/>
        <v>-1.1615267244355418E-2</v>
      </c>
      <c r="E139" s="53">
        <v>4.5401245378997729E-2</v>
      </c>
      <c r="G139" s="90">
        <v>131</v>
      </c>
      <c r="H139" s="90">
        <f t="shared" ca="1" si="5"/>
        <v>-3.224111469696673E-3</v>
      </c>
    </row>
    <row r="140" spans="2:8" x14ac:dyDescent="0.3">
      <c r="B140" s="58">
        <f>'DATA HISTORICAL'!$B785</f>
        <v>45708</v>
      </c>
      <c r="C140" s="60">
        <f>'DATA HISTORICAL'!$C785</f>
        <v>11287.6</v>
      </c>
      <c r="D140" s="53">
        <f t="shared" si="4"/>
        <v>-3.4988031350108333E-4</v>
      </c>
      <c r="E140" s="53">
        <v>4.5274046184352899E-2</v>
      </c>
      <c r="G140" s="90">
        <v>132</v>
      </c>
      <c r="H140" s="90">
        <f t="shared" ca="1" si="5"/>
        <v>1.783908834430387E-2</v>
      </c>
    </row>
    <row r="141" spans="2:8" x14ac:dyDescent="0.3">
      <c r="B141" s="58">
        <f>'DATA HISTORICAL'!$B786</f>
        <v>45707</v>
      </c>
      <c r="C141" s="60">
        <f>'DATA HISTORICAL'!$C786</f>
        <v>11291.55</v>
      </c>
      <c r="D141" s="53">
        <f t="shared" si="4"/>
        <v>-1.5353679602258179E-3</v>
      </c>
      <c r="E141" s="53">
        <v>4.5208868041501621E-2</v>
      </c>
      <c r="G141" s="90">
        <v>133</v>
      </c>
      <c r="H141" s="90">
        <f t="shared" ca="1" si="5"/>
        <v>-3.338393074624163E-2</v>
      </c>
    </row>
    <row r="142" spans="2:8" x14ac:dyDescent="0.3">
      <c r="B142" s="58">
        <f>'DATA HISTORICAL'!$B787</f>
        <v>45706</v>
      </c>
      <c r="C142" s="60">
        <f>'DATA HISTORICAL'!$C787</f>
        <v>11308.9</v>
      </c>
      <c r="D142" s="53">
        <f t="shared" si="4"/>
        <v>-1.5895768707699626E-2</v>
      </c>
      <c r="E142" s="53">
        <v>4.5176567187195357E-2</v>
      </c>
      <c r="G142" s="90">
        <v>134</v>
      </c>
      <c r="H142" s="90">
        <f t="shared" ca="1" si="5"/>
        <v>1.7215408168648012E-3</v>
      </c>
    </row>
    <row r="143" spans="2:8" x14ac:dyDescent="0.3">
      <c r="B143" s="58">
        <f>'DATA HISTORICAL'!$B788</f>
        <v>45705</v>
      </c>
      <c r="C143" s="60">
        <f>'DATA HISTORICAL'!$C788</f>
        <v>11490.1</v>
      </c>
      <c r="D143" s="53">
        <f t="shared" si="4"/>
        <v>1.9887312477328882E-2</v>
      </c>
      <c r="E143" s="53">
        <v>4.5083400536314024E-2</v>
      </c>
      <c r="G143" s="90">
        <v>135</v>
      </c>
      <c r="H143" s="90">
        <f t="shared" ca="1" si="5"/>
        <v>1.9803335687142976E-2</v>
      </c>
    </row>
    <row r="144" spans="2:8" x14ac:dyDescent="0.3">
      <c r="B144" s="58">
        <f>'DATA HISTORICAL'!$B789</f>
        <v>45702</v>
      </c>
      <c r="C144" s="60">
        <f>'DATA HISTORICAL'!$C789</f>
        <v>11263.85</v>
      </c>
      <c r="D144" s="53">
        <f t="shared" si="4"/>
        <v>-2.477954785023628E-2</v>
      </c>
      <c r="E144" s="53">
        <v>4.5059366480018501E-2</v>
      </c>
      <c r="G144" s="90">
        <v>136</v>
      </c>
      <c r="H144" s="90">
        <f t="shared" ca="1" si="5"/>
        <v>-1.0308262975059403E-2</v>
      </c>
    </row>
    <row r="145" spans="2:8" x14ac:dyDescent="0.3">
      <c r="B145" s="58">
        <f>'DATA HISTORICAL'!$B790</f>
        <v>45701</v>
      </c>
      <c r="C145" s="60">
        <f>'DATA HISTORICAL'!$C790</f>
        <v>11546.45</v>
      </c>
      <c r="D145" s="53">
        <f t="shared" si="4"/>
        <v>5.9023100824015405E-3</v>
      </c>
      <c r="E145" s="53">
        <v>4.489825400038687E-2</v>
      </c>
      <c r="G145" s="90">
        <v>137</v>
      </c>
      <c r="H145" s="90">
        <f t="shared" ca="1" si="5"/>
        <v>3.4997601779831689E-2</v>
      </c>
    </row>
    <row r="146" spans="2:8" x14ac:dyDescent="0.3">
      <c r="B146" s="58">
        <f>'DATA HISTORICAL'!$B791</f>
        <v>45700</v>
      </c>
      <c r="C146" s="60">
        <f>'DATA HISTORICAL'!$C791</f>
        <v>11478.5</v>
      </c>
      <c r="D146" s="53">
        <f t="shared" si="4"/>
        <v>1.5655295656777247E-2</v>
      </c>
      <c r="E146" s="53">
        <v>4.4662939930975067E-2</v>
      </c>
      <c r="G146" s="90">
        <v>138</v>
      </c>
      <c r="H146" s="90">
        <f t="shared" ca="1" si="5"/>
        <v>-9.2751329015938952E-3</v>
      </c>
    </row>
    <row r="147" spans="2:8" x14ac:dyDescent="0.3">
      <c r="B147" s="58">
        <f>'DATA HISTORICAL'!$B792</f>
        <v>45699</v>
      </c>
      <c r="C147" s="60">
        <f>'DATA HISTORICAL'!$C792</f>
        <v>11300.2</v>
      </c>
      <c r="D147" s="53">
        <f t="shared" si="4"/>
        <v>-2.033136932922916E-2</v>
      </c>
      <c r="E147" s="53">
        <v>4.4509857774365003E-2</v>
      </c>
      <c r="G147" s="90">
        <v>139</v>
      </c>
      <c r="H147" s="90">
        <f t="shared" ca="1" si="5"/>
        <v>-4.4066230184723479E-3</v>
      </c>
    </row>
    <row r="148" spans="2:8" x14ac:dyDescent="0.3">
      <c r="B148" s="58">
        <f>'DATA HISTORICAL'!$B793</f>
        <v>45698</v>
      </c>
      <c r="C148" s="60">
        <f>'DATA HISTORICAL'!$C793</f>
        <v>11532.3</v>
      </c>
      <c r="D148" s="53">
        <f t="shared" si="4"/>
        <v>-9.3471933606339465E-3</v>
      </c>
      <c r="E148" s="53">
        <v>4.4337884069448157E-2</v>
      </c>
      <c r="G148" s="90">
        <v>140</v>
      </c>
      <c r="H148" s="90">
        <f t="shared" ca="1" si="5"/>
        <v>-1.7054755635876561E-2</v>
      </c>
    </row>
    <row r="149" spans="2:8" x14ac:dyDescent="0.3">
      <c r="B149" s="58">
        <f>'DATA HISTORICAL'!$B794</f>
        <v>45695</v>
      </c>
      <c r="C149" s="60">
        <f>'DATA HISTORICAL'!$C794</f>
        <v>11640.6</v>
      </c>
      <c r="D149" s="53">
        <f t="shared" si="4"/>
        <v>1.4123459358873054E-2</v>
      </c>
      <c r="E149" s="53">
        <v>4.4296039478395506E-2</v>
      </c>
      <c r="G149" s="90">
        <v>141</v>
      </c>
      <c r="H149" s="90">
        <f t="shared" ca="1" si="5"/>
        <v>1.6282966541222854E-2</v>
      </c>
    </row>
    <row r="150" spans="2:8" x14ac:dyDescent="0.3">
      <c r="B150" s="58">
        <f>'DATA HISTORICAL'!$B795</f>
        <v>45694</v>
      </c>
      <c r="C150" s="60">
        <f>'DATA HISTORICAL'!$C795</f>
        <v>11477.35</v>
      </c>
      <c r="D150" s="53">
        <f t="shared" si="4"/>
        <v>-9.3960510119694834E-3</v>
      </c>
      <c r="E150" s="53">
        <v>4.4242474769913748E-2</v>
      </c>
      <c r="G150" s="90">
        <v>142</v>
      </c>
      <c r="H150" s="90">
        <f t="shared" ca="1" si="5"/>
        <v>-1.3143759981765941E-2</v>
      </c>
    </row>
    <row r="151" spans="2:8" x14ac:dyDescent="0.3">
      <c r="B151" s="58">
        <f>'DATA HISTORICAL'!$B796</f>
        <v>45693</v>
      </c>
      <c r="C151" s="60">
        <f>'DATA HISTORICAL'!$C796</f>
        <v>11585.7</v>
      </c>
      <c r="D151" s="53">
        <f t="shared" si="4"/>
        <v>5.7607111963747784E-3</v>
      </c>
      <c r="E151" s="53">
        <v>4.3349599899755224E-2</v>
      </c>
      <c r="G151" s="90">
        <v>143</v>
      </c>
      <c r="H151" s="90">
        <f t="shared" ca="1" si="5"/>
        <v>5.8299310837398675E-3</v>
      </c>
    </row>
    <row r="152" spans="2:8" x14ac:dyDescent="0.3">
      <c r="B152" s="58">
        <f>'DATA HISTORICAL'!$B797</f>
        <v>45692</v>
      </c>
      <c r="C152" s="60">
        <f>'DATA HISTORICAL'!$C797</f>
        <v>11519.15</v>
      </c>
      <c r="D152" s="53">
        <f t="shared" si="4"/>
        <v>3.0363047724656984E-2</v>
      </c>
      <c r="E152" s="53">
        <v>4.3303605850713529E-2</v>
      </c>
      <c r="G152" s="90">
        <v>144</v>
      </c>
      <c r="H152" s="90">
        <f t="shared" ca="1" si="5"/>
        <v>-1.4302049084240067E-2</v>
      </c>
    </row>
    <row r="153" spans="2:8" x14ac:dyDescent="0.3">
      <c r="B153" s="58">
        <f>'DATA HISTORICAL'!$B798</f>
        <v>45691</v>
      </c>
      <c r="C153" s="60">
        <f>'DATA HISTORICAL'!$C798</f>
        <v>11174.65</v>
      </c>
      <c r="D153" s="53">
        <f t="shared" si="4"/>
        <v>-7.5333113088012224E-3</v>
      </c>
      <c r="E153" s="53">
        <v>4.3209636601530148E-2</v>
      </c>
      <c r="G153" s="90">
        <v>145</v>
      </c>
      <c r="H153" s="90">
        <f t="shared" ca="1" si="5"/>
        <v>5.5373404796880393E-3</v>
      </c>
    </row>
    <row r="154" spans="2:8" x14ac:dyDescent="0.3">
      <c r="B154" s="58">
        <f>'DATA HISTORICAL'!$B799</f>
        <v>45689</v>
      </c>
      <c r="C154" s="60">
        <f>'DATA HISTORICAL'!$C799</f>
        <v>11259.15</v>
      </c>
      <c r="D154" s="53">
        <f t="shared" si="4"/>
        <v>-2.0074003707765183E-2</v>
      </c>
      <c r="E154" s="53">
        <v>4.3138643172169894E-2</v>
      </c>
      <c r="G154" s="90">
        <v>146</v>
      </c>
      <c r="H154" s="90">
        <f t="shared" ca="1" si="5"/>
        <v>-8.2761071152153212E-3</v>
      </c>
    </row>
    <row r="155" spans="2:8" x14ac:dyDescent="0.3">
      <c r="B155" s="58">
        <f>'DATA HISTORICAL'!$B800</f>
        <v>45688</v>
      </c>
      <c r="C155" s="60">
        <f>'DATA HISTORICAL'!$C800</f>
        <v>11487.45</v>
      </c>
      <c r="D155" s="53">
        <f t="shared" si="4"/>
        <v>7.0101039800057126E-4</v>
      </c>
      <c r="E155" s="53">
        <v>4.3073704734309937E-2</v>
      </c>
      <c r="G155" s="90">
        <v>147</v>
      </c>
      <c r="H155" s="90">
        <f t="shared" ca="1" si="5"/>
        <v>-1.5619029902896386E-2</v>
      </c>
    </row>
    <row r="156" spans="2:8" x14ac:dyDescent="0.3">
      <c r="B156" s="58">
        <f>'DATA HISTORICAL'!$B801</f>
        <v>45687</v>
      </c>
      <c r="C156" s="60">
        <f>'DATA HISTORICAL'!$C801</f>
        <v>11479.4</v>
      </c>
      <c r="D156" s="53">
        <f t="shared" si="4"/>
        <v>-5.6853253673429666E-3</v>
      </c>
      <c r="E156" s="53">
        <v>4.3023989739973532E-2</v>
      </c>
      <c r="G156" s="90">
        <v>148</v>
      </c>
      <c r="H156" s="90">
        <f t="shared" ca="1" si="5"/>
        <v>-2.9334675782277272E-2</v>
      </c>
    </row>
    <row r="157" spans="2:8" x14ac:dyDescent="0.3">
      <c r="B157" s="58">
        <f>'DATA HISTORICAL'!$B802</f>
        <v>45686</v>
      </c>
      <c r="C157" s="60">
        <f>'DATA HISTORICAL'!$C802</f>
        <v>11544.85</v>
      </c>
      <c r="D157" s="53">
        <f t="shared" si="4"/>
        <v>2.1759785394405658E-2</v>
      </c>
      <c r="E157" s="53">
        <v>4.2985659751110267E-2</v>
      </c>
      <c r="G157" s="90">
        <v>149</v>
      </c>
      <c r="H157" s="90">
        <f t="shared" ca="1" si="5"/>
        <v>2.6543553552456356E-2</v>
      </c>
    </row>
    <row r="158" spans="2:8" x14ac:dyDescent="0.3">
      <c r="B158" s="58">
        <f>'DATA HISTORICAL'!$B803</f>
        <v>45685</v>
      </c>
      <c r="C158" s="60">
        <f>'DATA HISTORICAL'!$C803</f>
        <v>11296.35</v>
      </c>
      <c r="D158" s="53">
        <f t="shared" si="4"/>
        <v>5.0453051998044091E-3</v>
      </c>
      <c r="E158" s="53">
        <v>4.2961550874056106E-2</v>
      </c>
      <c r="G158" s="90">
        <v>150</v>
      </c>
      <c r="H158" s="90">
        <f t="shared" ca="1" si="5"/>
        <v>9.1517707632638966E-3</v>
      </c>
    </row>
    <row r="159" spans="2:8" x14ac:dyDescent="0.3">
      <c r="B159" s="58">
        <f>'DATA HISTORICAL'!$B804</f>
        <v>45684</v>
      </c>
      <c r="C159" s="60">
        <f>'DATA HISTORICAL'!$C804</f>
        <v>11239.5</v>
      </c>
      <c r="D159" s="53">
        <f t="shared" si="4"/>
        <v>-4.1153691655223274E-3</v>
      </c>
      <c r="E159" s="53">
        <v>4.2960329642813301E-2</v>
      </c>
      <c r="G159" s="90">
        <v>151</v>
      </c>
      <c r="H159" s="90">
        <f t="shared" ca="1" si="5"/>
        <v>5.7777494966772024E-3</v>
      </c>
    </row>
    <row r="160" spans="2:8" x14ac:dyDescent="0.3">
      <c r="B160" s="58">
        <f>'DATA HISTORICAL'!$B805</f>
        <v>45681</v>
      </c>
      <c r="C160" s="60">
        <f>'DATA HISTORICAL'!$C805</f>
        <v>11285.85</v>
      </c>
      <c r="D160" s="53">
        <f t="shared" si="4"/>
        <v>-1.1895281573559414E-2</v>
      </c>
      <c r="E160" s="53">
        <v>4.285790984412028E-2</v>
      </c>
      <c r="G160" s="90">
        <v>152</v>
      </c>
      <c r="H160" s="90">
        <f t="shared" ca="1" si="5"/>
        <v>2.2505252287330087E-2</v>
      </c>
    </row>
    <row r="161" spans="2:8" x14ac:dyDescent="0.3">
      <c r="B161" s="58">
        <f>'DATA HISTORICAL'!$B806</f>
        <v>45680</v>
      </c>
      <c r="C161" s="60">
        <f>'DATA HISTORICAL'!$C806</f>
        <v>11420.9</v>
      </c>
      <c r="D161" s="53">
        <f t="shared" si="4"/>
        <v>6.5785551571053216E-2</v>
      </c>
      <c r="E161" s="53">
        <v>4.2327856910871264E-2</v>
      </c>
      <c r="G161" s="90">
        <v>153</v>
      </c>
      <c r="H161" s="90">
        <f t="shared" ca="1" si="5"/>
        <v>1.4236769113100282E-2</v>
      </c>
    </row>
    <row r="162" spans="2:8" x14ac:dyDescent="0.3">
      <c r="B162" s="58">
        <f>'DATA HISTORICAL'!$B807</f>
        <v>45679</v>
      </c>
      <c r="C162" s="60">
        <f>'DATA HISTORICAL'!$C807</f>
        <v>10693.75</v>
      </c>
      <c r="D162" s="53">
        <f t="shared" si="4"/>
        <v>2.4296001708812151E-3</v>
      </c>
      <c r="E162" s="53">
        <v>4.2268858972752052E-2</v>
      </c>
      <c r="G162" s="90">
        <v>154</v>
      </c>
      <c r="H162" s="90">
        <f t="shared" ca="1" si="5"/>
        <v>2.3467409466197599E-4</v>
      </c>
    </row>
    <row r="163" spans="2:8" x14ac:dyDescent="0.3">
      <c r="B163" s="58">
        <f>'DATA HISTORICAL'!$B808</f>
        <v>45678</v>
      </c>
      <c r="C163" s="60">
        <f>'DATA HISTORICAL'!$C808</f>
        <v>10667.8</v>
      </c>
      <c r="D163" s="53">
        <f t="shared" si="4"/>
        <v>4.0719097227256244E-3</v>
      </c>
      <c r="E163" s="53">
        <v>4.2213566815898787E-2</v>
      </c>
      <c r="G163" s="90">
        <v>155</v>
      </c>
      <c r="H163" s="90">
        <f t="shared" ca="1" si="5"/>
        <v>1.1509868636806957E-2</v>
      </c>
    </row>
    <row r="164" spans="2:8" x14ac:dyDescent="0.3">
      <c r="B164" s="58">
        <f>'DATA HISTORICAL'!$B809</f>
        <v>45677</v>
      </c>
      <c r="C164" s="60">
        <f>'DATA HISTORICAL'!$C809</f>
        <v>10624.45</v>
      </c>
      <c r="D164" s="53">
        <f t="shared" si="4"/>
        <v>4.1925223346062105E-3</v>
      </c>
      <c r="E164" s="53">
        <v>4.1975897263005442E-2</v>
      </c>
      <c r="G164" s="90">
        <v>156</v>
      </c>
      <c r="H164" s="90">
        <f t="shared" ca="1" si="5"/>
        <v>3.7237826621844744E-2</v>
      </c>
    </row>
    <row r="165" spans="2:8" x14ac:dyDescent="0.3">
      <c r="B165" s="58">
        <f>'DATA HISTORICAL'!$B810</f>
        <v>45674</v>
      </c>
      <c r="C165" s="60">
        <f>'DATA HISTORICAL'!$C810</f>
        <v>10580</v>
      </c>
      <c r="D165" s="53">
        <f t="shared" si="4"/>
        <v>-5.29785083550332E-3</v>
      </c>
      <c r="E165" s="53">
        <v>4.1697090675989847E-2</v>
      </c>
      <c r="G165" s="90">
        <v>157</v>
      </c>
      <c r="H165" s="90">
        <f t="shared" ca="1" si="5"/>
        <v>-1.256742309197665E-2</v>
      </c>
    </row>
    <row r="166" spans="2:8" x14ac:dyDescent="0.3">
      <c r="B166" s="58">
        <f>'DATA HISTORICAL'!$B811</f>
        <v>45673</v>
      </c>
      <c r="C166" s="60">
        <f>'DATA HISTORICAL'!$C811</f>
        <v>10636.2</v>
      </c>
      <c r="D166" s="53">
        <f t="shared" si="4"/>
        <v>1.0828238148379804E-2</v>
      </c>
      <c r="E166" s="53">
        <v>4.1608804760767115E-2</v>
      </c>
      <c r="G166" s="90">
        <v>158</v>
      </c>
      <c r="H166" s="90">
        <f t="shared" ca="1" si="5"/>
        <v>2.8526462015782293E-3</v>
      </c>
    </row>
    <row r="167" spans="2:8" x14ac:dyDescent="0.3">
      <c r="B167" s="58">
        <f>'DATA HISTORICAL'!$B812</f>
        <v>45672</v>
      </c>
      <c r="C167" s="60">
        <f>'DATA HISTORICAL'!$C812</f>
        <v>10521.65</v>
      </c>
      <c r="D167" s="53">
        <f t="shared" si="4"/>
        <v>3.608599800792602E-3</v>
      </c>
      <c r="E167" s="53">
        <v>4.1564998236993736E-2</v>
      </c>
      <c r="G167" s="90">
        <v>159</v>
      </c>
      <c r="H167" s="90">
        <f t="shared" ca="1" si="5"/>
        <v>5.2246391480521043E-2</v>
      </c>
    </row>
    <row r="168" spans="2:8" x14ac:dyDescent="0.3">
      <c r="B168" s="58">
        <f>'DATA HISTORICAL'!$B813</f>
        <v>45671</v>
      </c>
      <c r="C168" s="60">
        <f>'DATA HISTORICAL'!$C813</f>
        <v>10483.75</v>
      </c>
      <c r="D168" s="53">
        <f t="shared" si="4"/>
        <v>-1.245578668566775E-2</v>
      </c>
      <c r="E168" s="53">
        <v>4.1348866619107832E-2</v>
      </c>
      <c r="G168" s="90">
        <v>160</v>
      </c>
      <c r="H168" s="90">
        <f t="shared" ca="1" si="5"/>
        <v>2.2745117167475987E-3</v>
      </c>
    </row>
    <row r="169" spans="2:8" x14ac:dyDescent="0.3">
      <c r="B169" s="58">
        <f>'DATA HISTORICAL'!$B814</f>
        <v>45670</v>
      </c>
      <c r="C169" s="60">
        <f>'DATA HISTORICAL'!$C814</f>
        <v>10615.15</v>
      </c>
      <c r="D169" s="53">
        <f t="shared" si="4"/>
        <v>-2.3282795268068045E-2</v>
      </c>
      <c r="E169" s="53">
        <v>4.1130754159631897E-2</v>
      </c>
      <c r="G169" s="90">
        <v>161</v>
      </c>
      <c r="H169" s="90">
        <f t="shared" ca="1" si="5"/>
        <v>2.2211734032137328E-2</v>
      </c>
    </row>
    <row r="170" spans="2:8" x14ac:dyDescent="0.3">
      <c r="B170" s="58">
        <f>'DATA HISTORICAL'!$B815</f>
        <v>45667</v>
      </c>
      <c r="C170" s="60">
        <f>'DATA HISTORICAL'!$C815</f>
        <v>10865.2</v>
      </c>
      <c r="D170" s="53">
        <f t="shared" si="4"/>
        <v>-3.5673839294235496E-2</v>
      </c>
      <c r="E170" s="53">
        <v>4.0978207908060102E-2</v>
      </c>
      <c r="G170" s="90">
        <v>162</v>
      </c>
      <c r="H170" s="90">
        <f t="shared" ca="1" si="5"/>
        <v>4.4654855262276166E-2</v>
      </c>
    </row>
    <row r="171" spans="2:8" x14ac:dyDescent="0.3">
      <c r="B171" s="58">
        <f>'DATA HISTORICAL'!$B816</f>
        <v>45666</v>
      </c>
      <c r="C171" s="60">
        <f>'DATA HISTORICAL'!$C816</f>
        <v>11259.8</v>
      </c>
      <c r="D171" s="53">
        <f t="shared" si="4"/>
        <v>-1.2685849868756972E-2</v>
      </c>
      <c r="E171" s="53">
        <v>4.0773238325596817E-2</v>
      </c>
      <c r="G171" s="90">
        <v>163</v>
      </c>
      <c r="H171" s="90">
        <f t="shared" ca="1" si="5"/>
        <v>3.2560733621094989E-2</v>
      </c>
    </row>
    <row r="172" spans="2:8" x14ac:dyDescent="0.3">
      <c r="B172" s="58">
        <f>'DATA HISTORICAL'!$B817</f>
        <v>45665</v>
      </c>
      <c r="C172" s="60">
        <f>'DATA HISTORICAL'!$C817</f>
        <v>11403.55</v>
      </c>
      <c r="D172" s="53">
        <f t="shared" si="4"/>
        <v>-1.8678248350574526E-2</v>
      </c>
      <c r="E172" s="53">
        <v>4.0648569078308133E-2</v>
      </c>
      <c r="G172" s="90">
        <v>164</v>
      </c>
      <c r="H172" s="90">
        <f t="shared" ca="1" si="5"/>
        <v>-8.8610382596151609E-3</v>
      </c>
    </row>
    <row r="173" spans="2:8" x14ac:dyDescent="0.3">
      <c r="B173" s="58">
        <f>'DATA HISTORICAL'!$B818</f>
        <v>45664</v>
      </c>
      <c r="C173" s="60">
        <f>'DATA HISTORICAL'!$C818</f>
        <v>11618.55</v>
      </c>
      <c r="D173" s="53">
        <f t="shared" si="4"/>
        <v>9.9429289242080627E-3</v>
      </c>
      <c r="E173" s="53">
        <v>4.0639157097675446E-2</v>
      </c>
      <c r="G173" s="90">
        <v>165</v>
      </c>
      <c r="H173" s="90">
        <f t="shared" ca="1" si="5"/>
        <v>-1.0265371741262838E-2</v>
      </c>
    </row>
    <row r="174" spans="2:8" x14ac:dyDescent="0.3">
      <c r="B174" s="58">
        <f>'DATA HISTORICAL'!$B819</f>
        <v>45663</v>
      </c>
      <c r="C174" s="60">
        <f>'DATA HISTORICAL'!$C819</f>
        <v>11503.6</v>
      </c>
      <c r="D174" s="53">
        <f t="shared" si="4"/>
        <v>-2.4252356556142617E-2</v>
      </c>
      <c r="E174" s="53">
        <v>4.054600809511695E-2</v>
      </c>
      <c r="G174" s="90">
        <v>166</v>
      </c>
      <c r="H174" s="90">
        <f t="shared" ca="1" si="5"/>
        <v>2.7029368536261634E-2</v>
      </c>
    </row>
    <row r="175" spans="2:8" x14ac:dyDescent="0.3">
      <c r="B175" s="58">
        <f>'DATA HISTORICAL'!$B820</f>
        <v>45660</v>
      </c>
      <c r="C175" s="60">
        <f>'DATA HISTORICAL'!$C820</f>
        <v>11786</v>
      </c>
      <c r="D175" s="53">
        <f t="shared" si="4"/>
        <v>-9.9221080321333383E-4</v>
      </c>
      <c r="E175" s="53">
        <v>4.0445231382071074E-2</v>
      </c>
      <c r="G175" s="90">
        <v>167</v>
      </c>
      <c r="H175" s="90">
        <f t="shared" ca="1" si="5"/>
        <v>1.6676374061193867E-2</v>
      </c>
    </row>
    <row r="176" spans="2:8" x14ac:dyDescent="0.3">
      <c r="B176" s="58">
        <f>'DATA HISTORICAL'!$B821</f>
        <v>45659</v>
      </c>
      <c r="C176" s="60">
        <f>'DATA HISTORICAL'!$C821</f>
        <v>11797.7</v>
      </c>
      <c r="D176" s="53">
        <f t="shared" si="4"/>
        <v>3.0176910282595594E-2</v>
      </c>
      <c r="E176" s="53">
        <v>4.0180389318741322E-2</v>
      </c>
      <c r="G176" s="90">
        <v>168</v>
      </c>
      <c r="H176" s="90">
        <f t="shared" ca="1" si="5"/>
        <v>7.9052477567710423E-3</v>
      </c>
    </row>
    <row r="177" spans="2:8" x14ac:dyDescent="0.3">
      <c r="B177" s="58">
        <f>'DATA HISTORICAL'!$B822</f>
        <v>45658</v>
      </c>
      <c r="C177" s="60">
        <f>'DATA HISTORICAL'!$C822</f>
        <v>11447</v>
      </c>
      <c r="D177" s="53">
        <f t="shared" si="4"/>
        <v>1.8055952110395189E-3</v>
      </c>
      <c r="E177" s="53">
        <v>4.0135672071085884E-2</v>
      </c>
      <c r="G177" s="90">
        <v>169</v>
      </c>
      <c r="H177" s="90">
        <f t="shared" ca="1" si="5"/>
        <v>6.7960105309749826E-3</v>
      </c>
    </row>
    <row r="178" spans="2:8" x14ac:dyDescent="0.3">
      <c r="B178" s="58">
        <f>'DATA HISTORICAL'!$B823</f>
        <v>45657</v>
      </c>
      <c r="C178" s="60">
        <f>'DATA HISTORICAL'!$C823</f>
        <v>11426.35</v>
      </c>
      <c r="D178" s="53">
        <f t="shared" si="4"/>
        <v>1.2150871277019703E-2</v>
      </c>
      <c r="E178" s="53">
        <v>4.0132556824712368E-2</v>
      </c>
      <c r="G178" s="90">
        <v>170</v>
      </c>
      <c r="H178" s="90">
        <f t="shared" ca="1" si="5"/>
        <v>1.6046089217136759E-2</v>
      </c>
    </row>
    <row r="179" spans="2:8" x14ac:dyDescent="0.3">
      <c r="B179" s="58">
        <f>'DATA HISTORICAL'!$B824</f>
        <v>45656</v>
      </c>
      <c r="C179" s="60">
        <f>'DATA HISTORICAL'!$C824</f>
        <v>11288.35</v>
      </c>
      <c r="D179" s="53">
        <f t="shared" si="4"/>
        <v>-1.0416531358472803E-2</v>
      </c>
      <c r="E179" s="53">
        <v>4.0108176091685974E-2</v>
      </c>
      <c r="G179" s="90">
        <v>171</v>
      </c>
      <c r="H179" s="90">
        <f t="shared" ca="1" si="5"/>
        <v>1.1529138038505405E-2</v>
      </c>
    </row>
    <row r="180" spans="2:8" x14ac:dyDescent="0.3">
      <c r="B180" s="58">
        <f>'DATA HISTORICAL'!$B825</f>
        <v>45653</v>
      </c>
      <c r="C180" s="60">
        <f>'DATA HISTORICAL'!$C825</f>
        <v>11406.55</v>
      </c>
      <c r="D180" s="53">
        <f t="shared" si="4"/>
        <v>-4.7316768940652209E-3</v>
      </c>
      <c r="E180" s="53">
        <v>4.000893457841944E-2</v>
      </c>
      <c r="G180" s="90">
        <v>172</v>
      </c>
      <c r="H180" s="90">
        <f t="shared" ca="1" si="5"/>
        <v>8.9051420167018148E-3</v>
      </c>
    </row>
    <row r="181" spans="2:8" x14ac:dyDescent="0.3">
      <c r="B181" s="58">
        <f>'DATA HISTORICAL'!$B826</f>
        <v>45652</v>
      </c>
      <c r="C181" s="60">
        <f>'DATA HISTORICAL'!$C826</f>
        <v>11460.65</v>
      </c>
      <c r="D181" s="53">
        <f t="shared" si="4"/>
        <v>6.1529230044501558E-3</v>
      </c>
      <c r="E181" s="53">
        <v>3.9900125580480297E-2</v>
      </c>
      <c r="G181" s="90">
        <v>173</v>
      </c>
      <c r="H181" s="90">
        <f t="shared" ca="1" si="5"/>
        <v>-3.4608766410746004E-3</v>
      </c>
    </row>
    <row r="182" spans="2:8" x14ac:dyDescent="0.3">
      <c r="B182" s="58">
        <f>'DATA HISTORICAL'!$B827</f>
        <v>45650</v>
      </c>
      <c r="C182" s="60">
        <f>'DATA HISTORICAL'!$C827</f>
        <v>11390.35</v>
      </c>
      <c r="D182" s="53">
        <f t="shared" si="4"/>
        <v>-7.195078048463862E-3</v>
      </c>
      <c r="E182" s="53">
        <v>3.9872226239943014E-2</v>
      </c>
      <c r="G182" s="90">
        <v>174</v>
      </c>
      <c r="H182" s="90">
        <f t="shared" ca="1" si="5"/>
        <v>3.5462759351830311E-2</v>
      </c>
    </row>
    <row r="183" spans="2:8" x14ac:dyDescent="0.3">
      <c r="B183" s="58">
        <f>'DATA HISTORICAL'!$B828</f>
        <v>45649</v>
      </c>
      <c r="C183" s="60">
        <f>'DATA HISTORICAL'!$C828</f>
        <v>11472.6</v>
      </c>
      <c r="D183" s="53">
        <f t="shared" si="4"/>
        <v>4.3502256817090409E-3</v>
      </c>
      <c r="E183" s="53">
        <v>3.9867049160143601E-2</v>
      </c>
      <c r="G183" s="90">
        <v>175</v>
      </c>
      <c r="H183" s="90">
        <f t="shared" ca="1" si="5"/>
        <v>-2.9172937408556501E-2</v>
      </c>
    </row>
    <row r="184" spans="2:8" x14ac:dyDescent="0.3">
      <c r="B184" s="58">
        <f>'DATA HISTORICAL'!$B829</f>
        <v>45646</v>
      </c>
      <c r="C184" s="60">
        <f>'DATA HISTORICAL'!$C829</f>
        <v>11422.8</v>
      </c>
      <c r="D184" s="53">
        <f t="shared" si="4"/>
        <v>-2.1478637728102417E-2</v>
      </c>
      <c r="E184" s="53">
        <v>3.9852296032374251E-2</v>
      </c>
      <c r="G184" s="90">
        <v>176</v>
      </c>
      <c r="H184" s="90">
        <f t="shared" ca="1" si="5"/>
        <v>1.3507170603322013E-2</v>
      </c>
    </row>
    <row r="185" spans="2:8" x14ac:dyDescent="0.3">
      <c r="B185" s="58">
        <f>'DATA HISTORICAL'!$B830</f>
        <v>45645</v>
      </c>
      <c r="C185" s="60">
        <f>'DATA HISTORICAL'!$C830</f>
        <v>11670.8</v>
      </c>
      <c r="D185" s="53">
        <f t="shared" si="4"/>
        <v>-7.9497746364758388E-3</v>
      </c>
      <c r="E185" s="53">
        <v>3.983623291211523E-2</v>
      </c>
      <c r="G185" s="90">
        <v>177</v>
      </c>
      <c r="H185" s="90">
        <f t="shared" ca="1" si="5"/>
        <v>2.7826071469312227E-3</v>
      </c>
    </row>
    <row r="186" spans="2:8" x14ac:dyDescent="0.3">
      <c r="B186" s="58">
        <f>'DATA HISTORICAL'!$B831</f>
        <v>45644</v>
      </c>
      <c r="C186" s="60">
        <f>'DATA HISTORICAL'!$C831</f>
        <v>11763.95</v>
      </c>
      <c r="D186" s="53">
        <f t="shared" si="4"/>
        <v>-9.3462318126397615E-4</v>
      </c>
      <c r="E186" s="53">
        <v>3.9808143650218154E-2</v>
      </c>
      <c r="G186" s="90">
        <v>178</v>
      </c>
      <c r="H186" s="90">
        <f t="shared" ca="1" si="5"/>
        <v>-1.4849998204691951E-2</v>
      </c>
    </row>
    <row r="187" spans="2:8" x14ac:dyDescent="0.3">
      <c r="B187" s="58">
        <f>'DATA HISTORICAL'!$B832</f>
        <v>45643</v>
      </c>
      <c r="C187" s="60">
        <f>'DATA HISTORICAL'!$C832</f>
        <v>11774.95</v>
      </c>
      <c r="D187" s="53">
        <f t="shared" si="4"/>
        <v>-1.4129072673014956E-2</v>
      </c>
      <c r="E187" s="53">
        <v>3.9802743745665621E-2</v>
      </c>
      <c r="G187" s="90">
        <v>179</v>
      </c>
      <c r="H187" s="90">
        <f t="shared" ca="1" si="5"/>
        <v>4.0574246998863681E-2</v>
      </c>
    </row>
    <row r="188" spans="2:8" x14ac:dyDescent="0.3">
      <c r="B188" s="58">
        <f>'DATA HISTORICAL'!$B833</f>
        <v>45642</v>
      </c>
      <c r="C188" s="60">
        <f>'DATA HISTORICAL'!$C833</f>
        <v>11942.5</v>
      </c>
      <c r="D188" s="53">
        <f t="shared" si="4"/>
        <v>-1.1770521802709466E-2</v>
      </c>
      <c r="E188" s="53">
        <v>3.9798062751001881E-2</v>
      </c>
      <c r="G188" s="90">
        <v>180</v>
      </c>
      <c r="H188" s="90">
        <f t="shared" ca="1" si="5"/>
        <v>-7.1523555151270291E-2</v>
      </c>
    </row>
    <row r="189" spans="2:8" x14ac:dyDescent="0.3">
      <c r="B189" s="58">
        <f>'DATA HISTORICAL'!$B834</f>
        <v>45639</v>
      </c>
      <c r="C189" s="60">
        <f>'DATA HISTORICAL'!$C834</f>
        <v>12083.9</v>
      </c>
      <c r="D189" s="53">
        <f t="shared" si="4"/>
        <v>1.8959794535923183E-2</v>
      </c>
      <c r="E189" s="53">
        <v>3.9771323426896654E-2</v>
      </c>
      <c r="G189" s="90">
        <v>181</v>
      </c>
      <c r="H189" s="90">
        <f t="shared" ca="1" si="5"/>
        <v>2.3443802568069688E-2</v>
      </c>
    </row>
    <row r="190" spans="2:8" x14ac:dyDescent="0.3">
      <c r="B190" s="58">
        <f>'DATA HISTORICAL'!$B835</f>
        <v>45638</v>
      </c>
      <c r="C190" s="60">
        <f>'DATA HISTORICAL'!$C835</f>
        <v>11856.95</v>
      </c>
      <c r="D190" s="53">
        <f t="shared" si="4"/>
        <v>-3.4981482035275364E-3</v>
      </c>
      <c r="E190" s="53">
        <v>3.9673914504162133E-2</v>
      </c>
      <c r="G190" s="90">
        <v>182</v>
      </c>
      <c r="H190" s="90">
        <f t="shared" ca="1" si="5"/>
        <v>6.1497486343325879E-2</v>
      </c>
    </row>
    <row r="191" spans="2:8" x14ac:dyDescent="0.3">
      <c r="B191" s="58">
        <f>'DATA HISTORICAL'!$B836</f>
        <v>45637</v>
      </c>
      <c r="C191" s="60">
        <f>'DATA HISTORICAL'!$C836</f>
        <v>11898.5</v>
      </c>
      <c r="D191" s="53">
        <f t="shared" si="4"/>
        <v>1.2916611869974467E-2</v>
      </c>
      <c r="E191" s="53">
        <v>3.9671960682243684E-2</v>
      </c>
      <c r="G191" s="90">
        <v>183</v>
      </c>
      <c r="H191" s="90">
        <f t="shared" ca="1" si="5"/>
        <v>-6.5364325788856989E-3</v>
      </c>
    </row>
    <row r="192" spans="2:8" x14ac:dyDescent="0.3">
      <c r="B192" s="58">
        <f>'DATA HISTORICAL'!$B837</f>
        <v>45636</v>
      </c>
      <c r="C192" s="60">
        <f>'DATA HISTORICAL'!$C837</f>
        <v>11745.8</v>
      </c>
      <c r="D192" s="53">
        <f t="shared" si="4"/>
        <v>-5.8572529789146588E-3</v>
      </c>
      <c r="E192" s="53">
        <v>3.9667539722327734E-2</v>
      </c>
      <c r="G192" s="90">
        <v>184</v>
      </c>
      <c r="H192" s="90">
        <f t="shared" ca="1" si="5"/>
        <v>4.2034431436501846E-2</v>
      </c>
    </row>
    <row r="193" spans="2:8" x14ac:dyDescent="0.3">
      <c r="B193" s="58">
        <f>'DATA HISTORICAL'!$B838</f>
        <v>45635</v>
      </c>
      <c r="C193" s="60">
        <f>'DATA HISTORICAL'!$C838</f>
        <v>11814.8</v>
      </c>
      <c r="D193" s="53">
        <f t="shared" si="4"/>
        <v>-2.8482944292124849E-3</v>
      </c>
      <c r="E193" s="53">
        <v>3.9666246687048871E-2</v>
      </c>
      <c r="G193" s="90">
        <v>185</v>
      </c>
      <c r="H193" s="90">
        <f t="shared" ca="1" si="5"/>
        <v>-3.760627552980394E-3</v>
      </c>
    </row>
    <row r="194" spans="2:8" x14ac:dyDescent="0.3">
      <c r="B194" s="58">
        <f>'DATA HISTORICAL'!$B839</f>
        <v>45632</v>
      </c>
      <c r="C194" s="60">
        <f>'DATA HISTORICAL'!$C839</f>
        <v>11848.5</v>
      </c>
      <c r="D194" s="53">
        <f t="shared" si="4"/>
        <v>-7.0896337119181118E-3</v>
      </c>
      <c r="E194" s="53">
        <v>3.9622811488803748E-2</v>
      </c>
      <c r="G194" s="90">
        <v>186</v>
      </c>
      <c r="H194" s="90">
        <f t="shared" ca="1" si="5"/>
        <v>-4.2364686584950371E-2</v>
      </c>
    </row>
    <row r="195" spans="2:8" x14ac:dyDescent="0.3">
      <c r="B195" s="58">
        <f>'DATA HISTORICAL'!$B840</f>
        <v>45631</v>
      </c>
      <c r="C195" s="60">
        <f>'DATA HISTORICAL'!$C840</f>
        <v>11932.8</v>
      </c>
      <c r="D195" s="53">
        <f t="shared" si="4"/>
        <v>1.4008904350664328E-2</v>
      </c>
      <c r="E195" s="53">
        <v>3.9516999816406398E-2</v>
      </c>
      <c r="G195" s="90">
        <v>187</v>
      </c>
      <c r="H195" s="90">
        <f t="shared" ca="1" si="5"/>
        <v>6.3875843216158095E-3</v>
      </c>
    </row>
    <row r="196" spans="2:8" x14ac:dyDescent="0.3">
      <c r="B196" s="58">
        <f>'DATA HISTORICAL'!$B841</f>
        <v>45630</v>
      </c>
      <c r="C196" s="60">
        <f>'DATA HISTORICAL'!$C841</f>
        <v>11766.8</v>
      </c>
      <c r="D196" s="53">
        <f t="shared" si="4"/>
        <v>-7.2441535044547086E-3</v>
      </c>
      <c r="E196" s="53">
        <v>3.9342407704890003E-2</v>
      </c>
      <c r="G196" s="90">
        <v>188</v>
      </c>
      <c r="H196" s="90">
        <f t="shared" ca="1" si="5"/>
        <v>-1.1763466787846191E-2</v>
      </c>
    </row>
    <row r="197" spans="2:8" x14ac:dyDescent="0.3">
      <c r="B197" s="58">
        <f>'DATA HISTORICAL'!$B842</f>
        <v>45629</v>
      </c>
      <c r="C197" s="60">
        <f>'DATA HISTORICAL'!$C842</f>
        <v>11852.35</v>
      </c>
      <c r="D197" s="53">
        <f t="shared" si="4"/>
        <v>1.7344451409985362E-2</v>
      </c>
      <c r="E197" s="53">
        <v>3.9320220591544497E-2</v>
      </c>
      <c r="G197" s="90">
        <v>189</v>
      </c>
      <c r="H197" s="90">
        <f t="shared" ca="1" si="5"/>
        <v>9.9641008398131843E-3</v>
      </c>
    </row>
    <row r="198" spans="2:8" x14ac:dyDescent="0.3">
      <c r="B198" s="58">
        <f>'DATA HISTORICAL'!$B843</f>
        <v>45628</v>
      </c>
      <c r="C198" s="60">
        <f>'DATA HISTORICAL'!$C843</f>
        <v>11648.55</v>
      </c>
      <c r="D198" s="53">
        <f t="shared" si="4"/>
        <v>3.9075984582192434E-2</v>
      </c>
      <c r="E198" s="53">
        <v>3.9201678664145957E-2</v>
      </c>
      <c r="G198" s="90">
        <v>190</v>
      </c>
      <c r="H198" s="90">
        <f t="shared" ca="1" si="5"/>
        <v>-1.303559901543544E-2</v>
      </c>
    </row>
    <row r="199" spans="2:8" x14ac:dyDescent="0.3">
      <c r="B199" s="58">
        <f>'DATA HISTORICAL'!$B844</f>
        <v>45625</v>
      </c>
      <c r="C199" s="60">
        <f>'DATA HISTORICAL'!$C844</f>
        <v>11202.15</v>
      </c>
      <c r="D199" s="53">
        <f t="shared" si="4"/>
        <v>1.8410471368273954E-2</v>
      </c>
      <c r="E199" s="53">
        <v>3.9133631909922133E-2</v>
      </c>
      <c r="G199" s="90">
        <v>191</v>
      </c>
      <c r="H199" s="90">
        <f t="shared" ca="1" si="5"/>
        <v>1.6307152570564773E-3</v>
      </c>
    </row>
    <row r="200" spans="2:8" x14ac:dyDescent="0.3">
      <c r="B200" s="58">
        <f>'DATA HISTORICAL'!$B845</f>
        <v>45624</v>
      </c>
      <c r="C200" s="60">
        <f>'DATA HISTORICAL'!$C845</f>
        <v>10997.8</v>
      </c>
      <c r="D200" s="53">
        <f t="shared" si="4"/>
        <v>-1.2838005002461845E-2</v>
      </c>
      <c r="E200" s="53">
        <v>3.8995430885845485E-2</v>
      </c>
      <c r="G200" s="90">
        <v>192</v>
      </c>
      <c r="H200" s="90">
        <f t="shared" ca="1" si="5"/>
        <v>-1.7115539455128368E-2</v>
      </c>
    </row>
    <row r="201" spans="2:8" x14ac:dyDescent="0.3">
      <c r="B201" s="58">
        <f>'DATA HISTORICAL'!$B846</f>
        <v>45623</v>
      </c>
      <c r="C201" s="60">
        <f>'DATA HISTORICAL'!$C846</f>
        <v>11139.9</v>
      </c>
      <c r="D201" s="53">
        <f t="shared" ref="D201:D264" si="6">LN(C201/C202)</f>
        <v>1.6935489730059833E-3</v>
      </c>
      <c r="E201" s="53">
        <v>3.889050051468794E-2</v>
      </c>
      <c r="G201" s="90">
        <v>193</v>
      </c>
      <c r="H201" s="90">
        <f t="shared" ref="H201:H264" ca="1" si="7">_xlfn.NORM.INV(RAND(),N$10,N$11)</f>
        <v>1.3806248121837238E-2</v>
      </c>
    </row>
    <row r="202" spans="2:8" x14ac:dyDescent="0.3">
      <c r="B202" s="58">
        <f>'DATA HISTORICAL'!$B847</f>
        <v>45622</v>
      </c>
      <c r="C202" s="60">
        <f>'DATA HISTORICAL'!$C847</f>
        <v>11121.05</v>
      </c>
      <c r="D202" s="53">
        <f t="shared" si="6"/>
        <v>-2.9800464612718826E-2</v>
      </c>
      <c r="E202" s="53">
        <v>3.8650071588751195E-2</v>
      </c>
      <c r="G202" s="90">
        <v>194</v>
      </c>
      <c r="H202" s="90">
        <f t="shared" ca="1" si="7"/>
        <v>3.0738011205793613E-3</v>
      </c>
    </row>
    <row r="203" spans="2:8" x14ac:dyDescent="0.3">
      <c r="B203" s="58">
        <f>'DATA HISTORICAL'!$B848</f>
        <v>45621</v>
      </c>
      <c r="C203" s="60">
        <f>'DATA HISTORICAL'!$C848</f>
        <v>11457.45</v>
      </c>
      <c r="D203" s="53">
        <f t="shared" si="6"/>
        <v>7.1958353222682341E-3</v>
      </c>
      <c r="E203" s="53">
        <v>3.8575121944480865E-2</v>
      </c>
      <c r="G203" s="90">
        <v>195</v>
      </c>
      <c r="H203" s="90">
        <f t="shared" ca="1" si="7"/>
        <v>3.0280634907741733E-2</v>
      </c>
    </row>
    <row r="204" spans="2:8" x14ac:dyDescent="0.3">
      <c r="B204" s="58">
        <f>'DATA HISTORICAL'!$B849</f>
        <v>45618</v>
      </c>
      <c r="C204" s="60">
        <f>'DATA HISTORICAL'!$C849</f>
        <v>11375.3</v>
      </c>
      <c r="D204" s="53">
        <f t="shared" si="6"/>
        <v>3.7662057539830984E-2</v>
      </c>
      <c r="E204" s="53">
        <v>3.8544837979847833E-2</v>
      </c>
      <c r="G204" s="90">
        <v>196</v>
      </c>
      <c r="H204" s="90">
        <f t="shared" ca="1" si="7"/>
        <v>1.4011270327417925E-2</v>
      </c>
    </row>
    <row r="205" spans="2:8" x14ac:dyDescent="0.3">
      <c r="B205" s="58">
        <f>'DATA HISTORICAL'!$B850</f>
        <v>45617</v>
      </c>
      <c r="C205" s="60">
        <f>'DATA HISTORICAL'!$C850</f>
        <v>10954.85</v>
      </c>
      <c r="D205" s="53">
        <f t="shared" si="6"/>
        <v>1.7059573010209172E-2</v>
      </c>
      <c r="E205" s="53">
        <v>3.8532408206388251E-2</v>
      </c>
      <c r="G205" s="90">
        <v>197</v>
      </c>
      <c r="H205" s="90">
        <f t="shared" ca="1" si="7"/>
        <v>-3.3125699612390064E-4</v>
      </c>
    </row>
    <row r="206" spans="2:8" x14ac:dyDescent="0.3">
      <c r="B206" s="58">
        <f>'DATA HISTORICAL'!$B851</f>
        <v>45615</v>
      </c>
      <c r="C206" s="60">
        <f>'DATA HISTORICAL'!$C851</f>
        <v>10769.55</v>
      </c>
      <c r="D206" s="53">
        <f t="shared" si="6"/>
        <v>1.2957852756168994E-2</v>
      </c>
      <c r="E206" s="53">
        <v>3.8514350817710589E-2</v>
      </c>
      <c r="G206" s="90">
        <v>198</v>
      </c>
      <c r="H206" s="90">
        <f t="shared" ca="1" si="7"/>
        <v>-5.9955326184124103E-3</v>
      </c>
    </row>
    <row r="207" spans="2:8" x14ac:dyDescent="0.3">
      <c r="B207" s="58">
        <f>'DATA HISTORICAL'!$B852</f>
        <v>45614</v>
      </c>
      <c r="C207" s="60">
        <f>'DATA HISTORICAL'!$C852</f>
        <v>10630.9</v>
      </c>
      <c r="D207" s="53">
        <f t="shared" si="6"/>
        <v>-9.1388970935982212E-3</v>
      </c>
      <c r="E207" s="53">
        <v>3.8264496929886448E-2</v>
      </c>
      <c r="G207" s="90">
        <v>199</v>
      </c>
      <c r="H207" s="90">
        <f t="shared" ca="1" si="7"/>
        <v>6.4785387612542947E-4</v>
      </c>
    </row>
    <row r="208" spans="2:8" x14ac:dyDescent="0.3">
      <c r="B208" s="58">
        <f>'DATA HISTORICAL'!$B853</f>
        <v>45610</v>
      </c>
      <c r="C208" s="60">
        <f>'DATA HISTORICAL'!$C853</f>
        <v>10728.5</v>
      </c>
      <c r="D208" s="53">
        <f t="shared" si="6"/>
        <v>-4.9928743886819603E-3</v>
      </c>
      <c r="E208" s="53">
        <v>3.8247864917053183E-2</v>
      </c>
      <c r="G208" s="90">
        <v>200</v>
      </c>
      <c r="H208" s="90">
        <f t="shared" ca="1" si="7"/>
        <v>2.3929043401423045E-2</v>
      </c>
    </row>
    <row r="209" spans="2:8" x14ac:dyDescent="0.3">
      <c r="B209" s="58">
        <f>'DATA HISTORICAL'!$B854</f>
        <v>45609</v>
      </c>
      <c r="C209" s="60">
        <f>'DATA HISTORICAL'!$C854</f>
        <v>10782.2</v>
      </c>
      <c r="D209" s="53">
        <f t="shared" si="6"/>
        <v>-1.0131948519832488E-2</v>
      </c>
      <c r="E209" s="53">
        <v>3.8145157071297217E-2</v>
      </c>
      <c r="G209" s="90">
        <v>201</v>
      </c>
      <c r="H209" s="90">
        <f t="shared" ca="1" si="7"/>
        <v>8.8175051699646897E-3</v>
      </c>
    </row>
    <row r="210" spans="2:8" x14ac:dyDescent="0.3">
      <c r="B210" s="58">
        <f>'DATA HISTORICAL'!$B855</f>
        <v>45608</v>
      </c>
      <c r="C210" s="60">
        <f>'DATA HISTORICAL'!$C855</f>
        <v>10892</v>
      </c>
      <c r="D210" s="53">
        <f t="shared" si="6"/>
        <v>-7.1767196005605577E-3</v>
      </c>
      <c r="E210" s="53">
        <v>3.8145022444056258E-2</v>
      </c>
      <c r="G210" s="90">
        <v>202</v>
      </c>
      <c r="H210" s="90">
        <f t="shared" ca="1" si="7"/>
        <v>-2.2812381830594405E-4</v>
      </c>
    </row>
    <row r="211" spans="2:8" x14ac:dyDescent="0.3">
      <c r="B211" s="58">
        <f>'DATA HISTORICAL'!$B856</f>
        <v>45607</v>
      </c>
      <c r="C211" s="60">
        <f>'DATA HISTORICAL'!$C856</f>
        <v>10970.45</v>
      </c>
      <c r="D211" s="53">
        <f t="shared" si="6"/>
        <v>-6.6231424366397949E-3</v>
      </c>
      <c r="E211" s="53">
        <v>3.8070091726347066E-2</v>
      </c>
      <c r="G211" s="90">
        <v>203</v>
      </c>
      <c r="H211" s="90">
        <f t="shared" ca="1" si="7"/>
        <v>-5.8658641634982628E-3</v>
      </c>
    </row>
    <row r="212" spans="2:8" x14ac:dyDescent="0.3">
      <c r="B212" s="58">
        <f>'DATA HISTORICAL'!$B857</f>
        <v>45604</v>
      </c>
      <c r="C212" s="60">
        <f>'DATA HISTORICAL'!$C857</f>
        <v>11043.35</v>
      </c>
      <c r="D212" s="53">
        <f t="shared" si="6"/>
        <v>-6.7438668447102567E-4</v>
      </c>
      <c r="E212" s="53">
        <v>3.7872406085223333E-2</v>
      </c>
      <c r="G212" s="90">
        <v>204</v>
      </c>
      <c r="H212" s="90">
        <f t="shared" ca="1" si="7"/>
        <v>9.1533108337577378E-3</v>
      </c>
    </row>
    <row r="213" spans="2:8" x14ac:dyDescent="0.3">
      <c r="B213" s="58">
        <f>'DATA HISTORICAL'!$B858</f>
        <v>45603</v>
      </c>
      <c r="C213" s="60">
        <f>'DATA HISTORICAL'!$C858</f>
        <v>11050.8</v>
      </c>
      <c r="D213" s="53">
        <f t="shared" si="6"/>
        <v>-2.0031845361979675E-2</v>
      </c>
      <c r="E213" s="53">
        <v>3.7630455325146653E-2</v>
      </c>
      <c r="G213" s="90">
        <v>205</v>
      </c>
      <c r="H213" s="90">
        <f t="shared" ca="1" si="7"/>
        <v>2.2200343214446761E-3</v>
      </c>
    </row>
    <row r="214" spans="2:8" x14ac:dyDescent="0.3">
      <c r="B214" s="58">
        <f>'DATA HISTORICAL'!$B859</f>
        <v>45602</v>
      </c>
      <c r="C214" s="60">
        <f>'DATA HISTORICAL'!$C859</f>
        <v>11274.4</v>
      </c>
      <c r="D214" s="53">
        <f t="shared" si="6"/>
        <v>8.7347303227850448E-3</v>
      </c>
      <c r="E214" s="53">
        <v>3.7566768322915868E-2</v>
      </c>
      <c r="G214" s="90">
        <v>206</v>
      </c>
      <c r="H214" s="90">
        <f t="shared" ca="1" si="7"/>
        <v>-3.4343200011339821E-3</v>
      </c>
    </row>
    <row r="215" spans="2:8" x14ac:dyDescent="0.3">
      <c r="B215" s="58">
        <f>'DATA HISTORICAL'!$B860</f>
        <v>45601</v>
      </c>
      <c r="C215" s="60">
        <f>'DATA HISTORICAL'!$C860</f>
        <v>11176.35</v>
      </c>
      <c r="D215" s="53">
        <f t="shared" si="6"/>
        <v>1.5736498096803213E-2</v>
      </c>
      <c r="E215" s="53">
        <v>3.7537133684858025E-2</v>
      </c>
      <c r="G215" s="90">
        <v>207</v>
      </c>
      <c r="H215" s="90">
        <f t="shared" ca="1" si="7"/>
        <v>-1.0496151373329205E-3</v>
      </c>
    </row>
    <row r="216" spans="2:8" x14ac:dyDescent="0.3">
      <c r="B216" s="58">
        <f>'DATA HISTORICAL'!$B861</f>
        <v>45600</v>
      </c>
      <c r="C216" s="60">
        <f>'DATA HISTORICAL'!$C861</f>
        <v>11001.85</v>
      </c>
      <c r="D216" s="53">
        <f t="shared" si="6"/>
        <v>-1.2999304853862057E-2</v>
      </c>
      <c r="E216" s="53">
        <v>3.750394020684248E-2</v>
      </c>
      <c r="G216" s="90">
        <v>208</v>
      </c>
      <c r="H216" s="90">
        <f t="shared" ca="1" si="7"/>
        <v>-3.1953881940558787E-2</v>
      </c>
    </row>
    <row r="217" spans="2:8" x14ac:dyDescent="0.3">
      <c r="B217" s="58">
        <f>'DATA HISTORICAL'!$B862</f>
        <v>45597</v>
      </c>
      <c r="C217" s="60">
        <f>'DATA HISTORICAL'!$C862</f>
        <v>11145.8</v>
      </c>
      <c r="D217" s="53">
        <f t="shared" si="6"/>
        <v>7.2170297650587288E-3</v>
      </c>
      <c r="E217" s="53">
        <v>3.7448413250603156E-2</v>
      </c>
      <c r="G217" s="90">
        <v>209</v>
      </c>
      <c r="H217" s="90">
        <f t="shared" ca="1" si="7"/>
        <v>1.4897358372286295E-2</v>
      </c>
    </row>
    <row r="218" spans="2:8" x14ac:dyDescent="0.3">
      <c r="B218" s="58">
        <f>'DATA HISTORICAL'!$B863</f>
        <v>45596</v>
      </c>
      <c r="C218" s="60">
        <f>'DATA HISTORICAL'!$C863</f>
        <v>11065.65</v>
      </c>
      <c r="D218" s="53">
        <f t="shared" si="6"/>
        <v>-1.2523316235925196E-2</v>
      </c>
      <c r="E218" s="53">
        <v>3.7354354339656927E-2</v>
      </c>
      <c r="G218" s="90">
        <v>210</v>
      </c>
      <c r="H218" s="90">
        <f t="shared" ca="1" si="7"/>
        <v>2.2395855493597787E-2</v>
      </c>
    </row>
    <row r="219" spans="2:8" x14ac:dyDescent="0.3">
      <c r="B219" s="58">
        <f>'DATA HISTORICAL'!$B864</f>
        <v>45595</v>
      </c>
      <c r="C219" s="60">
        <f>'DATA HISTORICAL'!$C864</f>
        <v>11205.1</v>
      </c>
      <c r="D219" s="53">
        <f t="shared" si="6"/>
        <v>8.3344271086972701E-3</v>
      </c>
      <c r="E219" s="53">
        <v>3.7328816211795707E-2</v>
      </c>
      <c r="G219" s="90">
        <v>211</v>
      </c>
      <c r="H219" s="90">
        <f t="shared" ca="1" si="7"/>
        <v>-9.3936144996043212E-3</v>
      </c>
    </row>
    <row r="220" spans="2:8" x14ac:dyDescent="0.3">
      <c r="B220" s="58">
        <f>'DATA HISTORICAL'!$B865</f>
        <v>45594</v>
      </c>
      <c r="C220" s="60">
        <f>'DATA HISTORICAL'!$C865</f>
        <v>11112.1</v>
      </c>
      <c r="D220" s="53">
        <f t="shared" si="6"/>
        <v>1.7563853610221892E-3</v>
      </c>
      <c r="E220" s="53">
        <v>3.717928887153419E-2</v>
      </c>
      <c r="G220" s="90">
        <v>212</v>
      </c>
      <c r="H220" s="90">
        <f t="shared" ca="1" si="7"/>
        <v>-1.9701533875307507E-2</v>
      </c>
    </row>
    <row r="221" spans="2:8" x14ac:dyDescent="0.3">
      <c r="B221" s="58">
        <f>'DATA HISTORICAL'!$B866</f>
        <v>45593</v>
      </c>
      <c r="C221" s="60">
        <f>'DATA HISTORICAL'!$C866</f>
        <v>11092.6</v>
      </c>
      <c r="D221" s="53">
        <f t="shared" si="6"/>
        <v>8.8194054028948015E-3</v>
      </c>
      <c r="E221" s="53">
        <v>3.715629970579918E-2</v>
      </c>
      <c r="G221" s="90">
        <v>213</v>
      </c>
      <c r="H221" s="90">
        <f t="shared" ca="1" si="7"/>
        <v>-6.8456511425744361E-4</v>
      </c>
    </row>
    <row r="222" spans="2:8" x14ac:dyDescent="0.3">
      <c r="B222" s="58">
        <f>'DATA HISTORICAL'!$B867</f>
        <v>45590</v>
      </c>
      <c r="C222" s="60">
        <f>'DATA HISTORICAL'!$C867</f>
        <v>10995.2</v>
      </c>
      <c r="D222" s="53">
        <f t="shared" si="6"/>
        <v>-4.3922607229846741E-3</v>
      </c>
      <c r="E222" s="53">
        <v>3.714188143509798E-2</v>
      </c>
      <c r="G222" s="90">
        <v>214</v>
      </c>
      <c r="H222" s="90">
        <f t="shared" ca="1" si="7"/>
        <v>5.7917144137138409E-3</v>
      </c>
    </row>
    <row r="223" spans="2:8" x14ac:dyDescent="0.3">
      <c r="B223" s="58">
        <f>'DATA HISTORICAL'!$B868</f>
        <v>45589</v>
      </c>
      <c r="C223" s="60">
        <f>'DATA HISTORICAL'!$C868</f>
        <v>11043.6</v>
      </c>
      <c r="D223" s="53">
        <f t="shared" si="6"/>
        <v>2.6661639387941964E-2</v>
      </c>
      <c r="E223" s="53">
        <v>3.7119542599059266E-2</v>
      </c>
      <c r="G223" s="90">
        <v>215</v>
      </c>
      <c r="H223" s="90">
        <f t="shared" ca="1" si="7"/>
        <v>1.8279582840103861E-2</v>
      </c>
    </row>
    <row r="224" spans="2:8" x14ac:dyDescent="0.3">
      <c r="B224" s="58">
        <f>'DATA HISTORICAL'!$B869</f>
        <v>45588</v>
      </c>
      <c r="C224" s="60">
        <f>'DATA HISTORICAL'!$C869</f>
        <v>10753.05</v>
      </c>
      <c r="D224" s="53">
        <f t="shared" si="6"/>
        <v>-6.6826953427493452E-3</v>
      </c>
      <c r="E224" s="53">
        <v>3.7117213995140924E-2</v>
      </c>
      <c r="G224" s="90">
        <v>216</v>
      </c>
      <c r="H224" s="90">
        <f t="shared" ca="1" si="7"/>
        <v>-7.785195100262419E-3</v>
      </c>
    </row>
    <row r="225" spans="2:8" x14ac:dyDescent="0.3">
      <c r="B225" s="58">
        <f>'DATA HISTORICAL'!$B870</f>
        <v>45587</v>
      </c>
      <c r="C225" s="60">
        <f>'DATA HISTORICAL'!$C870</f>
        <v>10825.15</v>
      </c>
      <c r="D225" s="53">
        <f t="shared" si="6"/>
        <v>-4.0701710299300576E-3</v>
      </c>
      <c r="E225" s="53">
        <v>3.6990703609185056E-2</v>
      </c>
      <c r="G225" s="90">
        <v>217</v>
      </c>
      <c r="H225" s="90">
        <f t="shared" ca="1" si="7"/>
        <v>5.0981760195596762E-3</v>
      </c>
    </row>
    <row r="226" spans="2:8" x14ac:dyDescent="0.3">
      <c r="B226" s="58">
        <f>'DATA HISTORICAL'!$B871</f>
        <v>45586</v>
      </c>
      <c r="C226" s="60">
        <f>'DATA HISTORICAL'!$C871</f>
        <v>10869.3</v>
      </c>
      <c r="D226" s="53">
        <f t="shared" si="6"/>
        <v>-1.8233209120109145E-2</v>
      </c>
      <c r="E226" s="53">
        <v>3.6969827799487258E-2</v>
      </c>
      <c r="G226" s="90">
        <v>218</v>
      </c>
      <c r="H226" s="90">
        <f t="shared" ca="1" si="7"/>
        <v>3.2071664167748086E-2</v>
      </c>
    </row>
    <row r="227" spans="2:8" x14ac:dyDescent="0.3">
      <c r="B227" s="58">
        <f>'DATA HISTORICAL'!$B872</f>
        <v>45583</v>
      </c>
      <c r="C227" s="60">
        <f>'DATA HISTORICAL'!$C872</f>
        <v>11069.3</v>
      </c>
      <c r="D227" s="53">
        <f t="shared" si="6"/>
        <v>4.7087461247895456E-3</v>
      </c>
      <c r="E227" s="53">
        <v>3.6911125174414534E-2</v>
      </c>
      <c r="G227" s="90">
        <v>219</v>
      </c>
      <c r="H227" s="90">
        <f t="shared" ca="1" si="7"/>
        <v>-3.1669743805743604E-2</v>
      </c>
    </row>
    <row r="228" spans="2:8" x14ac:dyDescent="0.3">
      <c r="B228" s="58">
        <f>'DATA HISTORICAL'!$B873</f>
        <v>45582</v>
      </c>
      <c r="C228" s="60">
        <f>'DATA HISTORICAL'!$C873</f>
        <v>11017.3</v>
      </c>
      <c r="D228" s="53">
        <f t="shared" si="6"/>
        <v>-2.7307467718015756E-2</v>
      </c>
      <c r="E228" s="53">
        <v>3.6890560168349538E-2</v>
      </c>
      <c r="G228" s="90">
        <v>220</v>
      </c>
      <c r="H228" s="90">
        <f t="shared" ca="1" si="7"/>
        <v>7.8880876526655E-5</v>
      </c>
    </row>
    <row r="229" spans="2:8" x14ac:dyDescent="0.3">
      <c r="B229" s="58">
        <f>'DATA HISTORICAL'!$B874</f>
        <v>45581</v>
      </c>
      <c r="C229" s="60">
        <f>'DATA HISTORICAL'!$C874</f>
        <v>11322.3</v>
      </c>
      <c r="D229" s="53">
        <f t="shared" si="6"/>
        <v>-8.3204814387296423E-3</v>
      </c>
      <c r="E229" s="53">
        <v>3.6838343167562577E-2</v>
      </c>
      <c r="G229" s="90">
        <v>221</v>
      </c>
      <c r="H229" s="90">
        <f t="shared" ca="1" si="7"/>
        <v>5.3774709743732345E-3</v>
      </c>
    </row>
    <row r="230" spans="2:8" x14ac:dyDescent="0.3">
      <c r="B230" s="58">
        <f>'DATA HISTORICAL'!$B875</f>
        <v>45580</v>
      </c>
      <c r="C230" s="60">
        <f>'DATA HISTORICAL'!$C875</f>
        <v>11416.9</v>
      </c>
      <c r="D230" s="53">
        <f t="shared" si="6"/>
        <v>1.0265439749025291E-2</v>
      </c>
      <c r="E230" s="53">
        <v>3.6829414005541856E-2</v>
      </c>
      <c r="G230" s="90">
        <v>222</v>
      </c>
      <c r="H230" s="90">
        <f t="shared" ca="1" si="7"/>
        <v>-8.5686189755693268E-3</v>
      </c>
    </row>
    <row r="231" spans="2:8" x14ac:dyDescent="0.3">
      <c r="B231" s="58">
        <f>'DATA HISTORICAL'!$B876</f>
        <v>45579</v>
      </c>
      <c r="C231" s="60">
        <f>'DATA HISTORICAL'!$C876</f>
        <v>11300.3</v>
      </c>
      <c r="D231" s="53">
        <f t="shared" si="6"/>
        <v>-1.0650759087190263E-2</v>
      </c>
      <c r="E231" s="53">
        <v>3.6769931539369562E-2</v>
      </c>
      <c r="G231" s="90">
        <v>223</v>
      </c>
      <c r="H231" s="90">
        <f t="shared" ca="1" si="7"/>
        <v>-1.1233912476189926E-3</v>
      </c>
    </row>
    <row r="232" spans="2:8" x14ac:dyDescent="0.3">
      <c r="B232" s="58">
        <f>'DATA HISTORICAL'!$B877</f>
        <v>45576</v>
      </c>
      <c r="C232" s="60">
        <f>'DATA HISTORICAL'!$C877</f>
        <v>11421.3</v>
      </c>
      <c r="D232" s="53">
        <f t="shared" si="6"/>
        <v>-7.6581912470302942E-4</v>
      </c>
      <c r="E232" s="53">
        <v>3.6650038696119658E-2</v>
      </c>
      <c r="G232" s="90">
        <v>224</v>
      </c>
      <c r="H232" s="90">
        <f t="shared" ca="1" si="7"/>
        <v>5.0893432602623002E-2</v>
      </c>
    </row>
    <row r="233" spans="2:8" x14ac:dyDescent="0.3">
      <c r="B233" s="58">
        <f>'DATA HISTORICAL'!$B878</f>
        <v>45575</v>
      </c>
      <c r="C233" s="60">
        <f>'DATA HISTORICAL'!$C878</f>
        <v>11430.05</v>
      </c>
      <c r="D233" s="53">
        <f t="shared" si="6"/>
        <v>7.0148925512308353E-3</v>
      </c>
      <c r="E233" s="53">
        <v>3.6639308961154096E-2</v>
      </c>
      <c r="G233" s="90">
        <v>225</v>
      </c>
      <c r="H233" s="90">
        <f t="shared" ca="1" si="7"/>
        <v>-1.5234520691417484E-2</v>
      </c>
    </row>
    <row r="234" spans="2:8" x14ac:dyDescent="0.3">
      <c r="B234" s="58">
        <f>'DATA HISTORICAL'!$B879</f>
        <v>45574</v>
      </c>
      <c r="C234" s="60">
        <f>'DATA HISTORICAL'!$C879</f>
        <v>11350.15</v>
      </c>
      <c r="D234" s="53">
        <f t="shared" si="6"/>
        <v>-3.487258343300268E-3</v>
      </c>
      <c r="E234" s="53">
        <v>3.6611179276381925E-2</v>
      </c>
      <c r="G234" s="90">
        <v>226</v>
      </c>
      <c r="H234" s="90">
        <f t="shared" ca="1" si="7"/>
        <v>-4.7387634968143076E-3</v>
      </c>
    </row>
    <row r="235" spans="2:8" x14ac:dyDescent="0.3">
      <c r="B235" s="58">
        <f>'DATA HISTORICAL'!$B880</f>
        <v>45573</v>
      </c>
      <c r="C235" s="60">
        <f>'DATA HISTORICAL'!$C880</f>
        <v>11389.8</v>
      </c>
      <c r="D235" s="53">
        <f t="shared" si="6"/>
        <v>1.4098283259473442E-2</v>
      </c>
      <c r="E235" s="53">
        <v>3.6587800181094567E-2</v>
      </c>
      <c r="G235" s="90">
        <v>227</v>
      </c>
      <c r="H235" s="90">
        <f t="shared" ca="1" si="7"/>
        <v>-6.2994469174135889E-3</v>
      </c>
    </row>
    <row r="236" spans="2:8" x14ac:dyDescent="0.3">
      <c r="B236" s="58">
        <f>'DATA HISTORICAL'!$B881</f>
        <v>45572</v>
      </c>
      <c r="C236" s="60">
        <f>'DATA HISTORICAL'!$C881</f>
        <v>11230.35</v>
      </c>
      <c r="D236" s="53">
        <f t="shared" si="6"/>
        <v>-1.9391629040083739E-2</v>
      </c>
      <c r="E236" s="53">
        <v>3.6570756010373941E-2</v>
      </c>
      <c r="G236" s="90">
        <v>228</v>
      </c>
      <c r="H236" s="90">
        <f t="shared" ca="1" si="7"/>
        <v>5.6883753344624449E-2</v>
      </c>
    </row>
    <row r="237" spans="2:8" x14ac:dyDescent="0.3">
      <c r="B237" s="58">
        <f>'DATA HISTORICAL'!$B882</f>
        <v>45569</v>
      </c>
      <c r="C237" s="60">
        <f>'DATA HISTORICAL'!$C882</f>
        <v>11450.25</v>
      </c>
      <c r="D237" s="53">
        <f t="shared" si="6"/>
        <v>-2.3694692794540236E-2</v>
      </c>
      <c r="E237" s="53">
        <v>3.656923851990377E-2</v>
      </c>
      <c r="G237" s="90">
        <v>229</v>
      </c>
      <c r="H237" s="90">
        <f t="shared" ca="1" si="7"/>
        <v>3.0682941087596928E-2</v>
      </c>
    </row>
    <row r="238" spans="2:8" x14ac:dyDescent="0.3">
      <c r="B238" s="58">
        <f>'DATA HISTORICAL'!$B883</f>
        <v>45568</v>
      </c>
      <c r="C238" s="60">
        <f>'DATA HISTORICAL'!$C883</f>
        <v>11724.8</v>
      </c>
      <c r="D238" s="53">
        <f t="shared" si="6"/>
        <v>-9.5366344036637123E-3</v>
      </c>
      <c r="E238" s="53">
        <v>3.6517313980721673E-2</v>
      </c>
      <c r="G238" s="90">
        <v>230</v>
      </c>
      <c r="H238" s="90">
        <f t="shared" ca="1" si="7"/>
        <v>-1.1342350196831979E-2</v>
      </c>
    </row>
    <row r="239" spans="2:8" x14ac:dyDescent="0.3">
      <c r="B239" s="58">
        <f>'DATA HISTORICAL'!$B884</f>
        <v>45566</v>
      </c>
      <c r="C239" s="60">
        <f>'DATA HISTORICAL'!$C884</f>
        <v>11837.15</v>
      </c>
      <c r="D239" s="53">
        <f t="shared" si="6"/>
        <v>2.9738823862514277E-3</v>
      </c>
      <c r="E239" s="53">
        <v>3.6433048785001407E-2</v>
      </c>
      <c r="G239" s="90">
        <v>231</v>
      </c>
      <c r="H239" s="90">
        <f t="shared" ca="1" si="7"/>
        <v>5.8029897428113911E-3</v>
      </c>
    </row>
    <row r="240" spans="2:8" x14ac:dyDescent="0.3">
      <c r="B240" s="58">
        <f>'DATA HISTORICAL'!$B885</f>
        <v>45565</v>
      </c>
      <c r="C240" s="60">
        <f>'DATA HISTORICAL'!$C885</f>
        <v>11802</v>
      </c>
      <c r="D240" s="53">
        <f t="shared" si="6"/>
        <v>-1.2654719842081013E-2</v>
      </c>
      <c r="E240" s="53">
        <v>3.6325668810405103E-2</v>
      </c>
      <c r="G240" s="90">
        <v>232</v>
      </c>
      <c r="H240" s="90">
        <f t="shared" ca="1" si="7"/>
        <v>2.8815816769749075E-2</v>
      </c>
    </row>
    <row r="241" spans="2:8" x14ac:dyDescent="0.3">
      <c r="B241" s="58">
        <f>'DATA HISTORICAL'!$B886</f>
        <v>45562</v>
      </c>
      <c r="C241" s="60">
        <f>'DATA HISTORICAL'!$C886</f>
        <v>11952.3</v>
      </c>
      <c r="D241" s="53">
        <f t="shared" si="6"/>
        <v>-9.3849705999369745E-3</v>
      </c>
      <c r="E241" s="53">
        <v>3.6234903744583144E-2</v>
      </c>
      <c r="G241" s="90">
        <v>233</v>
      </c>
      <c r="H241" s="90">
        <f t="shared" ca="1" si="7"/>
        <v>5.9289766008517111E-3</v>
      </c>
    </row>
    <row r="242" spans="2:8" x14ac:dyDescent="0.3">
      <c r="B242" s="58">
        <f>'DATA HISTORICAL'!$B887</f>
        <v>45561</v>
      </c>
      <c r="C242" s="60">
        <f>'DATA HISTORICAL'!$C887</f>
        <v>12065</v>
      </c>
      <c r="D242" s="53">
        <f t="shared" si="6"/>
        <v>2.0828764867578932E-2</v>
      </c>
      <c r="E242" s="53">
        <v>3.6212880738226386E-2</v>
      </c>
      <c r="G242" s="90">
        <v>234</v>
      </c>
      <c r="H242" s="90">
        <f t="shared" ca="1" si="7"/>
        <v>1.724096986721723E-2</v>
      </c>
    </row>
    <row r="243" spans="2:8" x14ac:dyDescent="0.3">
      <c r="B243" s="58">
        <f>'DATA HISTORICAL'!$B888</f>
        <v>45560</v>
      </c>
      <c r="C243" s="60">
        <f>'DATA HISTORICAL'!$C888</f>
        <v>11816.3</v>
      </c>
      <c r="D243" s="53">
        <f t="shared" si="6"/>
        <v>4.6356954584698493E-3</v>
      </c>
      <c r="E243" s="53">
        <v>3.6087697511609708E-2</v>
      </c>
      <c r="G243" s="90">
        <v>235</v>
      </c>
      <c r="H243" s="90">
        <f t="shared" ca="1" si="7"/>
        <v>-7.7729250078026101E-3</v>
      </c>
    </row>
    <row r="244" spans="2:8" x14ac:dyDescent="0.3">
      <c r="B244" s="58">
        <f>'DATA HISTORICAL'!$B889</f>
        <v>45559</v>
      </c>
      <c r="C244" s="60">
        <f>'DATA HISTORICAL'!$C889</f>
        <v>11761.65</v>
      </c>
      <c r="D244" s="53">
        <f t="shared" si="6"/>
        <v>-1.6894899765709299E-2</v>
      </c>
      <c r="E244" s="53">
        <v>3.6028287595855461E-2</v>
      </c>
      <c r="G244" s="90">
        <v>236</v>
      </c>
      <c r="H244" s="90">
        <f t="shared" ca="1" si="7"/>
        <v>1.470998857422532E-2</v>
      </c>
    </row>
    <row r="245" spans="2:8" x14ac:dyDescent="0.3">
      <c r="B245" s="58">
        <f>'DATA HISTORICAL'!$B890</f>
        <v>45558</v>
      </c>
      <c r="C245" s="60">
        <f>'DATA HISTORICAL'!$C890</f>
        <v>11962.05</v>
      </c>
      <c r="D245" s="53">
        <f t="shared" si="6"/>
        <v>1.3783685220408761E-2</v>
      </c>
      <c r="E245" s="53">
        <v>3.6012312538578027E-2</v>
      </c>
      <c r="G245" s="90">
        <v>237</v>
      </c>
      <c r="H245" s="90">
        <f t="shared" ca="1" si="7"/>
        <v>-4.5679775829166836E-3</v>
      </c>
    </row>
    <row r="246" spans="2:8" x14ac:dyDescent="0.3">
      <c r="B246" s="58">
        <f>'DATA HISTORICAL'!$B891</f>
        <v>45555</v>
      </c>
      <c r="C246" s="60">
        <f>'DATA HISTORICAL'!$C891</f>
        <v>11798.3</v>
      </c>
      <c r="D246" s="53">
        <f t="shared" si="6"/>
        <v>1.4582471180131899E-2</v>
      </c>
      <c r="E246" s="53">
        <v>3.5962127941359806E-2</v>
      </c>
      <c r="G246" s="90">
        <v>238</v>
      </c>
      <c r="H246" s="90">
        <f t="shared" ca="1" si="7"/>
        <v>-1.5738864190382527E-2</v>
      </c>
    </row>
    <row r="247" spans="2:8" x14ac:dyDescent="0.3">
      <c r="B247" s="58">
        <f>'DATA HISTORICAL'!$B892</f>
        <v>45554</v>
      </c>
      <c r="C247" s="60">
        <f>'DATA HISTORICAL'!$C892</f>
        <v>11627.5</v>
      </c>
      <c r="D247" s="53">
        <f t="shared" si="6"/>
        <v>-2.9236749081786679E-4</v>
      </c>
      <c r="E247" s="53">
        <v>3.5920031616821696E-2</v>
      </c>
      <c r="G247" s="90">
        <v>239</v>
      </c>
      <c r="H247" s="90">
        <f t="shared" ca="1" si="7"/>
        <v>-3.1038980857830935E-2</v>
      </c>
    </row>
    <row r="248" spans="2:8" x14ac:dyDescent="0.3">
      <c r="B248" s="58">
        <f>'DATA HISTORICAL'!$B893</f>
        <v>45553</v>
      </c>
      <c r="C248" s="60">
        <f>'DATA HISTORICAL'!$C893</f>
        <v>11630.9</v>
      </c>
      <c r="D248" s="53">
        <f t="shared" si="6"/>
        <v>-1.267370119224727E-3</v>
      </c>
      <c r="E248" s="53">
        <v>3.5796344972224635E-2</v>
      </c>
      <c r="G248" s="90">
        <v>240</v>
      </c>
      <c r="H248" s="90">
        <f t="shared" ca="1" si="7"/>
        <v>-4.0615741965023778E-3</v>
      </c>
    </row>
    <row r="249" spans="2:8" x14ac:dyDescent="0.3">
      <c r="B249" s="58">
        <f>'DATA HISTORICAL'!$B894</f>
        <v>45552</v>
      </c>
      <c r="C249" s="60">
        <f>'DATA HISTORICAL'!$C894</f>
        <v>11645.65</v>
      </c>
      <c r="D249" s="53">
        <f t="shared" si="6"/>
        <v>2.5764010396593369E-4</v>
      </c>
      <c r="E249" s="53">
        <v>3.5751029747800395E-2</v>
      </c>
      <c r="G249" s="90">
        <v>241</v>
      </c>
      <c r="H249" s="90">
        <f t="shared" ca="1" si="7"/>
        <v>1.8384830149018431E-2</v>
      </c>
    </row>
    <row r="250" spans="2:8" x14ac:dyDescent="0.3">
      <c r="B250" s="58">
        <f>'DATA HISTORICAL'!$B895</f>
        <v>45551</v>
      </c>
      <c r="C250" s="60">
        <f>'DATA HISTORICAL'!$C895</f>
        <v>11642.65</v>
      </c>
      <c r="D250" s="53">
        <f t="shared" si="6"/>
        <v>-6.4467745515510355E-3</v>
      </c>
      <c r="E250" s="53">
        <v>3.5667003261878327E-2</v>
      </c>
      <c r="G250" s="90">
        <v>242</v>
      </c>
      <c r="H250" s="90">
        <f t="shared" ca="1" si="7"/>
        <v>-4.3387327031837947E-3</v>
      </c>
    </row>
    <row r="251" spans="2:8" x14ac:dyDescent="0.3">
      <c r="B251" s="58">
        <f>'DATA HISTORICAL'!$B896</f>
        <v>45548</v>
      </c>
      <c r="C251" s="60">
        <f>'DATA HISTORICAL'!$C896</f>
        <v>11717.95</v>
      </c>
      <c r="D251" s="53">
        <f t="shared" si="6"/>
        <v>6.5732751788466774E-4</v>
      </c>
      <c r="E251" s="53">
        <v>3.5666043615894538E-2</v>
      </c>
      <c r="G251" s="90">
        <v>243</v>
      </c>
      <c r="H251" s="90">
        <f t="shared" ca="1" si="7"/>
        <v>-8.7118858409258627E-3</v>
      </c>
    </row>
    <row r="252" spans="2:8" x14ac:dyDescent="0.3">
      <c r="B252" s="58">
        <f>'DATA HISTORICAL'!$B897</f>
        <v>45547</v>
      </c>
      <c r="C252" s="60">
        <f>'DATA HISTORICAL'!$C897</f>
        <v>11710.25</v>
      </c>
      <c r="D252" s="53">
        <f t="shared" si="6"/>
        <v>1.9209391540652414E-2</v>
      </c>
      <c r="E252" s="53">
        <v>3.5644269266743904E-2</v>
      </c>
      <c r="G252" s="90">
        <v>244</v>
      </c>
      <c r="H252" s="90">
        <f t="shared" ca="1" si="7"/>
        <v>1.8216776326742932E-2</v>
      </c>
    </row>
    <row r="253" spans="2:8" x14ac:dyDescent="0.3">
      <c r="B253" s="58">
        <f>'DATA HISTORICAL'!$B898</f>
        <v>45546</v>
      </c>
      <c r="C253" s="60">
        <f>'DATA HISTORICAL'!$C898</f>
        <v>11487.45</v>
      </c>
      <c r="D253" s="53">
        <f t="shared" si="6"/>
        <v>-4.655109693886922E-3</v>
      </c>
      <c r="E253" s="53">
        <v>3.5614261155900773E-2</v>
      </c>
      <c r="G253" s="90">
        <v>245</v>
      </c>
      <c r="H253" s="90">
        <f t="shared" ca="1" si="7"/>
        <v>-1.1998351721679575E-2</v>
      </c>
    </row>
    <row r="254" spans="2:8" x14ac:dyDescent="0.3">
      <c r="B254" s="58">
        <f>'DATA HISTORICAL'!$B899</f>
        <v>45545</v>
      </c>
      <c r="C254" s="60">
        <f>'DATA HISTORICAL'!$C899</f>
        <v>11541.05</v>
      </c>
      <c r="D254" s="53">
        <f t="shared" si="6"/>
        <v>4.0546345172404429E-3</v>
      </c>
      <c r="E254" s="53">
        <v>3.5493136025942347E-2</v>
      </c>
      <c r="G254" s="90">
        <v>246</v>
      </c>
      <c r="H254" s="90">
        <f t="shared" ca="1" si="7"/>
        <v>-9.5574984537061987E-3</v>
      </c>
    </row>
    <row r="255" spans="2:8" x14ac:dyDescent="0.3">
      <c r="B255" s="58">
        <f>'DATA HISTORICAL'!$B900</f>
        <v>45544</v>
      </c>
      <c r="C255" s="60">
        <f>'DATA HISTORICAL'!$C900</f>
        <v>11494.35</v>
      </c>
      <c r="D255" s="53">
        <f t="shared" si="6"/>
        <v>5.3648197341189261E-3</v>
      </c>
      <c r="E255" s="53">
        <v>3.5461863199964465E-2</v>
      </c>
      <c r="G255" s="90">
        <v>247</v>
      </c>
      <c r="H255" s="90">
        <f t="shared" ca="1" si="7"/>
        <v>2.6196979771508561E-2</v>
      </c>
    </row>
    <row r="256" spans="2:8" x14ac:dyDescent="0.3">
      <c r="B256" s="58">
        <f>'DATA HISTORICAL'!$B901</f>
        <v>45541</v>
      </c>
      <c r="C256" s="60">
        <f>'DATA HISTORICAL'!$C901</f>
        <v>11432.85</v>
      </c>
      <c r="D256" s="53">
        <f t="shared" si="6"/>
        <v>-9.5580802084252355E-3</v>
      </c>
      <c r="E256" s="53">
        <v>3.5458799826256313E-2</v>
      </c>
      <c r="G256" s="90">
        <v>248</v>
      </c>
      <c r="H256" s="90">
        <f t="shared" ca="1" si="7"/>
        <v>-1.7652834416077862E-2</v>
      </c>
    </row>
    <row r="257" spans="2:8" x14ac:dyDescent="0.3">
      <c r="B257" s="58">
        <f>'DATA HISTORICAL'!$B902</f>
        <v>45540</v>
      </c>
      <c r="C257" s="60">
        <f>'DATA HISTORICAL'!$C902</f>
        <v>11542.65</v>
      </c>
      <c r="D257" s="53">
        <f t="shared" si="6"/>
        <v>-3.2694607272832623E-3</v>
      </c>
      <c r="E257" s="53">
        <v>3.5414952209008935E-2</v>
      </c>
      <c r="G257" s="90">
        <v>249</v>
      </c>
      <c r="H257" s="90">
        <f t="shared" ca="1" si="7"/>
        <v>2.2074601179946425E-2</v>
      </c>
    </row>
    <row r="258" spans="2:8" x14ac:dyDescent="0.3">
      <c r="B258" s="58">
        <f>'DATA HISTORICAL'!$B903</f>
        <v>45539</v>
      </c>
      <c r="C258" s="60">
        <f>'DATA HISTORICAL'!$C903</f>
        <v>11580.45</v>
      </c>
      <c r="D258" s="53">
        <f t="shared" si="6"/>
        <v>1.0385814615392253E-2</v>
      </c>
      <c r="E258" s="53">
        <v>3.5358446768571271E-2</v>
      </c>
      <c r="G258" s="90">
        <v>250</v>
      </c>
      <c r="H258" s="90">
        <f t="shared" ca="1" si="7"/>
        <v>6.7619706500518795E-3</v>
      </c>
    </row>
    <row r="259" spans="2:8" x14ac:dyDescent="0.3">
      <c r="B259" s="58">
        <f>'DATA HISTORICAL'!$B904</f>
        <v>45538</v>
      </c>
      <c r="C259" s="60">
        <f>'DATA HISTORICAL'!$C904</f>
        <v>11460.8</v>
      </c>
      <c r="D259" s="53">
        <f t="shared" si="6"/>
        <v>3.1373328713164748E-3</v>
      </c>
      <c r="E259" s="53">
        <v>3.5356493599556039E-2</v>
      </c>
      <c r="G259" s="90">
        <v>251</v>
      </c>
      <c r="H259" s="90">
        <f t="shared" ca="1" si="7"/>
        <v>1.457169593785811E-2</v>
      </c>
    </row>
    <row r="260" spans="2:8" x14ac:dyDescent="0.3">
      <c r="B260" s="58">
        <f>'DATA HISTORICAL'!$B905</f>
        <v>45537</v>
      </c>
      <c r="C260" s="60">
        <f>'DATA HISTORICAL'!$C905</f>
        <v>11424.9</v>
      </c>
      <c r="D260" s="53">
        <f t="shared" si="6"/>
        <v>1.0824330829731237E-2</v>
      </c>
      <c r="E260" s="53">
        <v>3.5238389927009464E-2</v>
      </c>
      <c r="G260" s="90">
        <v>252</v>
      </c>
      <c r="H260" s="90">
        <f t="shared" ca="1" si="7"/>
        <v>-2.7070593274456925E-3</v>
      </c>
    </row>
    <row r="261" spans="2:8" x14ac:dyDescent="0.3">
      <c r="B261" s="58">
        <f>'DATA HISTORICAL'!$B906</f>
        <v>45534</v>
      </c>
      <c r="C261" s="60">
        <f>'DATA HISTORICAL'!$C906</f>
        <v>11301.9</v>
      </c>
      <c r="D261" s="53">
        <f t="shared" si="6"/>
        <v>7.0947158482217269E-3</v>
      </c>
      <c r="E261" s="53">
        <v>3.5189353347730129E-2</v>
      </c>
      <c r="G261" s="90">
        <v>253</v>
      </c>
      <c r="H261" s="90">
        <f t="shared" ca="1" si="7"/>
        <v>1.9548060019458006E-3</v>
      </c>
    </row>
    <row r="262" spans="2:8" x14ac:dyDescent="0.3">
      <c r="B262" s="58">
        <f>'DATA HISTORICAL'!$B907</f>
        <v>45533</v>
      </c>
      <c r="C262" s="60">
        <f>'DATA HISTORICAL'!$C907</f>
        <v>11222</v>
      </c>
      <c r="D262" s="53">
        <f t="shared" si="6"/>
        <v>-1.1399666369347329E-3</v>
      </c>
      <c r="E262" s="53">
        <v>3.5143963858556559E-2</v>
      </c>
      <c r="G262" s="90">
        <v>254</v>
      </c>
      <c r="H262" s="90">
        <f t="shared" ca="1" si="7"/>
        <v>1.7565376820675441E-2</v>
      </c>
    </row>
    <row r="263" spans="2:8" x14ac:dyDescent="0.3">
      <c r="B263" s="58">
        <f>'DATA HISTORICAL'!$B908</f>
        <v>45532</v>
      </c>
      <c r="C263" s="60">
        <f>'DATA HISTORICAL'!$C908</f>
        <v>11234.8</v>
      </c>
      <c r="D263" s="53">
        <f t="shared" si="6"/>
        <v>-5.8175947242399577E-3</v>
      </c>
      <c r="E263" s="53">
        <v>3.5095331758849928E-2</v>
      </c>
      <c r="G263" s="90">
        <v>255</v>
      </c>
      <c r="H263" s="90">
        <f t="shared" ca="1" si="7"/>
        <v>-6.9127276450947064E-3</v>
      </c>
    </row>
    <row r="264" spans="2:8" x14ac:dyDescent="0.3">
      <c r="B264" s="58">
        <f>'DATA HISTORICAL'!$B909</f>
        <v>45531</v>
      </c>
      <c r="C264" s="60">
        <f>'DATA HISTORICAL'!$C909</f>
        <v>11300.35</v>
      </c>
      <c r="D264" s="53">
        <f t="shared" si="6"/>
        <v>-3.2468349822686034E-3</v>
      </c>
      <c r="E264" s="53">
        <v>3.5075253022866446E-2</v>
      </c>
      <c r="G264" s="90">
        <v>256</v>
      </c>
      <c r="H264" s="90">
        <f t="shared" ca="1" si="7"/>
        <v>-6.347013003865796E-3</v>
      </c>
    </row>
    <row r="265" spans="2:8" x14ac:dyDescent="0.3">
      <c r="B265" s="58">
        <f>'DATA HISTORICAL'!$B910</f>
        <v>45530</v>
      </c>
      <c r="C265" s="60">
        <f>'DATA HISTORICAL'!$C910</f>
        <v>11337.1</v>
      </c>
      <c r="D265" s="53">
        <f t="shared" ref="D265:D328" si="8">LN(C265/C266)</f>
        <v>-4.1448218981395213E-4</v>
      </c>
      <c r="E265" s="53">
        <v>3.5067295813479199E-2</v>
      </c>
      <c r="G265" s="90">
        <v>257</v>
      </c>
      <c r="H265" s="90">
        <f t="shared" ref="H265:H328" ca="1" si="9">_xlfn.NORM.INV(RAND(),N$10,N$11)</f>
        <v>1.2126999758735414E-2</v>
      </c>
    </row>
    <row r="266" spans="2:8" x14ac:dyDescent="0.3">
      <c r="B266" s="58">
        <f>'DATA HISTORICAL'!$B911</f>
        <v>45527</v>
      </c>
      <c r="C266" s="60">
        <f>'DATA HISTORICAL'!$C911</f>
        <v>11341.8</v>
      </c>
      <c r="D266" s="53">
        <f t="shared" si="8"/>
        <v>2.8607775391084837E-3</v>
      </c>
      <c r="E266" s="53">
        <v>3.5002913197827459E-2</v>
      </c>
      <c r="G266" s="90">
        <v>258</v>
      </c>
      <c r="H266" s="90">
        <f t="shared" ca="1" si="9"/>
        <v>9.8641841439124772E-3</v>
      </c>
    </row>
    <row r="267" spans="2:8" x14ac:dyDescent="0.3">
      <c r="B267" s="58">
        <f>'DATA HISTORICAL'!$B912</f>
        <v>45526</v>
      </c>
      <c r="C267" s="60">
        <f>'DATA HISTORICAL'!$C912</f>
        <v>11309.4</v>
      </c>
      <c r="D267" s="53">
        <f t="shared" si="8"/>
        <v>9.6401061074851951E-3</v>
      </c>
      <c r="E267" s="53">
        <v>3.486032661489253E-2</v>
      </c>
      <c r="G267" s="90">
        <v>259</v>
      </c>
      <c r="H267" s="90">
        <f t="shared" ca="1" si="9"/>
        <v>-1.0532695824860338E-2</v>
      </c>
    </row>
    <row r="268" spans="2:8" x14ac:dyDescent="0.3">
      <c r="B268" s="58">
        <f>'DATA HISTORICAL'!$B913</f>
        <v>45525</v>
      </c>
      <c r="C268" s="60">
        <f>'DATA HISTORICAL'!$C913</f>
        <v>11200.9</v>
      </c>
      <c r="D268" s="53">
        <f t="shared" si="8"/>
        <v>-1.3197179644582372E-2</v>
      </c>
      <c r="E268" s="53">
        <v>3.4817442443415718E-2</v>
      </c>
      <c r="G268" s="90">
        <v>260</v>
      </c>
      <c r="H268" s="90">
        <f t="shared" ca="1" si="9"/>
        <v>-2.2453248771390964E-2</v>
      </c>
    </row>
    <row r="269" spans="2:8" x14ac:dyDescent="0.3">
      <c r="B269" s="58">
        <f>'DATA HISTORICAL'!$B914</f>
        <v>45524</v>
      </c>
      <c r="C269" s="60">
        <f>'DATA HISTORICAL'!$C914</f>
        <v>11349.7</v>
      </c>
      <c r="D269" s="53">
        <f t="shared" si="8"/>
        <v>3.0311008622899657E-3</v>
      </c>
      <c r="E269" s="53">
        <v>3.4728548093007412E-2</v>
      </c>
      <c r="G269" s="90">
        <v>261</v>
      </c>
      <c r="H269" s="90">
        <f t="shared" ca="1" si="9"/>
        <v>2.7966616585499472E-2</v>
      </c>
    </row>
    <row r="270" spans="2:8" x14ac:dyDescent="0.3">
      <c r="B270" s="58">
        <f>'DATA HISTORICAL'!$B915</f>
        <v>45523</v>
      </c>
      <c r="C270" s="60">
        <f>'DATA HISTORICAL'!$C915</f>
        <v>11315.35</v>
      </c>
      <c r="D270" s="53">
        <f t="shared" si="8"/>
        <v>1.738088673176124E-3</v>
      </c>
      <c r="E270" s="53">
        <v>3.4649591172709965E-2</v>
      </c>
      <c r="G270" s="90">
        <v>262</v>
      </c>
      <c r="H270" s="90">
        <f t="shared" ca="1" si="9"/>
        <v>-6.2484251688365968E-3</v>
      </c>
    </row>
    <row r="271" spans="2:8" x14ac:dyDescent="0.3">
      <c r="B271" s="58">
        <f>'DATA HISTORICAL'!$B916</f>
        <v>45520</v>
      </c>
      <c r="C271" s="60">
        <f>'DATA HISTORICAL'!$C916</f>
        <v>11295.7</v>
      </c>
      <c r="D271" s="53">
        <f t="shared" si="8"/>
        <v>2.629051381930932E-2</v>
      </c>
      <c r="E271" s="53">
        <v>3.460032811749944E-2</v>
      </c>
      <c r="G271" s="90">
        <v>263</v>
      </c>
      <c r="H271" s="90">
        <f t="shared" ca="1" si="9"/>
        <v>4.1593643893396662E-2</v>
      </c>
    </row>
    <row r="272" spans="2:8" x14ac:dyDescent="0.3">
      <c r="B272" s="58">
        <f>'DATA HISTORICAL'!$B917</f>
        <v>45518</v>
      </c>
      <c r="C272" s="60">
        <f>'DATA HISTORICAL'!$C917</f>
        <v>11002.6</v>
      </c>
      <c r="D272" s="53">
        <f t="shared" si="8"/>
        <v>-2.4119191251679103E-2</v>
      </c>
      <c r="E272" s="53">
        <v>3.4549010422805768E-2</v>
      </c>
      <c r="G272" s="90">
        <v>264</v>
      </c>
      <c r="H272" s="90">
        <f t="shared" ca="1" si="9"/>
        <v>2.0026893003861321E-2</v>
      </c>
    </row>
    <row r="273" spans="2:8" x14ac:dyDescent="0.3">
      <c r="B273" s="58">
        <f>'DATA HISTORICAL'!$B918</f>
        <v>45517</v>
      </c>
      <c r="C273" s="60">
        <f>'DATA HISTORICAL'!$C918</f>
        <v>11271.2</v>
      </c>
      <c r="D273" s="53">
        <f t="shared" si="8"/>
        <v>-2.8041065505476047E-3</v>
      </c>
      <c r="E273" s="53">
        <v>3.4491938459102769E-2</v>
      </c>
      <c r="G273" s="90">
        <v>265</v>
      </c>
      <c r="H273" s="90">
        <f t="shared" ca="1" si="9"/>
        <v>2.7021830322757645E-3</v>
      </c>
    </row>
    <row r="274" spans="2:8" x14ac:dyDescent="0.3">
      <c r="B274" s="58">
        <f>'DATA HISTORICAL'!$B919</f>
        <v>45516</v>
      </c>
      <c r="C274" s="60">
        <f>'DATA HISTORICAL'!$C919</f>
        <v>11302.85</v>
      </c>
      <c r="D274" s="53">
        <f t="shared" si="8"/>
        <v>2.2120761752259416E-4</v>
      </c>
      <c r="E274" s="53">
        <v>3.4480558970467937E-2</v>
      </c>
      <c r="G274" s="90">
        <v>266</v>
      </c>
      <c r="H274" s="90">
        <f t="shared" ca="1" si="9"/>
        <v>4.8207092841948086E-3</v>
      </c>
    </row>
    <row r="275" spans="2:8" x14ac:dyDescent="0.3">
      <c r="B275" s="58">
        <f>'DATA HISTORICAL'!$B920</f>
        <v>45513</v>
      </c>
      <c r="C275" s="60">
        <f>'DATA HISTORICAL'!$C920</f>
        <v>11300.35</v>
      </c>
      <c r="D275" s="53">
        <f t="shared" si="8"/>
        <v>3.7547116481200173E-3</v>
      </c>
      <c r="E275" s="53">
        <v>3.435149807809517E-2</v>
      </c>
      <c r="G275" s="90">
        <v>267</v>
      </c>
      <c r="H275" s="90">
        <f t="shared" ca="1" si="9"/>
        <v>2.7137584078512967E-3</v>
      </c>
    </row>
    <row r="276" spans="2:8" x14ac:dyDescent="0.3">
      <c r="B276" s="58">
        <f>'DATA HISTORICAL'!$B921</f>
        <v>45512</v>
      </c>
      <c r="C276" s="60">
        <f>'DATA HISTORICAL'!$C921</f>
        <v>11258</v>
      </c>
      <c r="D276" s="53">
        <f t="shared" si="8"/>
        <v>-2.5017531959074163E-2</v>
      </c>
      <c r="E276" s="53">
        <v>3.4341588832820763E-2</v>
      </c>
      <c r="G276" s="90">
        <v>268</v>
      </c>
      <c r="H276" s="90">
        <f t="shared" ca="1" si="9"/>
        <v>-9.9413703141474838E-3</v>
      </c>
    </row>
    <row r="277" spans="2:8" x14ac:dyDescent="0.3">
      <c r="B277" s="58">
        <f>'DATA HISTORICAL'!$B922</f>
        <v>45511</v>
      </c>
      <c r="C277" s="60">
        <f>'DATA HISTORICAL'!$C922</f>
        <v>11543.2</v>
      </c>
      <c r="D277" s="53">
        <f t="shared" si="8"/>
        <v>1.9057357916441729E-2</v>
      </c>
      <c r="E277" s="53">
        <v>3.4336890562357024E-2</v>
      </c>
      <c r="G277" s="90">
        <v>269</v>
      </c>
      <c r="H277" s="90">
        <f t="shared" ca="1" si="9"/>
        <v>3.5819739752999111E-2</v>
      </c>
    </row>
    <row r="278" spans="2:8" x14ac:dyDescent="0.3">
      <c r="B278" s="58">
        <f>'DATA HISTORICAL'!$B923</f>
        <v>45510</v>
      </c>
      <c r="C278" s="60">
        <f>'DATA HISTORICAL'!$C923</f>
        <v>11325.3</v>
      </c>
      <c r="D278" s="53">
        <f t="shared" si="8"/>
        <v>-8.0862085408688923E-3</v>
      </c>
      <c r="E278" s="53">
        <v>3.4315188948605475E-2</v>
      </c>
      <c r="G278" s="90">
        <v>270</v>
      </c>
      <c r="H278" s="90">
        <f t="shared" ca="1" si="9"/>
        <v>1.469344758906559E-2</v>
      </c>
    </row>
    <row r="279" spans="2:8" x14ac:dyDescent="0.3">
      <c r="B279" s="58">
        <f>'DATA HISTORICAL'!$B924</f>
        <v>45509</v>
      </c>
      <c r="C279" s="60">
        <f>'DATA HISTORICAL'!$C924</f>
        <v>11417.25</v>
      </c>
      <c r="D279" s="53">
        <f t="shared" si="8"/>
        <v>-2.9961152713357711E-2</v>
      </c>
      <c r="E279" s="53">
        <v>3.4271876142292872E-2</v>
      </c>
      <c r="G279" s="90">
        <v>271</v>
      </c>
      <c r="H279" s="90">
        <f t="shared" ca="1" si="9"/>
        <v>-9.3234671825236995E-3</v>
      </c>
    </row>
    <row r="280" spans="2:8" x14ac:dyDescent="0.3">
      <c r="B280" s="58">
        <f>'DATA HISTORICAL'!$B925</f>
        <v>45506</v>
      </c>
      <c r="C280" s="60">
        <f>'DATA HISTORICAL'!$C925</f>
        <v>11764.5</v>
      </c>
      <c r="D280" s="53">
        <f t="shared" si="8"/>
        <v>-1.8527625862214275E-2</v>
      </c>
      <c r="E280" s="53">
        <v>3.4122381390486969E-2</v>
      </c>
      <c r="G280" s="90">
        <v>272</v>
      </c>
      <c r="H280" s="90">
        <f t="shared" ca="1" si="9"/>
        <v>-3.6398942625938567E-3</v>
      </c>
    </row>
    <row r="281" spans="2:8" x14ac:dyDescent="0.3">
      <c r="B281" s="58">
        <f>'DATA HISTORICAL'!$B926</f>
        <v>45505</v>
      </c>
      <c r="C281" s="60">
        <f>'DATA HISTORICAL'!$C926</f>
        <v>11984.5</v>
      </c>
      <c r="D281" s="53">
        <f t="shared" si="8"/>
        <v>8.1519572409074741E-3</v>
      </c>
      <c r="E281" s="53">
        <v>3.4110694918451777E-2</v>
      </c>
      <c r="G281" s="90">
        <v>273</v>
      </c>
      <c r="H281" s="90">
        <f t="shared" ca="1" si="9"/>
        <v>-1.4816344076639256E-2</v>
      </c>
    </row>
    <row r="282" spans="2:8" x14ac:dyDescent="0.3">
      <c r="B282" s="58">
        <f>'DATA HISTORICAL'!$B927</f>
        <v>45504</v>
      </c>
      <c r="C282" s="60">
        <f>'DATA HISTORICAL'!$C927</f>
        <v>11887.2</v>
      </c>
      <c r="D282" s="53">
        <f t="shared" si="8"/>
        <v>6.8161986558117234E-3</v>
      </c>
      <c r="E282" s="53">
        <v>3.4084078560471721E-2</v>
      </c>
      <c r="G282" s="90">
        <v>274</v>
      </c>
      <c r="H282" s="90">
        <f t="shared" ca="1" si="9"/>
        <v>2.1919073710302529E-2</v>
      </c>
    </row>
    <row r="283" spans="2:8" x14ac:dyDescent="0.3">
      <c r="B283" s="58">
        <f>'DATA HISTORICAL'!$B928</f>
        <v>45503</v>
      </c>
      <c r="C283" s="60">
        <f>'DATA HISTORICAL'!$C928</f>
        <v>11806.45</v>
      </c>
      <c r="D283" s="53">
        <f t="shared" si="8"/>
        <v>-5.6882998787758732E-3</v>
      </c>
      <c r="E283" s="53">
        <v>3.4065327114269878E-2</v>
      </c>
      <c r="G283" s="90">
        <v>275</v>
      </c>
      <c r="H283" s="90">
        <f t="shared" ca="1" si="9"/>
        <v>-2.1250919818835496E-2</v>
      </c>
    </row>
    <row r="284" spans="2:8" x14ac:dyDescent="0.3">
      <c r="B284" s="58">
        <f>'DATA HISTORICAL'!$B929</f>
        <v>45502</v>
      </c>
      <c r="C284" s="60">
        <f>'DATA HISTORICAL'!$C929</f>
        <v>11873.8</v>
      </c>
      <c r="D284" s="53">
        <f t="shared" si="8"/>
        <v>1.705152613259478E-2</v>
      </c>
      <c r="E284" s="53">
        <v>3.4033296572765437E-2</v>
      </c>
      <c r="G284" s="90">
        <v>276</v>
      </c>
      <c r="H284" s="90">
        <f t="shared" ca="1" si="9"/>
        <v>1.9869144660350072E-3</v>
      </c>
    </row>
    <row r="285" spans="2:8" x14ac:dyDescent="0.3">
      <c r="B285" s="58">
        <f>'DATA HISTORICAL'!$B930</f>
        <v>45499</v>
      </c>
      <c r="C285" s="60">
        <f>'DATA HISTORICAL'!$C930</f>
        <v>11673.05</v>
      </c>
      <c r="D285" s="53">
        <f t="shared" si="8"/>
        <v>2.0035669812928366E-2</v>
      </c>
      <c r="E285" s="53">
        <v>3.394106292157472E-2</v>
      </c>
      <c r="G285" s="90">
        <v>277</v>
      </c>
      <c r="H285" s="90">
        <f t="shared" ca="1" si="9"/>
        <v>8.5565384211190015E-3</v>
      </c>
    </row>
    <row r="286" spans="2:8" x14ac:dyDescent="0.3">
      <c r="B286" s="58">
        <f>'DATA HISTORICAL'!$B931</f>
        <v>45498</v>
      </c>
      <c r="C286" s="60">
        <f>'DATA HISTORICAL'!$C931</f>
        <v>11441.5</v>
      </c>
      <c r="D286" s="53">
        <f t="shared" si="8"/>
        <v>-1.0395329153324875E-3</v>
      </c>
      <c r="E286" s="53">
        <v>3.3927062145991407E-2</v>
      </c>
      <c r="G286" s="90">
        <v>278</v>
      </c>
      <c r="H286" s="90">
        <f t="shared" ca="1" si="9"/>
        <v>1.3832885245214123E-3</v>
      </c>
    </row>
    <row r="287" spans="2:8" x14ac:dyDescent="0.3">
      <c r="B287" s="58">
        <f>'DATA HISTORICAL'!$B932</f>
        <v>45497</v>
      </c>
      <c r="C287" s="60">
        <f>'DATA HISTORICAL'!$C932</f>
        <v>11453.4</v>
      </c>
      <c r="D287" s="53">
        <f t="shared" si="8"/>
        <v>-8.0351053196571591E-3</v>
      </c>
      <c r="E287" s="53">
        <v>3.3763524996876945E-2</v>
      </c>
      <c r="G287" s="90">
        <v>279</v>
      </c>
      <c r="H287" s="90">
        <f t="shared" ca="1" si="9"/>
        <v>1.01701818311958E-2</v>
      </c>
    </row>
    <row r="288" spans="2:8" x14ac:dyDescent="0.3">
      <c r="B288" s="58">
        <f>'DATA HISTORICAL'!$B933</f>
        <v>45496</v>
      </c>
      <c r="C288" s="60">
        <f>'DATA HISTORICAL'!$C933</f>
        <v>11545.8</v>
      </c>
      <c r="D288" s="53">
        <f t="shared" si="8"/>
        <v>2.6104127738802428E-3</v>
      </c>
      <c r="E288" s="53">
        <v>3.3681553237940823E-2</v>
      </c>
      <c r="G288" s="90">
        <v>280</v>
      </c>
      <c r="H288" s="90">
        <f t="shared" ca="1" si="9"/>
        <v>-4.7044058536839517E-4</v>
      </c>
    </row>
    <row r="289" spans="2:8" x14ac:dyDescent="0.3">
      <c r="B289" s="58">
        <f>'DATA HISTORICAL'!$B934</f>
        <v>45495</v>
      </c>
      <c r="C289" s="60">
        <f>'DATA HISTORICAL'!$C934</f>
        <v>11515.7</v>
      </c>
      <c r="D289" s="53">
        <f t="shared" si="8"/>
        <v>2.2605687294581452E-2</v>
      </c>
      <c r="E289" s="53">
        <v>3.3651254446416541E-2</v>
      </c>
      <c r="G289" s="90">
        <v>281</v>
      </c>
      <c r="H289" s="90">
        <f t="shared" ca="1" si="9"/>
        <v>-1.1127024921538473E-2</v>
      </c>
    </row>
    <row r="290" spans="2:8" x14ac:dyDescent="0.3">
      <c r="B290" s="58">
        <f>'DATA HISTORICAL'!$B935</f>
        <v>45492</v>
      </c>
      <c r="C290" s="60">
        <f>'DATA HISTORICAL'!$C935</f>
        <v>11258.3</v>
      </c>
      <c r="D290" s="53">
        <f t="shared" si="8"/>
        <v>-3.3964466241053141E-2</v>
      </c>
      <c r="E290" s="53">
        <v>3.3625851722545244E-2</v>
      </c>
      <c r="G290" s="90">
        <v>282</v>
      </c>
      <c r="H290" s="90">
        <f t="shared" ca="1" si="9"/>
        <v>1.7909737985715744E-2</v>
      </c>
    </row>
    <row r="291" spans="2:8" x14ac:dyDescent="0.3">
      <c r="B291" s="58">
        <f>'DATA HISTORICAL'!$B936</f>
        <v>45491</v>
      </c>
      <c r="C291" s="60">
        <f>'DATA HISTORICAL'!$C936</f>
        <v>11647.25</v>
      </c>
      <c r="D291" s="53">
        <f t="shared" si="8"/>
        <v>-9.825817802936183E-4</v>
      </c>
      <c r="E291" s="53">
        <v>3.3591481549646085E-2</v>
      </c>
      <c r="G291" s="90">
        <v>283</v>
      </c>
      <c r="H291" s="90">
        <f t="shared" ca="1" si="9"/>
        <v>6.0304259693847954E-3</v>
      </c>
    </row>
    <row r="292" spans="2:8" x14ac:dyDescent="0.3">
      <c r="B292" s="58">
        <f>'DATA HISTORICAL'!$B937</f>
        <v>45489</v>
      </c>
      <c r="C292" s="60">
        <f>'DATA HISTORICAL'!$C937</f>
        <v>11658.7</v>
      </c>
      <c r="D292" s="53">
        <f t="shared" si="8"/>
        <v>-1.4894485593266844E-2</v>
      </c>
      <c r="E292" s="53">
        <v>3.3555350011504635E-2</v>
      </c>
      <c r="G292" s="90">
        <v>284</v>
      </c>
      <c r="H292" s="90">
        <f t="shared" ca="1" si="9"/>
        <v>-3.6910377342630071E-2</v>
      </c>
    </row>
    <row r="293" spans="2:8" x14ac:dyDescent="0.3">
      <c r="B293" s="58">
        <f>'DATA HISTORICAL'!$B938</f>
        <v>45488</v>
      </c>
      <c r="C293" s="60">
        <f>'DATA HISTORICAL'!$C938</f>
        <v>11833.65</v>
      </c>
      <c r="D293" s="53">
        <f t="shared" si="8"/>
        <v>1.9743813698256202E-2</v>
      </c>
      <c r="E293" s="53">
        <v>3.3529249265199144E-2</v>
      </c>
      <c r="G293" s="90">
        <v>285</v>
      </c>
      <c r="H293" s="90">
        <f t="shared" ca="1" si="9"/>
        <v>-8.516963512759098E-3</v>
      </c>
    </row>
    <row r="294" spans="2:8" x14ac:dyDescent="0.3">
      <c r="B294" s="58">
        <f>'DATA HISTORICAL'!$B939</f>
        <v>45485</v>
      </c>
      <c r="C294" s="60">
        <f>'DATA HISTORICAL'!$C939</f>
        <v>11602.3</v>
      </c>
      <c r="D294" s="53">
        <f t="shared" si="8"/>
        <v>4.0894377344570122E-3</v>
      </c>
      <c r="E294" s="53">
        <v>3.3419869993550642E-2</v>
      </c>
      <c r="G294" s="90">
        <v>286</v>
      </c>
      <c r="H294" s="90">
        <f t="shared" ca="1" si="9"/>
        <v>7.1331880235740225E-3</v>
      </c>
    </row>
    <row r="295" spans="2:8" x14ac:dyDescent="0.3">
      <c r="B295" s="58">
        <f>'DATA HISTORICAL'!$B940</f>
        <v>45484</v>
      </c>
      <c r="C295" s="60">
        <f>'DATA HISTORICAL'!$C940</f>
        <v>11554.95</v>
      </c>
      <c r="D295" s="53">
        <f t="shared" si="8"/>
        <v>-6.8394174117204429E-3</v>
      </c>
      <c r="E295" s="53">
        <v>3.3376323151991884E-2</v>
      </c>
      <c r="G295" s="90">
        <v>287</v>
      </c>
      <c r="H295" s="90">
        <f t="shared" ca="1" si="9"/>
        <v>-9.1640234082728759E-4</v>
      </c>
    </row>
    <row r="296" spans="2:8" x14ac:dyDescent="0.3">
      <c r="B296" s="58">
        <f>'DATA HISTORICAL'!$B941</f>
        <v>45483</v>
      </c>
      <c r="C296" s="60">
        <f>'DATA HISTORICAL'!$C941</f>
        <v>11634.25</v>
      </c>
      <c r="D296" s="53">
        <f t="shared" si="8"/>
        <v>-3.9075199682141581E-3</v>
      </c>
      <c r="E296" s="53">
        <v>3.3371824886433213E-2</v>
      </c>
      <c r="G296" s="90">
        <v>288</v>
      </c>
      <c r="H296" s="90">
        <f t="shared" ca="1" si="9"/>
        <v>8.4387558639044402E-3</v>
      </c>
    </row>
    <row r="297" spans="2:8" x14ac:dyDescent="0.3">
      <c r="B297" s="58">
        <f>'DATA HISTORICAL'!$B942</f>
        <v>45482</v>
      </c>
      <c r="C297" s="60">
        <f>'DATA HISTORICAL'!$C942</f>
        <v>11679.8</v>
      </c>
      <c r="D297" s="53">
        <f t="shared" si="8"/>
        <v>8.3309813948297534E-3</v>
      </c>
      <c r="E297" s="53">
        <v>3.330127888253992E-2</v>
      </c>
      <c r="G297" s="90">
        <v>289</v>
      </c>
      <c r="H297" s="90">
        <f t="shared" ca="1" si="9"/>
        <v>2.6193815061492202E-2</v>
      </c>
    </row>
    <row r="298" spans="2:8" x14ac:dyDescent="0.3">
      <c r="B298" s="58">
        <f>'DATA HISTORICAL'!$B943</f>
        <v>45481</v>
      </c>
      <c r="C298" s="60">
        <f>'DATA HISTORICAL'!$C943</f>
        <v>11582.9</v>
      </c>
      <c r="D298" s="53">
        <f t="shared" si="8"/>
        <v>-9.216734310576841E-3</v>
      </c>
      <c r="E298" s="53">
        <v>3.3245377483425431E-2</v>
      </c>
      <c r="G298" s="90">
        <v>290</v>
      </c>
      <c r="H298" s="90">
        <f t="shared" ca="1" si="9"/>
        <v>1.4081766262596572E-2</v>
      </c>
    </row>
    <row r="299" spans="2:8" x14ac:dyDescent="0.3">
      <c r="B299" s="58">
        <f>'DATA HISTORICAL'!$B944</f>
        <v>45478</v>
      </c>
      <c r="C299" s="60">
        <f>'DATA HISTORICAL'!$C944</f>
        <v>11690.15</v>
      </c>
      <c r="D299" s="53">
        <f t="shared" si="8"/>
        <v>-5.9615872805710351E-3</v>
      </c>
      <c r="E299" s="53">
        <v>3.32067787673141E-2</v>
      </c>
      <c r="G299" s="90">
        <v>291</v>
      </c>
      <c r="H299" s="90">
        <f t="shared" ca="1" si="9"/>
        <v>-3.0616023123817811E-3</v>
      </c>
    </row>
    <row r="300" spans="2:8" x14ac:dyDescent="0.3">
      <c r="B300" s="58">
        <f>'DATA HISTORICAL'!$B945</f>
        <v>45477</v>
      </c>
      <c r="C300" s="60">
        <f>'DATA HISTORICAL'!$C945</f>
        <v>11760.05</v>
      </c>
      <c r="D300" s="53">
        <f t="shared" si="8"/>
        <v>-9.4829154080202632E-3</v>
      </c>
      <c r="E300" s="53">
        <v>3.3174392239911053E-2</v>
      </c>
      <c r="G300" s="90">
        <v>292</v>
      </c>
      <c r="H300" s="90">
        <f t="shared" ca="1" si="9"/>
        <v>1.1884549612041766E-2</v>
      </c>
    </row>
    <row r="301" spans="2:8" x14ac:dyDescent="0.3">
      <c r="B301" s="58">
        <f>'DATA HISTORICAL'!$B946</f>
        <v>45476</v>
      </c>
      <c r="C301" s="60">
        <f>'DATA HISTORICAL'!$C946</f>
        <v>11872.1</v>
      </c>
      <c r="D301" s="53">
        <f t="shared" si="8"/>
        <v>1.529964198882152E-3</v>
      </c>
      <c r="E301" s="53">
        <v>3.3077646384839787E-2</v>
      </c>
      <c r="G301" s="90">
        <v>293</v>
      </c>
      <c r="H301" s="90">
        <f t="shared" ca="1" si="9"/>
        <v>5.8558875175167028E-3</v>
      </c>
    </row>
    <row r="302" spans="2:8" x14ac:dyDescent="0.3">
      <c r="B302" s="58">
        <f>'DATA HISTORICAL'!$B947</f>
        <v>45475</v>
      </c>
      <c r="C302" s="60">
        <f>'DATA HISTORICAL'!$C947</f>
        <v>11853.95</v>
      </c>
      <c r="D302" s="53">
        <f t="shared" si="8"/>
        <v>-4.2679347233824634E-3</v>
      </c>
      <c r="E302" s="53">
        <v>3.3009294680525381E-2</v>
      </c>
      <c r="G302" s="90">
        <v>294</v>
      </c>
      <c r="H302" s="90">
        <f t="shared" ca="1" si="9"/>
        <v>-2.363030500311734E-2</v>
      </c>
    </row>
    <row r="303" spans="2:8" x14ac:dyDescent="0.3">
      <c r="B303" s="58">
        <f>'DATA HISTORICAL'!$B948</f>
        <v>45474</v>
      </c>
      <c r="C303" s="60">
        <f>'DATA HISTORICAL'!$C948</f>
        <v>11904.65</v>
      </c>
      <c r="D303" s="53">
        <f t="shared" si="8"/>
        <v>2.0087598574986196E-2</v>
      </c>
      <c r="E303" s="53">
        <v>3.3006468181358578E-2</v>
      </c>
      <c r="G303" s="90">
        <v>295</v>
      </c>
      <c r="H303" s="90">
        <f t="shared" ca="1" si="9"/>
        <v>-7.5018243562418969E-3</v>
      </c>
    </row>
    <row r="304" spans="2:8" x14ac:dyDescent="0.3">
      <c r="B304" s="58">
        <f>'DATA HISTORICAL'!$B949</f>
        <v>45471</v>
      </c>
      <c r="C304" s="60">
        <f>'DATA HISTORICAL'!$C949</f>
        <v>11667.9</v>
      </c>
      <c r="D304" s="53">
        <f t="shared" si="8"/>
        <v>-4.1736930150739022E-3</v>
      </c>
      <c r="E304" s="53">
        <v>3.297343821047611E-2</v>
      </c>
      <c r="G304" s="90">
        <v>296</v>
      </c>
      <c r="H304" s="90">
        <f t="shared" ca="1" si="9"/>
        <v>-2.3063153709311007E-3</v>
      </c>
    </row>
    <row r="305" spans="2:8" x14ac:dyDescent="0.3">
      <c r="B305" s="58">
        <f>'DATA HISTORICAL'!$B950</f>
        <v>45470</v>
      </c>
      <c r="C305" s="60">
        <f>'DATA HISTORICAL'!$C950</f>
        <v>11716.7</v>
      </c>
      <c r="D305" s="53">
        <f t="shared" si="8"/>
        <v>5.0194702266162308E-2</v>
      </c>
      <c r="E305" s="53">
        <v>3.2876492174412138E-2</v>
      </c>
      <c r="G305" s="90">
        <v>297</v>
      </c>
      <c r="H305" s="90">
        <f t="shared" ca="1" si="9"/>
        <v>2.9410885400587672E-2</v>
      </c>
    </row>
    <row r="306" spans="2:8" x14ac:dyDescent="0.3">
      <c r="B306" s="58">
        <f>'DATA HISTORICAL'!$B951</f>
        <v>45469</v>
      </c>
      <c r="C306" s="60">
        <f>'DATA HISTORICAL'!$C951</f>
        <v>11143.1</v>
      </c>
      <c r="D306" s="53">
        <f t="shared" si="8"/>
        <v>2.7005684041841792E-2</v>
      </c>
      <c r="E306" s="53">
        <v>3.2862743017992808E-2</v>
      </c>
      <c r="G306" s="90">
        <v>298</v>
      </c>
      <c r="H306" s="90">
        <f t="shared" ca="1" si="9"/>
        <v>1.0860885787007909E-2</v>
      </c>
    </row>
    <row r="307" spans="2:8" x14ac:dyDescent="0.3">
      <c r="B307" s="58">
        <f>'DATA HISTORICAL'!$B952</f>
        <v>45468</v>
      </c>
      <c r="C307" s="60">
        <f>'DATA HISTORICAL'!$C952</f>
        <v>10846.2</v>
      </c>
      <c r="D307" s="53">
        <f t="shared" si="8"/>
        <v>5.565791311691359E-3</v>
      </c>
      <c r="E307" s="53">
        <v>3.2845649962762645E-2</v>
      </c>
      <c r="G307" s="90">
        <v>299</v>
      </c>
      <c r="H307" s="90">
        <f t="shared" ca="1" si="9"/>
        <v>9.0019328729512987E-3</v>
      </c>
    </row>
    <row r="308" spans="2:8" x14ac:dyDescent="0.3">
      <c r="B308" s="58">
        <f>'DATA HISTORICAL'!$B953</f>
        <v>45467</v>
      </c>
      <c r="C308" s="60">
        <f>'DATA HISTORICAL'!$C953</f>
        <v>10786</v>
      </c>
      <c r="D308" s="53">
        <f t="shared" si="8"/>
        <v>1.1525462804758283E-2</v>
      </c>
      <c r="E308" s="53">
        <v>3.2779011086338523E-2</v>
      </c>
      <c r="G308" s="90">
        <v>300</v>
      </c>
      <c r="H308" s="90">
        <f t="shared" ca="1" si="9"/>
        <v>1.2794796394318568E-2</v>
      </c>
    </row>
    <row r="309" spans="2:8" x14ac:dyDescent="0.3">
      <c r="B309" s="58">
        <f>'DATA HISTORICAL'!$B954</f>
        <v>45464</v>
      </c>
      <c r="C309" s="60">
        <f>'DATA HISTORICAL'!$C954</f>
        <v>10662.4</v>
      </c>
      <c r="D309" s="53">
        <f t="shared" si="8"/>
        <v>-2.2332790020889216E-2</v>
      </c>
      <c r="E309" s="53">
        <v>3.2772002801099036E-2</v>
      </c>
      <c r="G309" s="90">
        <v>301</v>
      </c>
      <c r="H309" s="90">
        <f t="shared" ca="1" si="9"/>
        <v>1.7634552294879008E-2</v>
      </c>
    </row>
    <row r="310" spans="2:8" x14ac:dyDescent="0.3">
      <c r="B310" s="58">
        <f>'DATA HISTORICAL'!$B955</f>
        <v>45463</v>
      </c>
      <c r="C310" s="60">
        <f>'DATA HISTORICAL'!$C955</f>
        <v>10903.2</v>
      </c>
      <c r="D310" s="53">
        <f t="shared" si="8"/>
        <v>-8.4343213620707604E-3</v>
      </c>
      <c r="E310" s="53">
        <v>3.2637748389175145E-2</v>
      </c>
      <c r="G310" s="90">
        <v>302</v>
      </c>
      <c r="H310" s="90">
        <f t="shared" ca="1" si="9"/>
        <v>3.8590284052413402E-2</v>
      </c>
    </row>
    <row r="311" spans="2:8" x14ac:dyDescent="0.3">
      <c r="B311" s="58">
        <f>'DATA HISTORICAL'!$B956</f>
        <v>45462</v>
      </c>
      <c r="C311" s="60">
        <f>'DATA HISTORICAL'!$C956</f>
        <v>10995.55</v>
      </c>
      <c r="D311" s="53">
        <f t="shared" si="8"/>
        <v>-1.116920802503134E-2</v>
      </c>
      <c r="E311" s="53">
        <v>3.2618731468547185E-2</v>
      </c>
      <c r="G311" s="90">
        <v>303</v>
      </c>
      <c r="H311" s="90">
        <f t="shared" ca="1" si="9"/>
        <v>-1.0376647256907262E-2</v>
      </c>
    </row>
    <row r="312" spans="2:8" x14ac:dyDescent="0.3">
      <c r="B312" s="58">
        <f>'DATA HISTORICAL'!$B957</f>
        <v>45461</v>
      </c>
      <c r="C312" s="60">
        <f>'DATA HISTORICAL'!$C957</f>
        <v>11119.05</v>
      </c>
      <c r="D312" s="53">
        <f t="shared" si="8"/>
        <v>-1.106807024473746E-2</v>
      </c>
      <c r="E312" s="53">
        <v>3.259626932113515E-2</v>
      </c>
      <c r="G312" s="90">
        <v>304</v>
      </c>
      <c r="H312" s="90">
        <f t="shared" ca="1" si="9"/>
        <v>-2.2087439404802279E-2</v>
      </c>
    </row>
    <row r="313" spans="2:8" x14ac:dyDescent="0.3">
      <c r="B313" s="58">
        <f>'DATA HISTORICAL'!$B958</f>
        <v>45457</v>
      </c>
      <c r="C313" s="60">
        <f>'DATA HISTORICAL'!$C958</f>
        <v>11242.8</v>
      </c>
      <c r="D313" s="53">
        <f t="shared" si="8"/>
        <v>6.1561715796277366E-3</v>
      </c>
      <c r="E313" s="53">
        <v>3.252522929708606E-2</v>
      </c>
      <c r="G313" s="90">
        <v>305</v>
      </c>
      <c r="H313" s="90">
        <f t="shared" ca="1" si="9"/>
        <v>3.0659593171787325E-3</v>
      </c>
    </row>
    <row r="314" spans="2:8" x14ac:dyDescent="0.3">
      <c r="B314" s="58">
        <f>'DATA HISTORICAL'!$B959</f>
        <v>45456</v>
      </c>
      <c r="C314" s="60">
        <f>'DATA HISTORICAL'!$C959</f>
        <v>11173.8</v>
      </c>
      <c r="D314" s="53">
        <f t="shared" si="8"/>
        <v>1.1612023216304019E-2</v>
      </c>
      <c r="E314" s="53">
        <v>3.2398336536630434E-2</v>
      </c>
      <c r="G314" s="90">
        <v>306</v>
      </c>
      <c r="H314" s="90">
        <f t="shared" ca="1" si="9"/>
        <v>2.161158419968123E-2</v>
      </c>
    </row>
    <row r="315" spans="2:8" x14ac:dyDescent="0.3">
      <c r="B315" s="58">
        <f>'DATA HISTORICAL'!$B960</f>
        <v>45455</v>
      </c>
      <c r="C315" s="60">
        <f>'DATA HISTORICAL'!$C960</f>
        <v>11044.8</v>
      </c>
      <c r="D315" s="53">
        <f t="shared" si="8"/>
        <v>1.0123685368270609E-2</v>
      </c>
      <c r="E315" s="53">
        <v>3.2285663497968659E-2</v>
      </c>
      <c r="G315" s="90">
        <v>307</v>
      </c>
      <c r="H315" s="90">
        <f t="shared" ca="1" si="9"/>
        <v>4.0357130734061256E-3</v>
      </c>
    </row>
    <row r="316" spans="2:8" x14ac:dyDescent="0.3">
      <c r="B316" s="58">
        <f>'DATA HISTORICAL'!$B961</f>
        <v>45454</v>
      </c>
      <c r="C316" s="60">
        <f>'DATA HISTORICAL'!$C961</f>
        <v>10933.55</v>
      </c>
      <c r="D316" s="53">
        <f t="shared" si="8"/>
        <v>9.8623029356859227E-3</v>
      </c>
      <c r="E316" s="53">
        <v>3.2285247588181486E-2</v>
      </c>
      <c r="G316" s="90">
        <v>308</v>
      </c>
      <c r="H316" s="90">
        <f t="shared" ca="1" si="9"/>
        <v>4.0885905717042904E-2</v>
      </c>
    </row>
    <row r="317" spans="2:8" x14ac:dyDescent="0.3">
      <c r="B317" s="58">
        <f>'DATA HISTORICAL'!$B962</f>
        <v>45453</v>
      </c>
      <c r="C317" s="60">
        <f>'DATA HISTORICAL'!$C962</f>
        <v>10826.25</v>
      </c>
      <c r="D317" s="53">
        <f t="shared" si="8"/>
        <v>3.411418013453197E-2</v>
      </c>
      <c r="E317" s="53">
        <v>3.2282157658578121E-2</v>
      </c>
      <c r="G317" s="90">
        <v>309</v>
      </c>
      <c r="H317" s="90">
        <f t="shared" ca="1" si="9"/>
        <v>2.2041035700190215E-2</v>
      </c>
    </row>
    <row r="318" spans="2:8" x14ac:dyDescent="0.3">
      <c r="B318" s="58">
        <f>'DATA HISTORICAL'!$B963</f>
        <v>45450</v>
      </c>
      <c r="C318" s="60">
        <f>'DATA HISTORICAL'!$C963</f>
        <v>10463.15</v>
      </c>
      <c r="D318" s="53">
        <f t="shared" si="8"/>
        <v>3.9794509966756507E-2</v>
      </c>
      <c r="E318" s="53">
        <v>3.2270353857000313E-2</v>
      </c>
      <c r="G318" s="90">
        <v>310</v>
      </c>
      <c r="H318" s="90">
        <f t="shared" ca="1" si="9"/>
        <v>-1.2250987523607114E-2</v>
      </c>
    </row>
    <row r="319" spans="2:8" x14ac:dyDescent="0.3">
      <c r="B319" s="58">
        <f>'DATA HISTORICAL'!$B964</f>
        <v>45449</v>
      </c>
      <c r="C319" s="60">
        <f>'DATA HISTORICAL'!$C964</f>
        <v>10054.950000000001</v>
      </c>
      <c r="D319" s="53">
        <f t="shared" si="8"/>
        <v>1.677197234855686E-3</v>
      </c>
      <c r="E319" s="53">
        <v>3.2266782048914359E-2</v>
      </c>
      <c r="G319" s="90">
        <v>311</v>
      </c>
      <c r="H319" s="90">
        <f t="shared" ca="1" si="9"/>
        <v>1.5607499043740352E-2</v>
      </c>
    </row>
    <row r="320" spans="2:8" x14ac:dyDescent="0.3">
      <c r="B320" s="58">
        <f>'DATA HISTORICAL'!$B965</f>
        <v>45448</v>
      </c>
      <c r="C320" s="60">
        <f>'DATA HISTORICAL'!$C965</f>
        <v>10038.1</v>
      </c>
      <c r="D320" s="53">
        <f t="shared" si="8"/>
        <v>1.2006317683616237E-2</v>
      </c>
      <c r="E320" s="53">
        <v>3.2211110974430218E-2</v>
      </c>
      <c r="G320" s="90">
        <v>312</v>
      </c>
      <c r="H320" s="90">
        <f t="shared" ca="1" si="9"/>
        <v>-1.1663814914368045E-2</v>
      </c>
    </row>
    <row r="321" spans="2:8" x14ac:dyDescent="0.3">
      <c r="B321" s="58">
        <f>'DATA HISTORICAL'!$B966</f>
        <v>45447</v>
      </c>
      <c r="C321" s="60">
        <f>'DATA HISTORICAL'!$C966</f>
        <v>9918.2999999999993</v>
      </c>
      <c r="D321" s="53">
        <f t="shared" si="8"/>
        <v>-5.4137264776873327E-2</v>
      </c>
      <c r="E321" s="53">
        <v>3.2197903306760187E-2</v>
      </c>
      <c r="G321" s="90">
        <v>313</v>
      </c>
      <c r="H321" s="90">
        <f t="shared" ca="1" si="9"/>
        <v>7.1409312930099935E-3</v>
      </c>
    </row>
    <row r="322" spans="2:8" x14ac:dyDescent="0.3">
      <c r="B322" s="58">
        <f>'DATA HISTORICAL'!$B967</f>
        <v>45446</v>
      </c>
      <c r="C322" s="60">
        <f>'DATA HISTORICAL'!$C967</f>
        <v>10470.049999999999</v>
      </c>
      <c r="D322" s="53">
        <f t="shared" si="8"/>
        <v>5.4419611076483174E-2</v>
      </c>
      <c r="E322" s="53">
        <v>3.2147809807187296E-2</v>
      </c>
      <c r="G322" s="90">
        <v>314</v>
      </c>
      <c r="H322" s="90">
        <f t="shared" ca="1" si="9"/>
        <v>2.2450386654694955E-3</v>
      </c>
    </row>
    <row r="323" spans="2:8" x14ac:dyDescent="0.3">
      <c r="B323" s="58">
        <f>'DATA HISTORICAL'!$B968</f>
        <v>45443</v>
      </c>
      <c r="C323" s="60">
        <f>'DATA HISTORICAL'!$C968</f>
        <v>9915.5</v>
      </c>
      <c r="D323" s="53">
        <f t="shared" si="8"/>
        <v>4.7158573777038425E-3</v>
      </c>
      <c r="E323" s="53">
        <v>3.2103577338536561E-2</v>
      </c>
      <c r="G323" s="90">
        <v>315</v>
      </c>
      <c r="H323" s="90">
        <f t="shared" ca="1" si="9"/>
        <v>-9.5767752090285888E-3</v>
      </c>
    </row>
    <row r="324" spans="2:8" x14ac:dyDescent="0.3">
      <c r="B324" s="58">
        <f>'DATA HISTORICAL'!$B969</f>
        <v>45442</v>
      </c>
      <c r="C324" s="60">
        <f>'DATA HISTORICAL'!$C969</f>
        <v>9868.85</v>
      </c>
      <c r="D324" s="53">
        <f t="shared" si="8"/>
        <v>-1.5539027491488569E-2</v>
      </c>
      <c r="E324" s="53">
        <v>3.203054198150028E-2</v>
      </c>
      <c r="G324" s="90">
        <v>316</v>
      </c>
      <c r="H324" s="90">
        <f t="shared" ca="1" si="9"/>
        <v>3.9995294950521433E-2</v>
      </c>
    </row>
    <row r="325" spans="2:8" x14ac:dyDescent="0.3">
      <c r="B325" s="58">
        <f>'DATA HISTORICAL'!$B970</f>
        <v>45441</v>
      </c>
      <c r="C325" s="60">
        <f>'DATA HISTORICAL'!$C970</f>
        <v>10023.4</v>
      </c>
      <c r="D325" s="53">
        <f t="shared" si="8"/>
        <v>-1.5394590816658183E-2</v>
      </c>
      <c r="E325" s="53">
        <v>3.1974114976198821E-2</v>
      </c>
      <c r="G325" s="90">
        <v>317</v>
      </c>
      <c r="H325" s="90">
        <f t="shared" ca="1" si="9"/>
        <v>4.0908292713805186E-3</v>
      </c>
    </row>
    <row r="326" spans="2:8" x14ac:dyDescent="0.3">
      <c r="B326" s="58">
        <f>'DATA HISTORICAL'!$B971</f>
        <v>45440</v>
      </c>
      <c r="C326" s="60">
        <f>'DATA HISTORICAL'!$C971</f>
        <v>10178.9</v>
      </c>
      <c r="D326" s="53">
        <f t="shared" si="8"/>
        <v>-4.5676502146222448E-3</v>
      </c>
      <c r="E326" s="53">
        <v>3.196688598516581E-2</v>
      </c>
      <c r="G326" s="90">
        <v>318</v>
      </c>
      <c r="H326" s="90">
        <f t="shared" ca="1" si="9"/>
        <v>2.1389920086622084E-2</v>
      </c>
    </row>
    <row r="327" spans="2:8" x14ac:dyDescent="0.3">
      <c r="B327" s="58">
        <f>'DATA HISTORICAL'!$B972</f>
        <v>45439</v>
      </c>
      <c r="C327" s="60">
        <f>'DATA HISTORICAL'!$C972</f>
        <v>10225.5</v>
      </c>
      <c r="D327" s="53">
        <f t="shared" si="8"/>
        <v>-5.4750057584226767E-4</v>
      </c>
      <c r="E327" s="53">
        <v>3.1961634738952145E-2</v>
      </c>
      <c r="G327" s="90">
        <v>319</v>
      </c>
      <c r="H327" s="90">
        <f t="shared" ca="1" si="9"/>
        <v>-9.7404016351220878E-4</v>
      </c>
    </row>
    <row r="328" spans="2:8" x14ac:dyDescent="0.3">
      <c r="B328" s="58">
        <f>'DATA HISTORICAL'!$B973</f>
        <v>45436</v>
      </c>
      <c r="C328" s="60">
        <f>'DATA HISTORICAL'!$C973</f>
        <v>10231.1</v>
      </c>
      <c r="D328" s="53">
        <f t="shared" si="8"/>
        <v>5.9358118371890022E-3</v>
      </c>
      <c r="E328" s="53">
        <v>3.1915514700938154E-2</v>
      </c>
      <c r="G328" s="90">
        <v>320</v>
      </c>
      <c r="H328" s="90">
        <f t="shared" ca="1" si="9"/>
        <v>-2.7706058504779797E-2</v>
      </c>
    </row>
    <row r="329" spans="2:8" x14ac:dyDescent="0.3">
      <c r="B329" s="58">
        <f>'DATA HISTORICAL'!$B974</f>
        <v>45435</v>
      </c>
      <c r="C329" s="60">
        <f>'DATA HISTORICAL'!$C974</f>
        <v>10170.549999999999</v>
      </c>
      <c r="D329" s="53">
        <f t="shared" ref="D329:D392" si="10">LN(C329/C330)</f>
        <v>2.748186945913679E-2</v>
      </c>
      <c r="E329" s="53">
        <v>3.1854603224153656E-2</v>
      </c>
      <c r="G329" s="90">
        <v>321</v>
      </c>
      <c r="H329" s="90">
        <f t="shared" ref="H329:H392" ca="1" si="11">_xlfn.NORM.INV(RAND(),N$10,N$11)</f>
        <v>-7.4270730767039541E-3</v>
      </c>
    </row>
    <row r="330" spans="2:8" x14ac:dyDescent="0.3">
      <c r="B330" s="58">
        <f>'DATA HISTORICAL'!$B975</f>
        <v>45434</v>
      </c>
      <c r="C330" s="60">
        <f>'DATA HISTORICAL'!$C975</f>
        <v>9894.85</v>
      </c>
      <c r="D330" s="53">
        <f t="shared" si="10"/>
        <v>1.0714252131615908E-2</v>
      </c>
      <c r="E330" s="53">
        <v>3.182545860956694E-2</v>
      </c>
      <c r="G330" s="90">
        <v>322</v>
      </c>
      <c r="H330" s="90">
        <f t="shared" ca="1" si="11"/>
        <v>9.8458831611518399E-3</v>
      </c>
    </row>
    <row r="331" spans="2:8" x14ac:dyDescent="0.3">
      <c r="B331" s="58">
        <f>'DATA HISTORICAL'!$B976</f>
        <v>45433</v>
      </c>
      <c r="C331" s="60">
        <f>'DATA HISTORICAL'!$C976</f>
        <v>9789.4</v>
      </c>
      <c r="D331" s="53">
        <f t="shared" si="10"/>
        <v>-7.7537910729810347E-3</v>
      </c>
      <c r="E331" s="53">
        <v>3.1791746305629413E-2</v>
      </c>
      <c r="G331" s="90">
        <v>323</v>
      </c>
      <c r="H331" s="90">
        <f t="shared" ca="1" si="11"/>
        <v>-1.0378429583133902E-3</v>
      </c>
    </row>
    <row r="332" spans="2:8" x14ac:dyDescent="0.3">
      <c r="B332" s="58">
        <f>'DATA HISTORICAL'!$B977</f>
        <v>45430</v>
      </c>
      <c r="C332" s="60">
        <f>'DATA HISTORICAL'!$C977</f>
        <v>9865.6</v>
      </c>
      <c r="D332" s="53">
        <f t="shared" si="10"/>
        <v>-2.5055755808438517E-3</v>
      </c>
      <c r="E332" s="53">
        <v>3.1715170190550722E-2</v>
      </c>
      <c r="G332" s="90">
        <v>324</v>
      </c>
      <c r="H332" s="90">
        <f t="shared" ca="1" si="11"/>
        <v>4.5851273415466109E-3</v>
      </c>
    </row>
    <row r="333" spans="2:8" x14ac:dyDescent="0.3">
      <c r="B333" s="58">
        <f>'DATA HISTORICAL'!$B978</f>
        <v>45429</v>
      </c>
      <c r="C333" s="60">
        <f>'DATA HISTORICAL'!$C978</f>
        <v>9890.35</v>
      </c>
      <c r="D333" s="53">
        <f t="shared" si="10"/>
        <v>1.8495944233664494E-2</v>
      </c>
      <c r="E333" s="53">
        <v>3.1622717871617641E-2</v>
      </c>
      <c r="G333" s="90">
        <v>325</v>
      </c>
      <c r="H333" s="90">
        <f t="shared" ca="1" si="11"/>
        <v>-3.3323563700015664E-2</v>
      </c>
    </row>
    <row r="334" spans="2:8" x14ac:dyDescent="0.3">
      <c r="B334" s="58">
        <f>'DATA HISTORICAL'!$B979</f>
        <v>45428</v>
      </c>
      <c r="C334" s="60">
        <f>'DATA HISTORICAL'!$C979</f>
        <v>9709.1</v>
      </c>
      <c r="D334" s="53">
        <f t="shared" si="10"/>
        <v>9.832819141384121E-3</v>
      </c>
      <c r="E334" s="53">
        <v>3.1577897329256241E-2</v>
      </c>
      <c r="G334" s="90">
        <v>326</v>
      </c>
      <c r="H334" s="90">
        <f t="shared" ca="1" si="11"/>
        <v>8.5537430283781375E-4</v>
      </c>
    </row>
    <row r="335" spans="2:8" x14ac:dyDescent="0.3">
      <c r="B335" s="58">
        <f>'DATA HISTORICAL'!$B980</f>
        <v>45427</v>
      </c>
      <c r="C335" s="60">
        <f>'DATA HISTORICAL'!$C980</f>
        <v>9614.1</v>
      </c>
      <c r="D335" s="53">
        <f t="shared" si="10"/>
        <v>-4.8301628298947508E-3</v>
      </c>
      <c r="E335" s="53">
        <v>3.1539970645829599E-2</v>
      </c>
      <c r="G335" s="90">
        <v>327</v>
      </c>
      <c r="H335" s="90">
        <f t="shared" ca="1" si="11"/>
        <v>-5.0294076532580749E-3</v>
      </c>
    </row>
    <row r="336" spans="2:8" x14ac:dyDescent="0.3">
      <c r="B336" s="58">
        <f>'DATA HISTORICAL'!$B981</f>
        <v>45426</v>
      </c>
      <c r="C336" s="60">
        <f>'DATA HISTORICAL'!$C981</f>
        <v>9660.65</v>
      </c>
      <c r="D336" s="53">
        <f t="shared" si="10"/>
        <v>1.1362723523814813E-2</v>
      </c>
      <c r="E336" s="53">
        <v>3.1507833529340654E-2</v>
      </c>
      <c r="G336" s="90">
        <v>328</v>
      </c>
      <c r="H336" s="90">
        <f t="shared" ca="1" si="11"/>
        <v>-1.6485591427253015E-2</v>
      </c>
    </row>
    <row r="337" spans="2:8" x14ac:dyDescent="0.3">
      <c r="B337" s="58">
        <f>'DATA HISTORICAL'!$B982</f>
        <v>45425</v>
      </c>
      <c r="C337" s="60">
        <f>'DATA HISTORICAL'!$C982</f>
        <v>9551.5</v>
      </c>
      <c r="D337" s="53">
        <f t="shared" si="10"/>
        <v>6.2804777100974327E-3</v>
      </c>
      <c r="E337" s="53">
        <v>3.1449610530086831E-2</v>
      </c>
      <c r="G337" s="90">
        <v>329</v>
      </c>
      <c r="H337" s="90">
        <f t="shared" ca="1" si="11"/>
        <v>-5.5587238018973539E-4</v>
      </c>
    </row>
    <row r="338" spans="2:8" x14ac:dyDescent="0.3">
      <c r="B338" s="58">
        <f>'DATA HISTORICAL'!$B983</f>
        <v>45422</v>
      </c>
      <c r="C338" s="60">
        <f>'DATA HISTORICAL'!$C983</f>
        <v>9491.7000000000007</v>
      </c>
      <c r="D338" s="53">
        <f t="shared" si="10"/>
        <v>4.8157746019462048E-3</v>
      </c>
      <c r="E338" s="53">
        <v>3.1385799400839957E-2</v>
      </c>
      <c r="G338" s="90">
        <v>330</v>
      </c>
      <c r="H338" s="90">
        <f t="shared" ca="1" si="11"/>
        <v>6.6989869652199141E-3</v>
      </c>
    </row>
    <row r="339" spans="2:8" x14ac:dyDescent="0.3">
      <c r="B339" s="58">
        <f>'DATA HISTORICAL'!$B984</f>
        <v>45421</v>
      </c>
      <c r="C339" s="60">
        <f>'DATA HISTORICAL'!$C984</f>
        <v>9446.1</v>
      </c>
      <c r="D339" s="53">
        <f t="shared" si="10"/>
        <v>-7.729863697492307E-3</v>
      </c>
      <c r="E339" s="53">
        <v>3.1370376168764681E-2</v>
      </c>
      <c r="G339" s="90">
        <v>331</v>
      </c>
      <c r="H339" s="90">
        <f t="shared" ca="1" si="11"/>
        <v>3.5040157382578895E-2</v>
      </c>
    </row>
    <row r="340" spans="2:8" x14ac:dyDescent="0.3">
      <c r="B340" s="58">
        <f>'DATA HISTORICAL'!$B985</f>
        <v>45420</v>
      </c>
      <c r="C340" s="60">
        <f>'DATA HISTORICAL'!$C985</f>
        <v>9519.4</v>
      </c>
      <c r="D340" s="53">
        <f t="shared" si="10"/>
        <v>-1.6977982835239078E-2</v>
      </c>
      <c r="E340" s="53">
        <v>3.1292705237773576E-2</v>
      </c>
      <c r="G340" s="90">
        <v>332</v>
      </c>
      <c r="H340" s="90">
        <f t="shared" ca="1" si="11"/>
        <v>6.4423908598861546E-3</v>
      </c>
    </row>
    <row r="341" spans="2:8" x14ac:dyDescent="0.3">
      <c r="B341" s="58">
        <f>'DATA HISTORICAL'!$B986</f>
        <v>45419</v>
      </c>
      <c r="C341" s="60">
        <f>'DATA HISTORICAL'!$C986</f>
        <v>9682.4</v>
      </c>
      <c r="D341" s="53">
        <f t="shared" si="10"/>
        <v>-9.7126559426449523E-3</v>
      </c>
      <c r="E341" s="53">
        <v>3.127444619046988E-2</v>
      </c>
      <c r="G341" s="90">
        <v>333</v>
      </c>
      <c r="H341" s="90">
        <f t="shared" ca="1" si="11"/>
        <v>-2.1609413033800883E-2</v>
      </c>
    </row>
    <row r="342" spans="2:8" x14ac:dyDescent="0.3">
      <c r="B342" s="58">
        <f>'DATA HISTORICAL'!$B987</f>
        <v>45418</v>
      </c>
      <c r="C342" s="60">
        <f>'DATA HISTORICAL'!$C987</f>
        <v>9776.9</v>
      </c>
      <c r="D342" s="53">
        <f t="shared" si="10"/>
        <v>-4.0218089038775761E-3</v>
      </c>
      <c r="E342" s="53">
        <v>3.1240129028652676E-2</v>
      </c>
      <c r="G342" s="90">
        <v>334</v>
      </c>
      <c r="H342" s="90">
        <f t="shared" ca="1" si="11"/>
        <v>1.5958019577656793E-3</v>
      </c>
    </row>
    <row r="343" spans="2:8" x14ac:dyDescent="0.3">
      <c r="B343" s="58">
        <f>'DATA HISTORICAL'!$B988</f>
        <v>45415</v>
      </c>
      <c r="C343" s="60">
        <f>'DATA HISTORICAL'!$C988</f>
        <v>9816.2999999999993</v>
      </c>
      <c r="D343" s="53">
        <f t="shared" si="10"/>
        <v>-1.6884452679859396E-2</v>
      </c>
      <c r="E343" s="53">
        <v>3.1060391740337132E-2</v>
      </c>
      <c r="G343" s="90">
        <v>335</v>
      </c>
      <c r="H343" s="90">
        <f t="shared" ca="1" si="11"/>
        <v>1.1554874109777893E-3</v>
      </c>
    </row>
    <row r="344" spans="2:8" x14ac:dyDescent="0.3">
      <c r="B344" s="58">
        <f>'DATA HISTORICAL'!$B989</f>
        <v>45414</v>
      </c>
      <c r="C344" s="60">
        <f>'DATA HISTORICAL'!$C989</f>
        <v>9983.4500000000007</v>
      </c>
      <c r="D344" s="53">
        <f t="shared" si="10"/>
        <v>1.1625985383914574E-3</v>
      </c>
      <c r="E344" s="53">
        <v>3.096249045043192E-2</v>
      </c>
      <c r="G344" s="90">
        <v>336</v>
      </c>
      <c r="H344" s="90">
        <f t="shared" ca="1" si="11"/>
        <v>2.5241648018099062E-2</v>
      </c>
    </row>
    <row r="345" spans="2:8" x14ac:dyDescent="0.3">
      <c r="B345" s="58">
        <f>'DATA HISTORICAL'!$B990</f>
        <v>45412</v>
      </c>
      <c r="C345" s="60">
        <f>'DATA HISTORICAL'!$C990</f>
        <v>9971.85</v>
      </c>
      <c r="D345" s="53">
        <f t="shared" si="10"/>
        <v>7.4236446480519978E-4</v>
      </c>
      <c r="E345" s="53">
        <v>3.0923341703625675E-2</v>
      </c>
      <c r="G345" s="90">
        <v>337</v>
      </c>
      <c r="H345" s="90">
        <f t="shared" ca="1" si="11"/>
        <v>1.907858770290231E-2</v>
      </c>
    </row>
    <row r="346" spans="2:8" x14ac:dyDescent="0.3">
      <c r="B346" s="58">
        <f>'DATA HISTORICAL'!$B991</f>
        <v>45411</v>
      </c>
      <c r="C346" s="60">
        <f>'DATA HISTORICAL'!$C991</f>
        <v>9964.4500000000007</v>
      </c>
      <c r="D346" s="53">
        <f t="shared" si="10"/>
        <v>2.6805094255073769E-2</v>
      </c>
      <c r="E346" s="53">
        <v>3.0874556716926561E-2</v>
      </c>
      <c r="G346" s="90">
        <v>338</v>
      </c>
      <c r="H346" s="90">
        <f t="shared" ca="1" si="11"/>
        <v>-9.8555423728670863E-3</v>
      </c>
    </row>
    <row r="347" spans="2:8" x14ac:dyDescent="0.3">
      <c r="B347" s="58">
        <f>'DATA HISTORICAL'!$B992</f>
        <v>45408</v>
      </c>
      <c r="C347" s="60">
        <f>'DATA HISTORICAL'!$C992</f>
        <v>9700.9</v>
      </c>
      <c r="D347" s="53">
        <f t="shared" si="10"/>
        <v>1.7694417463934005E-3</v>
      </c>
      <c r="E347" s="53">
        <v>3.081583869317648E-2</v>
      </c>
      <c r="G347" s="90">
        <v>339</v>
      </c>
      <c r="H347" s="90">
        <f t="shared" ca="1" si="11"/>
        <v>-1.7948414749940425E-3</v>
      </c>
    </row>
    <row r="348" spans="2:8" x14ac:dyDescent="0.3">
      <c r="B348" s="58">
        <f>'DATA HISTORICAL'!$B993</f>
        <v>45407</v>
      </c>
      <c r="C348" s="60">
        <f>'DATA HISTORICAL'!$C993</f>
        <v>9683.75</v>
      </c>
      <c r="D348" s="53">
        <f t="shared" si="10"/>
        <v>2.5746294453263146E-3</v>
      </c>
      <c r="E348" s="53">
        <v>3.0801551424078293E-2</v>
      </c>
      <c r="G348" s="90">
        <v>340</v>
      </c>
      <c r="H348" s="90">
        <f t="shared" ca="1" si="11"/>
        <v>-9.4203499231980854E-3</v>
      </c>
    </row>
    <row r="349" spans="2:8" x14ac:dyDescent="0.3">
      <c r="B349" s="58">
        <f>'DATA HISTORICAL'!$B994</f>
        <v>45406</v>
      </c>
      <c r="C349" s="60">
        <f>'DATA HISTORICAL'!$C994</f>
        <v>9658.85</v>
      </c>
      <c r="D349" s="53">
        <f t="shared" si="10"/>
        <v>1.3057437346484884E-2</v>
      </c>
      <c r="E349" s="53">
        <v>3.0799341915028658E-2</v>
      </c>
      <c r="G349" s="90">
        <v>341</v>
      </c>
      <c r="H349" s="90">
        <f t="shared" ca="1" si="11"/>
        <v>-1.2858147665298688E-3</v>
      </c>
    </row>
    <row r="350" spans="2:8" x14ac:dyDescent="0.3">
      <c r="B350" s="58">
        <f>'DATA HISTORICAL'!$B995</f>
        <v>45405</v>
      </c>
      <c r="C350" s="60">
        <f>'DATA HISTORICAL'!$C995</f>
        <v>9533.5499999999993</v>
      </c>
      <c r="D350" s="53">
        <f t="shared" si="10"/>
        <v>-3.3195833361461418E-3</v>
      </c>
      <c r="E350" s="53">
        <v>3.0749778983133039E-2</v>
      </c>
      <c r="G350" s="90">
        <v>342</v>
      </c>
      <c r="H350" s="90">
        <f t="shared" ca="1" si="11"/>
        <v>1.5532721336906974E-2</v>
      </c>
    </row>
    <row r="351" spans="2:8" x14ac:dyDescent="0.3">
      <c r="B351" s="58">
        <f>'DATA HISTORICAL'!$B996</f>
        <v>45404</v>
      </c>
      <c r="C351" s="60">
        <f>'DATA HISTORICAL'!$C996</f>
        <v>9565.25</v>
      </c>
      <c r="D351" s="53">
        <f t="shared" si="10"/>
        <v>2.1269529492363503E-2</v>
      </c>
      <c r="E351" s="53">
        <v>3.0741593696350482E-2</v>
      </c>
      <c r="G351" s="90">
        <v>343</v>
      </c>
      <c r="H351" s="90">
        <f t="shared" ca="1" si="11"/>
        <v>2.569395013712443E-2</v>
      </c>
    </row>
    <row r="352" spans="2:8" x14ac:dyDescent="0.3">
      <c r="B352" s="58">
        <f>'DATA HISTORICAL'!$B997</f>
        <v>45401</v>
      </c>
      <c r="C352" s="60">
        <f>'DATA HISTORICAL'!$C997</f>
        <v>9363.9500000000007</v>
      </c>
      <c r="D352" s="53">
        <f t="shared" si="10"/>
        <v>-2.0056870064977059E-3</v>
      </c>
      <c r="E352" s="53">
        <v>3.0716762290733109E-2</v>
      </c>
      <c r="G352" s="90">
        <v>344</v>
      </c>
      <c r="H352" s="90">
        <f t="shared" ca="1" si="11"/>
        <v>-5.4003662281281234E-3</v>
      </c>
    </row>
    <row r="353" spans="2:8" x14ac:dyDescent="0.3">
      <c r="B353" s="58">
        <f>'DATA HISTORICAL'!$B998</f>
        <v>45400</v>
      </c>
      <c r="C353" s="60">
        <f>'DATA HISTORICAL'!$C998</f>
        <v>9382.75</v>
      </c>
      <c r="D353" s="53">
        <f t="shared" si="10"/>
        <v>-8.6010967169020854E-3</v>
      </c>
      <c r="E353" s="53">
        <v>3.070680752326637E-2</v>
      </c>
      <c r="G353" s="90">
        <v>345</v>
      </c>
      <c r="H353" s="90">
        <f t="shared" ca="1" si="11"/>
        <v>-1.7366455460179252E-2</v>
      </c>
    </row>
    <row r="354" spans="2:8" x14ac:dyDescent="0.3">
      <c r="B354" s="58">
        <f>'DATA HISTORICAL'!$B999</f>
        <v>45398</v>
      </c>
      <c r="C354" s="60">
        <f>'DATA HISTORICAL'!$C999</f>
        <v>9463.7999999999993</v>
      </c>
      <c r="D354" s="53">
        <f t="shared" si="10"/>
        <v>-4.4754832861196902E-3</v>
      </c>
      <c r="E354" s="53">
        <v>3.0679483908614281E-2</v>
      </c>
      <c r="G354" s="90">
        <v>346</v>
      </c>
      <c r="H354" s="90">
        <f t="shared" ca="1" si="11"/>
        <v>8.5092922526967402E-3</v>
      </c>
    </row>
    <row r="355" spans="2:8" x14ac:dyDescent="0.3">
      <c r="B355" s="58">
        <f>'DATA HISTORICAL'!$B1000</f>
        <v>45397</v>
      </c>
      <c r="C355" s="60">
        <f>'DATA HISTORICAL'!$C1000</f>
        <v>9506.25</v>
      </c>
      <c r="D355" s="53">
        <f t="shared" si="10"/>
        <v>-1.5272652122552239E-2</v>
      </c>
      <c r="E355" s="53">
        <v>3.0562650410166668E-2</v>
      </c>
      <c r="G355" s="90">
        <v>347</v>
      </c>
      <c r="H355" s="90">
        <f t="shared" ca="1" si="11"/>
        <v>2.6602638341599049E-2</v>
      </c>
    </row>
    <row r="356" spans="2:8" x14ac:dyDescent="0.3">
      <c r="B356" s="58">
        <f>'DATA HISTORICAL'!$B1001</f>
        <v>45394</v>
      </c>
      <c r="C356" s="60">
        <f>'DATA HISTORICAL'!$C1001</f>
        <v>9652.5499999999993</v>
      </c>
      <c r="D356" s="53">
        <f t="shared" si="10"/>
        <v>-1.6980028310427039E-2</v>
      </c>
      <c r="E356" s="53">
        <v>3.0536723860081702E-2</v>
      </c>
      <c r="G356" s="90">
        <v>348</v>
      </c>
      <c r="H356" s="90">
        <f t="shared" ca="1" si="11"/>
        <v>-1.2758016700606608E-2</v>
      </c>
    </row>
    <row r="357" spans="2:8" x14ac:dyDescent="0.3">
      <c r="B357" s="58">
        <f>'DATA HISTORICAL'!$B1002</f>
        <v>45392</v>
      </c>
      <c r="C357" s="60">
        <f>'DATA HISTORICAL'!$C1002</f>
        <v>9817.85</v>
      </c>
      <c r="D357" s="53">
        <f t="shared" si="10"/>
        <v>4.9726962121038861E-3</v>
      </c>
      <c r="E357" s="53">
        <v>3.0476480851404312E-2</v>
      </c>
      <c r="G357" s="90">
        <v>349</v>
      </c>
      <c r="H357" s="90">
        <f t="shared" ca="1" si="11"/>
        <v>7.7472878826080538E-3</v>
      </c>
    </row>
    <row r="358" spans="2:8" x14ac:dyDescent="0.3">
      <c r="B358" s="58">
        <f>'DATA HISTORICAL'!$B1003</f>
        <v>45391</v>
      </c>
      <c r="C358" s="60">
        <f>'DATA HISTORICAL'!$C1003</f>
        <v>9769.15</v>
      </c>
      <c r="D358" s="53">
        <f t="shared" si="10"/>
        <v>-9.6369596067663772E-3</v>
      </c>
      <c r="E358" s="53">
        <v>3.042355011364066E-2</v>
      </c>
      <c r="G358" s="90">
        <v>350</v>
      </c>
      <c r="H358" s="90">
        <f t="shared" ca="1" si="11"/>
        <v>1.645164964608976E-2</v>
      </c>
    </row>
    <row r="359" spans="2:8" x14ac:dyDescent="0.3">
      <c r="B359" s="58">
        <f>'DATA HISTORICAL'!$B1004</f>
        <v>45390</v>
      </c>
      <c r="C359" s="60">
        <f>'DATA HISTORICAL'!$C1004</f>
        <v>9863.75</v>
      </c>
      <c r="D359" s="53">
        <f t="shared" si="10"/>
        <v>4.0787668896427112E-3</v>
      </c>
      <c r="E359" s="53">
        <v>3.0329701641628612E-2</v>
      </c>
      <c r="G359" s="90">
        <v>351</v>
      </c>
      <c r="H359" s="90">
        <f t="shared" ca="1" si="11"/>
        <v>2.4915444587145948E-2</v>
      </c>
    </row>
    <row r="360" spans="2:8" x14ac:dyDescent="0.3">
      <c r="B360" s="58">
        <f>'DATA HISTORICAL'!$B1005</f>
        <v>45387</v>
      </c>
      <c r="C360" s="60">
        <f>'DATA HISTORICAL'!$C1005</f>
        <v>9823.6</v>
      </c>
      <c r="D360" s="53">
        <f t="shared" si="10"/>
        <v>-1.8307309024780741E-2</v>
      </c>
      <c r="E360" s="53">
        <v>3.0288048694962998E-2</v>
      </c>
      <c r="G360" s="90">
        <v>352</v>
      </c>
      <c r="H360" s="90">
        <f t="shared" ca="1" si="11"/>
        <v>2.0609594733560568E-2</v>
      </c>
    </row>
    <row r="361" spans="2:8" x14ac:dyDescent="0.3">
      <c r="B361" s="58">
        <f>'DATA HISTORICAL'!$B1006</f>
        <v>45386</v>
      </c>
      <c r="C361" s="60">
        <f>'DATA HISTORICAL'!$C1006</f>
        <v>10005.1</v>
      </c>
      <c r="D361" s="53">
        <f t="shared" si="10"/>
        <v>3.1988804191410527E-4</v>
      </c>
      <c r="E361" s="53">
        <v>3.0271634277553711E-2</v>
      </c>
      <c r="G361" s="90">
        <v>353</v>
      </c>
      <c r="H361" s="90">
        <f t="shared" ca="1" si="11"/>
        <v>1.4002711015829505E-2</v>
      </c>
    </row>
    <row r="362" spans="2:8" x14ac:dyDescent="0.3">
      <c r="B362" s="58">
        <f>'DATA HISTORICAL'!$B1007</f>
        <v>45385</v>
      </c>
      <c r="C362" s="60">
        <f>'DATA HISTORICAL'!$C1007</f>
        <v>10001.9</v>
      </c>
      <c r="D362" s="53">
        <f t="shared" si="10"/>
        <v>-3.617759390541569E-3</v>
      </c>
      <c r="E362" s="53">
        <v>3.0169463717176128E-2</v>
      </c>
      <c r="G362" s="90">
        <v>354</v>
      </c>
      <c r="H362" s="90">
        <f t="shared" ca="1" si="11"/>
        <v>1.8380167099375067E-2</v>
      </c>
    </row>
    <row r="363" spans="2:8" x14ac:dyDescent="0.3">
      <c r="B363" s="58">
        <f>'DATA HISTORICAL'!$B1008</f>
        <v>45384</v>
      </c>
      <c r="C363" s="60">
        <f>'DATA HISTORICAL'!$C1008</f>
        <v>10038.15</v>
      </c>
      <c r="D363" s="53">
        <f t="shared" si="10"/>
        <v>8.3781698575888641E-3</v>
      </c>
      <c r="E363" s="53">
        <v>3.016385031825055E-2</v>
      </c>
      <c r="G363" s="90">
        <v>355</v>
      </c>
      <c r="H363" s="90">
        <f t="shared" ca="1" si="11"/>
        <v>1.942264218994413E-2</v>
      </c>
    </row>
    <row r="364" spans="2:8" x14ac:dyDescent="0.3">
      <c r="B364" s="58">
        <f>'DATA HISTORICAL'!$B1009</f>
        <v>45383</v>
      </c>
      <c r="C364" s="60">
        <f>'DATA HISTORICAL'!$C1009</f>
        <v>9954.4</v>
      </c>
      <c r="D364" s="53">
        <f t="shared" si="10"/>
        <v>2.0834562757060394E-2</v>
      </c>
      <c r="E364" s="53">
        <v>3.0136984268664103E-2</v>
      </c>
      <c r="G364" s="90">
        <v>356</v>
      </c>
      <c r="H364" s="90">
        <f t="shared" ca="1" si="11"/>
        <v>-4.1243400539757814E-2</v>
      </c>
    </row>
    <row r="365" spans="2:8" x14ac:dyDescent="0.3">
      <c r="B365" s="58">
        <f>'DATA HISTORICAL'!$B1010</f>
        <v>45379</v>
      </c>
      <c r="C365" s="60">
        <f>'DATA HISTORICAL'!$C1010</f>
        <v>9749.15</v>
      </c>
      <c r="D365" s="53">
        <f t="shared" si="10"/>
        <v>1.297727347758071E-2</v>
      </c>
      <c r="E365" s="53">
        <v>3.0132618871726764E-2</v>
      </c>
      <c r="G365" s="90">
        <v>357</v>
      </c>
      <c r="H365" s="90">
        <f t="shared" ca="1" si="11"/>
        <v>3.9139283135894327E-2</v>
      </c>
    </row>
    <row r="366" spans="2:8" x14ac:dyDescent="0.3">
      <c r="B366" s="58">
        <f>'DATA HISTORICAL'!$B1011</f>
        <v>45378</v>
      </c>
      <c r="C366" s="60">
        <f>'DATA HISTORICAL'!$C1011</f>
        <v>9623.4500000000007</v>
      </c>
      <c r="D366" s="53">
        <f t="shared" si="10"/>
        <v>2.3668157624767887E-3</v>
      </c>
      <c r="E366" s="53">
        <v>3.0126419726201972E-2</v>
      </c>
      <c r="G366" s="90">
        <v>358</v>
      </c>
      <c r="H366" s="90">
        <f t="shared" ca="1" si="11"/>
        <v>1.371474318244079E-2</v>
      </c>
    </row>
    <row r="367" spans="2:8" x14ac:dyDescent="0.3">
      <c r="B367" s="58">
        <f>'DATA HISTORICAL'!$B1012</f>
        <v>45377</v>
      </c>
      <c r="C367" s="60">
        <f>'DATA HISTORICAL'!$C1012</f>
        <v>9600.7000000000007</v>
      </c>
      <c r="D367" s="53">
        <f t="shared" si="10"/>
        <v>-8.4066575906250225E-3</v>
      </c>
      <c r="E367" s="53">
        <v>3.0101028243233446E-2</v>
      </c>
      <c r="G367" s="90">
        <v>359</v>
      </c>
      <c r="H367" s="90">
        <f t="shared" ca="1" si="11"/>
        <v>8.0084276999840501E-3</v>
      </c>
    </row>
    <row r="368" spans="2:8" x14ac:dyDescent="0.3">
      <c r="B368" s="58">
        <f>'DATA HISTORICAL'!$B1013</f>
        <v>45373</v>
      </c>
      <c r="C368" s="60">
        <f>'DATA HISTORICAL'!$C1013</f>
        <v>9681.75</v>
      </c>
      <c r="D368" s="53">
        <f t="shared" si="10"/>
        <v>8.4014496505997408E-3</v>
      </c>
      <c r="E368" s="53">
        <v>3.005498251554951E-2</v>
      </c>
      <c r="G368" s="90">
        <v>360</v>
      </c>
      <c r="H368" s="90">
        <f t="shared" ca="1" si="11"/>
        <v>3.4114362213502385E-2</v>
      </c>
    </row>
    <row r="369" spans="2:8" x14ac:dyDescent="0.3">
      <c r="B369" s="58">
        <f>'DATA HISTORICAL'!$B1014</f>
        <v>45372</v>
      </c>
      <c r="C369" s="60">
        <f>'DATA HISTORICAL'!$C1014</f>
        <v>9600.75</v>
      </c>
      <c r="D369" s="53">
        <f t="shared" si="10"/>
        <v>1.2177061492260825E-2</v>
      </c>
      <c r="E369" s="53">
        <v>3.0045611218377951E-2</v>
      </c>
      <c r="G369" s="90">
        <v>361</v>
      </c>
      <c r="H369" s="90">
        <f t="shared" ca="1" si="11"/>
        <v>8.150536290786492E-3</v>
      </c>
    </row>
    <row r="370" spans="2:8" x14ac:dyDescent="0.3">
      <c r="B370" s="58">
        <f>'DATA HISTORICAL'!$B1015</f>
        <v>45371</v>
      </c>
      <c r="C370" s="60">
        <f>'DATA HISTORICAL'!$C1015</f>
        <v>9484.5499999999993</v>
      </c>
      <c r="D370" s="53">
        <f t="shared" si="10"/>
        <v>3.3055612056903387E-3</v>
      </c>
      <c r="E370" s="53">
        <v>2.9968913621990917E-2</v>
      </c>
      <c r="G370" s="90">
        <v>362</v>
      </c>
      <c r="H370" s="90">
        <f t="shared" ca="1" si="11"/>
        <v>7.5084228082032758E-3</v>
      </c>
    </row>
    <row r="371" spans="2:8" x14ac:dyDescent="0.3">
      <c r="B371" s="58">
        <f>'DATA HISTORICAL'!$B1016</f>
        <v>45370</v>
      </c>
      <c r="C371" s="60">
        <f>'DATA HISTORICAL'!$C1016</f>
        <v>9453.25</v>
      </c>
      <c r="D371" s="53">
        <f t="shared" si="10"/>
        <v>-1.6586094059810593E-2</v>
      </c>
      <c r="E371" s="53">
        <v>2.9958049688542668E-2</v>
      </c>
      <c r="G371" s="90">
        <v>363</v>
      </c>
      <c r="H371" s="90">
        <f t="shared" ca="1" si="11"/>
        <v>2.382071826398837E-2</v>
      </c>
    </row>
    <row r="372" spans="2:8" x14ac:dyDescent="0.3">
      <c r="B372" s="58">
        <f>'DATA HISTORICAL'!$B1017</f>
        <v>45369</v>
      </c>
      <c r="C372" s="60">
        <f>'DATA HISTORICAL'!$C1017</f>
        <v>9611.35</v>
      </c>
      <c r="D372" s="53">
        <f t="shared" si="10"/>
        <v>-2.2448214869443804E-3</v>
      </c>
      <c r="E372" s="53">
        <v>2.9852503504568435E-2</v>
      </c>
      <c r="G372" s="90">
        <v>364</v>
      </c>
      <c r="H372" s="90">
        <f t="shared" ca="1" si="11"/>
        <v>-7.5740299202729745E-3</v>
      </c>
    </row>
    <row r="373" spans="2:8" x14ac:dyDescent="0.3">
      <c r="B373" s="58">
        <f>'DATA HISTORICAL'!$B1018</f>
        <v>45366</v>
      </c>
      <c r="C373" s="60">
        <f>'DATA HISTORICAL'!$C1018</f>
        <v>9632.9500000000007</v>
      </c>
      <c r="D373" s="53">
        <f t="shared" si="10"/>
        <v>-6.6218898042335475E-3</v>
      </c>
      <c r="E373" s="53">
        <v>2.9844955636345871E-2</v>
      </c>
      <c r="G373" s="90">
        <v>365</v>
      </c>
      <c r="H373" s="90">
        <f t="shared" ca="1" si="11"/>
        <v>-1.5863669469279622E-2</v>
      </c>
    </row>
    <row r="374" spans="2:8" x14ac:dyDescent="0.3">
      <c r="B374" s="58">
        <f>'DATA HISTORICAL'!$B1019</f>
        <v>45365</v>
      </c>
      <c r="C374" s="60">
        <f>'DATA HISTORICAL'!$C1019</f>
        <v>9696.9500000000007</v>
      </c>
      <c r="D374" s="53">
        <f t="shared" si="10"/>
        <v>1.0720405410595758E-2</v>
      </c>
      <c r="E374" s="53">
        <v>2.9837443946995439E-2</v>
      </c>
      <c r="G374" s="90">
        <v>366</v>
      </c>
      <c r="H374" s="90">
        <f t="shared" ca="1" si="11"/>
        <v>-8.9430565290001783E-3</v>
      </c>
    </row>
    <row r="375" spans="2:8" x14ac:dyDescent="0.3">
      <c r="B375" s="58">
        <f>'DATA HISTORICAL'!$B1020</f>
        <v>45364</v>
      </c>
      <c r="C375" s="60">
        <f>'DATA HISTORICAL'!$C1020</f>
        <v>9593.5499999999993</v>
      </c>
      <c r="D375" s="53">
        <f t="shared" si="10"/>
        <v>-2.2853821041316749E-3</v>
      </c>
      <c r="E375" s="53">
        <v>2.9825049915177395E-2</v>
      </c>
      <c r="G375" s="90">
        <v>367</v>
      </c>
      <c r="H375" s="90">
        <f t="shared" ca="1" si="11"/>
        <v>1.6070552620556233E-4</v>
      </c>
    </row>
    <row r="376" spans="2:8" x14ac:dyDescent="0.3">
      <c r="B376" s="58">
        <f>'DATA HISTORICAL'!$B1021</f>
        <v>45363</v>
      </c>
      <c r="C376" s="60">
        <f>'DATA HISTORICAL'!$C1021</f>
        <v>9615.5</v>
      </c>
      <c r="D376" s="53">
        <f t="shared" si="10"/>
        <v>-8.5329874568193433E-3</v>
      </c>
      <c r="E376" s="53">
        <v>2.9803530390581534E-2</v>
      </c>
      <c r="G376" s="90">
        <v>368</v>
      </c>
      <c r="H376" s="90">
        <f t="shared" ca="1" si="11"/>
        <v>-1.7079279383458894E-3</v>
      </c>
    </row>
    <row r="377" spans="2:8" x14ac:dyDescent="0.3">
      <c r="B377" s="58">
        <f>'DATA HISTORICAL'!$B1022</f>
        <v>45362</v>
      </c>
      <c r="C377" s="60">
        <f>'DATA HISTORICAL'!$C1022</f>
        <v>9697.9</v>
      </c>
      <c r="D377" s="53">
        <f t="shared" si="10"/>
        <v>2.5553610638407971E-3</v>
      </c>
      <c r="E377" s="53">
        <v>2.9800701626711813E-2</v>
      </c>
      <c r="G377" s="90">
        <v>369</v>
      </c>
      <c r="H377" s="90">
        <f t="shared" ca="1" si="11"/>
        <v>-1.0396602550748944E-2</v>
      </c>
    </row>
    <row r="378" spans="2:8" x14ac:dyDescent="0.3">
      <c r="B378" s="58">
        <f>'DATA HISTORICAL'!$B1023</f>
        <v>45358</v>
      </c>
      <c r="C378" s="60">
        <f>'DATA HISTORICAL'!$C1023</f>
        <v>9673.15</v>
      </c>
      <c r="D378" s="53">
        <f t="shared" si="10"/>
        <v>3.3239823089427625E-3</v>
      </c>
      <c r="E378" s="53">
        <v>2.9782620699155653E-2</v>
      </c>
      <c r="G378" s="90">
        <v>370</v>
      </c>
      <c r="H378" s="90">
        <f t="shared" ca="1" si="11"/>
        <v>5.0439937064402585E-2</v>
      </c>
    </row>
    <row r="379" spans="2:8" x14ac:dyDescent="0.3">
      <c r="B379" s="58">
        <f>'DATA HISTORICAL'!$B1024</f>
        <v>45357</v>
      </c>
      <c r="C379" s="60">
        <f>'DATA HISTORICAL'!$C1024</f>
        <v>9641.0499999999993</v>
      </c>
      <c r="D379" s="53">
        <f t="shared" si="10"/>
        <v>-2.0257990224178228E-2</v>
      </c>
      <c r="E379" s="53">
        <v>2.9781066738000028E-2</v>
      </c>
      <c r="G379" s="90">
        <v>371</v>
      </c>
      <c r="H379" s="90">
        <f t="shared" ca="1" si="11"/>
        <v>7.2778666604275391E-3</v>
      </c>
    </row>
    <row r="380" spans="2:8" x14ac:dyDescent="0.3">
      <c r="B380" s="58">
        <f>'DATA HISTORICAL'!$B1025</f>
        <v>45356</v>
      </c>
      <c r="C380" s="60">
        <f>'DATA HISTORICAL'!$C1025</f>
        <v>9838.35</v>
      </c>
      <c r="D380" s="53">
        <f t="shared" si="10"/>
        <v>-1.4134742752383215E-2</v>
      </c>
      <c r="E380" s="53">
        <v>2.9710757157383891E-2</v>
      </c>
      <c r="G380" s="90">
        <v>372</v>
      </c>
      <c r="H380" s="90">
        <f t="shared" ca="1" si="11"/>
        <v>-1.0804029420895429E-2</v>
      </c>
    </row>
    <row r="381" spans="2:8" x14ac:dyDescent="0.3">
      <c r="B381" s="58">
        <f>'DATA HISTORICAL'!$B1026</f>
        <v>45355</v>
      </c>
      <c r="C381" s="60">
        <f>'DATA HISTORICAL'!$C1026</f>
        <v>9978.4</v>
      </c>
      <c r="D381" s="53">
        <f t="shared" si="10"/>
        <v>-1.2741182332001579E-2</v>
      </c>
      <c r="E381" s="53">
        <v>2.9677087629275043E-2</v>
      </c>
      <c r="G381" s="90">
        <v>373</v>
      </c>
      <c r="H381" s="90">
        <f t="shared" ca="1" si="11"/>
        <v>-1.1584899131542981E-2</v>
      </c>
    </row>
    <row r="382" spans="2:8" x14ac:dyDescent="0.3">
      <c r="B382" s="58">
        <f>'DATA HISTORICAL'!$B1027</f>
        <v>45353</v>
      </c>
      <c r="C382" s="60">
        <f>'DATA HISTORICAL'!$C1027</f>
        <v>10106.35</v>
      </c>
      <c r="D382" s="53">
        <f t="shared" si="10"/>
        <v>-2.880173516838151E-3</v>
      </c>
      <c r="E382" s="53">
        <v>2.9646145505397532E-2</v>
      </c>
      <c r="G382" s="90">
        <v>374</v>
      </c>
      <c r="H382" s="90">
        <f t="shared" ca="1" si="11"/>
        <v>1.2912132300238606E-2</v>
      </c>
    </row>
    <row r="383" spans="2:8" x14ac:dyDescent="0.3">
      <c r="B383" s="58">
        <f>'DATA HISTORICAL'!$B1028</f>
        <v>45352</v>
      </c>
      <c r="C383" s="60">
        <f>'DATA HISTORICAL'!$C1028</f>
        <v>10135.5</v>
      </c>
      <c r="D383" s="53">
        <f t="shared" si="10"/>
        <v>2.4277327120035531E-2</v>
      </c>
      <c r="E383" s="53">
        <v>2.9579510319766494E-2</v>
      </c>
      <c r="G383" s="90">
        <v>375</v>
      </c>
      <c r="H383" s="90">
        <f t="shared" ca="1" si="11"/>
        <v>2.3823621485541723E-3</v>
      </c>
    </row>
    <row r="384" spans="2:8" x14ac:dyDescent="0.3">
      <c r="B384" s="58">
        <f>'DATA HISTORICAL'!$B1029</f>
        <v>45351</v>
      </c>
      <c r="C384" s="60">
        <f>'DATA HISTORICAL'!$C1029</f>
        <v>9892.4</v>
      </c>
      <c r="D384" s="53">
        <f t="shared" si="10"/>
        <v>8.8794253619205402E-3</v>
      </c>
      <c r="E384" s="53">
        <v>2.9526406030901287E-2</v>
      </c>
      <c r="G384" s="90">
        <v>376</v>
      </c>
      <c r="H384" s="90">
        <f t="shared" ca="1" si="11"/>
        <v>-8.4911016960001473E-3</v>
      </c>
    </row>
    <row r="385" spans="2:8" x14ac:dyDescent="0.3">
      <c r="B385" s="58">
        <f>'DATA HISTORICAL'!$B1030</f>
        <v>45350</v>
      </c>
      <c r="C385" s="60">
        <f>'DATA HISTORICAL'!$C1030</f>
        <v>9804.9500000000007</v>
      </c>
      <c r="D385" s="53">
        <f t="shared" si="10"/>
        <v>-1.4795737627568284E-2</v>
      </c>
      <c r="E385" s="53">
        <v>2.9519548408391615E-2</v>
      </c>
      <c r="G385" s="90">
        <v>377</v>
      </c>
      <c r="H385" s="90">
        <f t="shared" ca="1" si="11"/>
        <v>-1.8560964516511076E-2</v>
      </c>
    </row>
    <row r="386" spans="2:8" x14ac:dyDescent="0.3">
      <c r="B386" s="58">
        <f>'DATA HISTORICAL'!$B1031</f>
        <v>45349</v>
      </c>
      <c r="C386" s="60">
        <f>'DATA HISTORICAL'!$C1031</f>
        <v>9951.1</v>
      </c>
      <c r="D386" s="53">
        <f t="shared" si="10"/>
        <v>2.117584532682671E-3</v>
      </c>
      <c r="E386" s="53">
        <v>2.9517040972971521E-2</v>
      </c>
      <c r="G386" s="90">
        <v>378</v>
      </c>
      <c r="H386" s="90">
        <f t="shared" ca="1" si="11"/>
        <v>1.3427685294967292E-2</v>
      </c>
    </row>
    <row r="387" spans="2:8" x14ac:dyDescent="0.3">
      <c r="B387" s="58">
        <f>'DATA HISTORICAL'!$B1032</f>
        <v>45348</v>
      </c>
      <c r="C387" s="60">
        <f>'DATA HISTORICAL'!$C1032</f>
        <v>9930.0499999999993</v>
      </c>
      <c r="D387" s="53">
        <f t="shared" si="10"/>
        <v>-7.109575653157247E-3</v>
      </c>
      <c r="E387" s="53">
        <v>2.9509455987638916E-2</v>
      </c>
      <c r="G387" s="90">
        <v>379</v>
      </c>
      <c r="H387" s="90">
        <f t="shared" ca="1" si="11"/>
        <v>-8.480690324242729E-3</v>
      </c>
    </row>
    <row r="388" spans="2:8" x14ac:dyDescent="0.3">
      <c r="B388" s="58">
        <f>'DATA HISTORICAL'!$B1033</f>
        <v>45345</v>
      </c>
      <c r="C388" s="60">
        <f>'DATA HISTORICAL'!$C1033</f>
        <v>10000.9</v>
      </c>
      <c r="D388" s="53">
        <f t="shared" si="10"/>
        <v>3.9775426774353567E-3</v>
      </c>
      <c r="E388" s="53">
        <v>2.9453515713316229E-2</v>
      </c>
      <c r="G388" s="90">
        <v>380</v>
      </c>
      <c r="H388" s="90">
        <f t="shared" ca="1" si="11"/>
        <v>1.9086735179108191E-2</v>
      </c>
    </row>
    <row r="389" spans="2:8" x14ac:dyDescent="0.3">
      <c r="B389" s="58">
        <f>'DATA HISTORICAL'!$B1034</f>
        <v>45344</v>
      </c>
      <c r="C389" s="60">
        <f>'DATA HISTORICAL'!$C1034</f>
        <v>9961.2000000000007</v>
      </c>
      <c r="D389" s="53">
        <f t="shared" si="10"/>
        <v>-7.2254338403579933E-4</v>
      </c>
      <c r="E389" s="53">
        <v>2.9402026566028486E-2</v>
      </c>
      <c r="G389" s="90">
        <v>381</v>
      </c>
      <c r="H389" s="90">
        <f t="shared" ca="1" si="11"/>
        <v>-2.2930553089267093E-4</v>
      </c>
    </row>
    <row r="390" spans="2:8" x14ac:dyDescent="0.3">
      <c r="B390" s="58">
        <f>'DATA HISTORICAL'!$B1035</f>
        <v>45343</v>
      </c>
      <c r="C390" s="60">
        <f>'DATA HISTORICAL'!$C1035</f>
        <v>9968.4</v>
      </c>
      <c r="D390" s="53">
        <f t="shared" si="10"/>
        <v>-1.0577847166373356E-3</v>
      </c>
      <c r="E390" s="53">
        <v>2.9362408206168568E-2</v>
      </c>
      <c r="G390" s="90">
        <v>382</v>
      </c>
      <c r="H390" s="90">
        <f t="shared" ca="1" si="11"/>
        <v>2.236903413645359E-3</v>
      </c>
    </row>
    <row r="391" spans="2:8" x14ac:dyDescent="0.3">
      <c r="B391" s="58">
        <f>'DATA HISTORICAL'!$B1036</f>
        <v>45342</v>
      </c>
      <c r="C391" s="60">
        <f>'DATA HISTORICAL'!$C1036</f>
        <v>9978.9500000000007</v>
      </c>
      <c r="D391" s="53">
        <f t="shared" si="10"/>
        <v>7.7209196924606155E-3</v>
      </c>
      <c r="E391" s="53">
        <v>2.9322402865588581E-2</v>
      </c>
      <c r="G391" s="90">
        <v>383</v>
      </c>
      <c r="H391" s="90">
        <f t="shared" ca="1" si="11"/>
        <v>-1.2003263701364508E-3</v>
      </c>
    </row>
    <row r="392" spans="2:8" x14ac:dyDescent="0.3">
      <c r="B392" s="58">
        <f>'DATA HISTORICAL'!$B1037</f>
        <v>45341</v>
      </c>
      <c r="C392" s="60">
        <f>'DATA HISTORICAL'!$C1037</f>
        <v>9902.2000000000007</v>
      </c>
      <c r="D392" s="53">
        <f t="shared" si="10"/>
        <v>-1.4128287176327216E-3</v>
      </c>
      <c r="E392" s="53">
        <v>2.9307682665453992E-2</v>
      </c>
      <c r="G392" s="90">
        <v>384</v>
      </c>
      <c r="H392" s="90">
        <f t="shared" ca="1" si="11"/>
        <v>-9.3240378589798147E-3</v>
      </c>
    </row>
    <row r="393" spans="2:8" x14ac:dyDescent="0.3">
      <c r="B393" s="58">
        <f>'DATA HISTORICAL'!$B1038</f>
        <v>45338</v>
      </c>
      <c r="C393" s="60">
        <f>'DATA HISTORICAL'!$C1038</f>
        <v>9916.2000000000007</v>
      </c>
      <c r="D393" s="53">
        <f t="shared" ref="D393:D456" si="12">LN(C393/C394)</f>
        <v>1.0329277616691907E-2</v>
      </c>
      <c r="E393" s="53">
        <v>2.9275686280712768E-2</v>
      </c>
      <c r="G393" s="90">
        <v>385</v>
      </c>
      <c r="H393" s="90">
        <f t="shared" ref="H393:H456" ca="1" si="13">_xlfn.NORM.INV(RAND(),N$10,N$11)</f>
        <v>1.4774510554693525E-3</v>
      </c>
    </row>
    <row r="394" spans="2:8" x14ac:dyDescent="0.3">
      <c r="B394" s="58">
        <f>'DATA HISTORICAL'!$B1039</f>
        <v>45337</v>
      </c>
      <c r="C394" s="60">
        <f>'DATA HISTORICAL'!$C1039</f>
        <v>9814.2999999999993</v>
      </c>
      <c r="D394" s="53">
        <f t="shared" si="12"/>
        <v>2.7037935878317003E-3</v>
      </c>
      <c r="E394" s="53">
        <v>2.9263128531753158E-2</v>
      </c>
      <c r="G394" s="90">
        <v>386</v>
      </c>
      <c r="H394" s="90">
        <f t="shared" ca="1" si="13"/>
        <v>1.2496392851481301E-2</v>
      </c>
    </row>
    <row r="395" spans="2:8" x14ac:dyDescent="0.3">
      <c r="B395" s="58">
        <f>'DATA HISTORICAL'!$B1040</f>
        <v>45336</v>
      </c>
      <c r="C395" s="60">
        <f>'DATA HISTORICAL'!$C1040</f>
        <v>9787.7999999999993</v>
      </c>
      <c r="D395" s="53">
        <f t="shared" si="12"/>
        <v>-6.5783681391422891E-3</v>
      </c>
      <c r="E395" s="53">
        <v>2.9238929872950438E-2</v>
      </c>
      <c r="G395" s="90">
        <v>387</v>
      </c>
      <c r="H395" s="90">
        <f t="shared" ca="1" si="13"/>
        <v>4.0041226832905237E-3</v>
      </c>
    </row>
    <row r="396" spans="2:8" x14ac:dyDescent="0.3">
      <c r="B396" s="58">
        <f>'DATA HISTORICAL'!$B1041</f>
        <v>45335</v>
      </c>
      <c r="C396" s="60">
        <f>'DATA HISTORICAL'!$C1041</f>
        <v>9852.4</v>
      </c>
      <c r="D396" s="53">
        <f t="shared" si="12"/>
        <v>-1.1248462764198964E-2</v>
      </c>
      <c r="E396" s="53">
        <v>2.9229119241229926E-2</v>
      </c>
      <c r="G396" s="90">
        <v>388</v>
      </c>
      <c r="H396" s="90">
        <f t="shared" ca="1" si="13"/>
        <v>-7.008730963478837E-3</v>
      </c>
    </row>
    <row r="397" spans="2:8" x14ac:dyDescent="0.3">
      <c r="B397" s="58">
        <f>'DATA HISTORICAL'!$B1042</f>
        <v>45334</v>
      </c>
      <c r="C397" s="60">
        <f>'DATA HISTORICAL'!$C1042</f>
        <v>9963.85</v>
      </c>
      <c r="D397" s="53">
        <f t="shared" si="12"/>
        <v>1.8182188478351622E-3</v>
      </c>
      <c r="E397" s="53">
        <v>2.920858177478906E-2</v>
      </c>
      <c r="G397" s="90">
        <v>389</v>
      </c>
      <c r="H397" s="90">
        <f t="shared" ca="1" si="13"/>
        <v>1.0069467007869896E-2</v>
      </c>
    </row>
    <row r="398" spans="2:8" x14ac:dyDescent="0.3">
      <c r="B398" s="58">
        <f>'DATA HISTORICAL'!$B1043</f>
        <v>45331</v>
      </c>
      <c r="C398" s="60">
        <f>'DATA HISTORICAL'!$C1043</f>
        <v>9945.75</v>
      </c>
      <c r="D398" s="53">
        <f t="shared" si="12"/>
        <v>-5.204741133537874E-3</v>
      </c>
      <c r="E398" s="53">
        <v>2.9195999191026091E-2</v>
      </c>
      <c r="G398" s="90">
        <v>390</v>
      </c>
      <c r="H398" s="90">
        <f t="shared" ca="1" si="13"/>
        <v>-1.4133933841872528E-2</v>
      </c>
    </row>
    <row r="399" spans="2:8" x14ac:dyDescent="0.3">
      <c r="B399" s="58">
        <f>'DATA HISTORICAL'!$B1044</f>
        <v>45330</v>
      </c>
      <c r="C399" s="60">
        <f>'DATA HISTORICAL'!$C1044</f>
        <v>9997.65</v>
      </c>
      <c r="D399" s="53">
        <f t="shared" si="12"/>
        <v>-2.2632325058865015E-2</v>
      </c>
      <c r="E399" s="53">
        <v>2.9193658691976439E-2</v>
      </c>
      <c r="G399" s="90">
        <v>391</v>
      </c>
      <c r="H399" s="90">
        <f t="shared" ca="1" si="13"/>
        <v>-1.1573331132647496E-2</v>
      </c>
    </row>
    <row r="400" spans="2:8" x14ac:dyDescent="0.3">
      <c r="B400" s="58">
        <f>'DATA HISTORICAL'!$B1045</f>
        <v>45329</v>
      </c>
      <c r="C400" s="60">
        <f>'DATA HISTORICAL'!$C1045</f>
        <v>10226.5</v>
      </c>
      <c r="D400" s="53">
        <f t="shared" si="12"/>
        <v>1.7534141776050345E-2</v>
      </c>
      <c r="E400" s="53">
        <v>2.9102321079071618E-2</v>
      </c>
      <c r="G400" s="90">
        <v>392</v>
      </c>
      <c r="H400" s="90">
        <f t="shared" ca="1" si="13"/>
        <v>-1.681408421477424E-2</v>
      </c>
    </row>
    <row r="401" spans="2:8" x14ac:dyDescent="0.3">
      <c r="B401" s="58">
        <f>'DATA HISTORICAL'!$B1046</f>
        <v>45328</v>
      </c>
      <c r="C401" s="60">
        <f>'DATA HISTORICAL'!$C1046</f>
        <v>10048.75</v>
      </c>
      <c r="D401" s="53">
        <f t="shared" si="12"/>
        <v>1.3263338619475472E-2</v>
      </c>
      <c r="E401" s="53">
        <v>2.9081615685542801E-2</v>
      </c>
      <c r="G401" s="90">
        <v>393</v>
      </c>
      <c r="H401" s="90">
        <f t="shared" ca="1" si="13"/>
        <v>1.7094915574402344E-2</v>
      </c>
    </row>
    <row r="402" spans="2:8" x14ac:dyDescent="0.3">
      <c r="B402" s="58">
        <f>'DATA HISTORICAL'!$B1047</f>
        <v>45327</v>
      </c>
      <c r="C402" s="60">
        <f>'DATA HISTORICAL'!$C1047</f>
        <v>9916.35</v>
      </c>
      <c r="D402" s="53">
        <f t="shared" si="12"/>
        <v>-1.8206939143871358E-2</v>
      </c>
      <c r="E402" s="53">
        <v>2.9062288508598235E-2</v>
      </c>
      <c r="G402" s="90">
        <v>394</v>
      </c>
      <c r="H402" s="90">
        <f t="shared" ca="1" si="13"/>
        <v>-2.8110836765527971E-2</v>
      </c>
    </row>
    <row r="403" spans="2:8" x14ac:dyDescent="0.3">
      <c r="B403" s="58">
        <f>'DATA HISTORICAL'!$B1048</f>
        <v>45324</v>
      </c>
      <c r="C403" s="60">
        <f>'DATA HISTORICAL'!$C1048</f>
        <v>10098.549999999999</v>
      </c>
      <c r="D403" s="53">
        <f t="shared" si="12"/>
        <v>1.760709992311757E-2</v>
      </c>
      <c r="E403" s="53">
        <v>2.8978590368875099E-2</v>
      </c>
      <c r="G403" s="90">
        <v>395</v>
      </c>
      <c r="H403" s="90">
        <f t="shared" ca="1" si="13"/>
        <v>-1.0164928845358768E-3</v>
      </c>
    </row>
    <row r="404" spans="2:8" x14ac:dyDescent="0.3">
      <c r="B404" s="58">
        <f>'DATA HISTORICAL'!$B1049</f>
        <v>45323</v>
      </c>
      <c r="C404" s="60">
        <f>'DATA HISTORICAL'!$C1049</f>
        <v>9922.2999999999993</v>
      </c>
      <c r="D404" s="53">
        <f t="shared" si="12"/>
        <v>-2.4396856539998367E-2</v>
      </c>
      <c r="E404" s="53">
        <v>2.8885191774795375E-2</v>
      </c>
      <c r="G404" s="90">
        <v>396</v>
      </c>
      <c r="H404" s="90">
        <f t="shared" ca="1" si="13"/>
        <v>5.3897675576743392E-3</v>
      </c>
    </row>
    <row r="405" spans="2:8" x14ac:dyDescent="0.3">
      <c r="B405" s="58">
        <f>'DATA HISTORICAL'!$B1050</f>
        <v>45322</v>
      </c>
      <c r="C405" s="60">
        <f>'DATA HISTORICAL'!$C1050</f>
        <v>10167.35</v>
      </c>
      <c r="D405" s="53">
        <f t="shared" si="12"/>
        <v>2.0243153727462011E-2</v>
      </c>
      <c r="E405" s="53">
        <v>2.887157058401842E-2</v>
      </c>
      <c r="G405" s="90">
        <v>397</v>
      </c>
      <c r="H405" s="90">
        <f t="shared" ca="1" si="13"/>
        <v>2.4504535267712579E-2</v>
      </c>
    </row>
    <row r="406" spans="2:8" x14ac:dyDescent="0.3">
      <c r="B406" s="58">
        <f>'DATA HISTORICAL'!$B1051</f>
        <v>45321</v>
      </c>
      <c r="C406" s="60">
        <f>'DATA HISTORICAL'!$C1051</f>
        <v>9963.6</v>
      </c>
      <c r="D406" s="53">
        <f t="shared" si="12"/>
        <v>-3.0682846613074678E-2</v>
      </c>
      <c r="E406" s="53">
        <v>2.865440039021247E-2</v>
      </c>
      <c r="G406" s="90">
        <v>398</v>
      </c>
      <c r="H406" s="90">
        <f t="shared" ca="1" si="13"/>
        <v>2.7524317492420799E-3</v>
      </c>
    </row>
    <row r="407" spans="2:8" x14ac:dyDescent="0.3">
      <c r="B407" s="58">
        <f>'DATA HISTORICAL'!$B1052</f>
        <v>45320</v>
      </c>
      <c r="C407" s="60">
        <f>'DATA HISTORICAL'!$C1052</f>
        <v>10274.049999999999</v>
      </c>
      <c r="D407" s="53">
        <f t="shared" si="12"/>
        <v>3.0105912425260804E-2</v>
      </c>
      <c r="E407" s="53">
        <v>2.8627081354170681E-2</v>
      </c>
      <c r="G407" s="90">
        <v>399</v>
      </c>
      <c r="H407" s="90">
        <f t="shared" ca="1" si="13"/>
        <v>-1.7880064179342833E-2</v>
      </c>
    </row>
    <row r="408" spans="2:8" x14ac:dyDescent="0.3">
      <c r="B408" s="58">
        <f>'DATA HISTORICAL'!$B1053</f>
        <v>45316</v>
      </c>
      <c r="C408" s="60">
        <f>'DATA HISTORICAL'!$C1053</f>
        <v>9969.35</v>
      </c>
      <c r="D408" s="53">
        <f t="shared" si="12"/>
        <v>-2.1192551963882126E-3</v>
      </c>
      <c r="E408" s="53">
        <v>2.857528324226322E-2</v>
      </c>
      <c r="G408" s="90">
        <v>400</v>
      </c>
      <c r="H408" s="90">
        <f t="shared" ca="1" si="13"/>
        <v>-3.4093900224885275E-3</v>
      </c>
    </row>
    <row r="409" spans="2:8" x14ac:dyDescent="0.3">
      <c r="B409" s="58">
        <f>'DATA HISTORICAL'!$B1054</f>
        <v>45315</v>
      </c>
      <c r="C409" s="60">
        <f>'DATA HISTORICAL'!$C1054</f>
        <v>9990.5</v>
      </c>
      <c r="D409" s="53">
        <f t="shared" si="12"/>
        <v>1.6093983073263061E-2</v>
      </c>
      <c r="E409" s="53">
        <v>2.855714244304975E-2</v>
      </c>
      <c r="G409" s="90">
        <v>401</v>
      </c>
      <c r="H409" s="90">
        <f t="shared" ca="1" si="13"/>
        <v>4.6279102205052186E-2</v>
      </c>
    </row>
    <row r="410" spans="2:8" x14ac:dyDescent="0.3">
      <c r="B410" s="58">
        <f>'DATA HISTORICAL'!$B1055</f>
        <v>45314</v>
      </c>
      <c r="C410" s="60">
        <f>'DATA HISTORICAL'!$C1055</f>
        <v>9831</v>
      </c>
      <c r="D410" s="53">
        <f t="shared" si="12"/>
        <v>-1.6784400803398644E-2</v>
      </c>
      <c r="E410" s="53">
        <v>2.8534564498938261E-2</v>
      </c>
      <c r="G410" s="90">
        <v>402</v>
      </c>
      <c r="H410" s="90">
        <f t="shared" ca="1" si="13"/>
        <v>2.1459464086805019E-2</v>
      </c>
    </row>
    <row r="411" spans="2:8" x14ac:dyDescent="0.3">
      <c r="B411" s="58">
        <f>'DATA HISTORICAL'!$B1056</f>
        <v>45311</v>
      </c>
      <c r="C411" s="60">
        <f>'DATA HISTORICAL'!$C1056</f>
        <v>9997.4</v>
      </c>
      <c r="D411" s="53">
        <f t="shared" si="12"/>
        <v>-9.5864076621037676E-3</v>
      </c>
      <c r="E411" s="53">
        <v>2.8437567535081872E-2</v>
      </c>
      <c r="G411" s="90">
        <v>403</v>
      </c>
      <c r="H411" s="90">
        <f t="shared" ca="1" si="13"/>
        <v>1.8406520880354165E-3</v>
      </c>
    </row>
    <row r="412" spans="2:8" x14ac:dyDescent="0.3">
      <c r="B412" s="58">
        <f>'DATA HISTORICAL'!$B1057</f>
        <v>45310</v>
      </c>
      <c r="C412" s="60">
        <f>'DATA HISTORICAL'!$C1057</f>
        <v>10093.700000000001</v>
      </c>
      <c r="D412" s="53">
        <f t="shared" si="12"/>
        <v>2.0159844562638817E-2</v>
      </c>
      <c r="E412" s="53">
        <v>2.8421648424043388E-2</v>
      </c>
      <c r="G412" s="90">
        <v>404</v>
      </c>
      <c r="H412" s="90">
        <f t="shared" ca="1" si="13"/>
        <v>-7.3466243428462761E-3</v>
      </c>
    </row>
    <row r="413" spans="2:8" x14ac:dyDescent="0.3">
      <c r="B413" s="58">
        <f>'DATA HISTORICAL'!$B1058</f>
        <v>45309</v>
      </c>
      <c r="C413" s="60">
        <f>'DATA HISTORICAL'!$C1058</f>
        <v>9892.25</v>
      </c>
      <c r="D413" s="53">
        <f t="shared" si="12"/>
        <v>3.8081972806605175E-3</v>
      </c>
      <c r="E413" s="53">
        <v>2.8409593662909849E-2</v>
      </c>
      <c r="G413" s="90">
        <v>405</v>
      </c>
      <c r="H413" s="90">
        <f t="shared" ca="1" si="13"/>
        <v>1.1341866926140308E-2</v>
      </c>
    </row>
    <row r="414" spans="2:8" x14ac:dyDescent="0.3">
      <c r="B414" s="58">
        <f>'DATA HISTORICAL'!$B1059</f>
        <v>45308</v>
      </c>
      <c r="C414" s="60">
        <f>'DATA HISTORICAL'!$C1059</f>
        <v>9854.65</v>
      </c>
      <c r="D414" s="53">
        <f t="shared" si="12"/>
        <v>-1.159703780083028E-2</v>
      </c>
      <c r="E414" s="53">
        <v>2.8409461588318918E-2</v>
      </c>
      <c r="G414" s="90">
        <v>406</v>
      </c>
      <c r="H414" s="90">
        <f t="shared" ca="1" si="13"/>
        <v>6.964784160078486E-3</v>
      </c>
    </row>
    <row r="415" spans="2:8" x14ac:dyDescent="0.3">
      <c r="B415" s="58">
        <f>'DATA HISTORICAL'!$B1060</f>
        <v>45307</v>
      </c>
      <c r="C415" s="60">
        <f>'DATA HISTORICAL'!$C1060</f>
        <v>9969.6</v>
      </c>
      <c r="D415" s="53">
        <f t="shared" si="12"/>
        <v>1.5107297287352362E-3</v>
      </c>
      <c r="E415" s="53">
        <v>2.8372572370676429E-2</v>
      </c>
      <c r="G415" s="90">
        <v>407</v>
      </c>
      <c r="H415" s="90">
        <f t="shared" ca="1" si="13"/>
        <v>1.0568532711103727E-2</v>
      </c>
    </row>
    <row r="416" spans="2:8" x14ac:dyDescent="0.3">
      <c r="B416" s="58">
        <f>'DATA HISTORICAL'!$B1061</f>
        <v>45306</v>
      </c>
      <c r="C416" s="60">
        <f>'DATA HISTORICAL'!$C1061</f>
        <v>9954.5499999999993</v>
      </c>
      <c r="D416" s="53">
        <f t="shared" si="12"/>
        <v>1.4785474024186472E-2</v>
      </c>
      <c r="E416" s="53">
        <v>2.8371916803538146E-2</v>
      </c>
      <c r="G416" s="90">
        <v>408</v>
      </c>
      <c r="H416" s="90">
        <f t="shared" ca="1" si="13"/>
        <v>5.2719494953485744E-3</v>
      </c>
    </row>
    <row r="417" spans="2:8" x14ac:dyDescent="0.3">
      <c r="B417" s="58">
        <f>'DATA HISTORICAL'!$B1062</f>
        <v>45303</v>
      </c>
      <c r="C417" s="60">
        <f>'DATA HISTORICAL'!$C1062</f>
        <v>9808.4500000000007</v>
      </c>
      <c r="D417" s="53">
        <f t="shared" si="12"/>
        <v>-1.1354024116243252E-2</v>
      </c>
      <c r="E417" s="53">
        <v>2.8224373838357814E-2</v>
      </c>
      <c r="G417" s="90">
        <v>409</v>
      </c>
      <c r="H417" s="90">
        <f t="shared" ca="1" si="13"/>
        <v>8.8682922116110063E-3</v>
      </c>
    </row>
    <row r="418" spans="2:8" x14ac:dyDescent="0.3">
      <c r="B418" s="58">
        <f>'DATA HISTORICAL'!$B1063</f>
        <v>45302</v>
      </c>
      <c r="C418" s="60">
        <f>'DATA HISTORICAL'!$C1063</f>
        <v>9920.4500000000007</v>
      </c>
      <c r="D418" s="53">
        <f t="shared" si="12"/>
        <v>1.4647422686030616E-2</v>
      </c>
      <c r="E418" s="53">
        <v>2.8202132763459994E-2</v>
      </c>
      <c r="G418" s="90">
        <v>410</v>
      </c>
      <c r="H418" s="90">
        <f t="shared" ca="1" si="13"/>
        <v>1.3367110170707675E-2</v>
      </c>
    </row>
    <row r="419" spans="2:8" x14ac:dyDescent="0.3">
      <c r="B419" s="58">
        <f>'DATA HISTORICAL'!$B1064</f>
        <v>45301</v>
      </c>
      <c r="C419" s="60">
        <f>'DATA HISTORICAL'!$C1064</f>
        <v>9776.2000000000007</v>
      </c>
      <c r="D419" s="53">
        <f t="shared" si="12"/>
        <v>-1.2492983432042061E-2</v>
      </c>
      <c r="E419" s="53">
        <v>2.8111626485268819E-2</v>
      </c>
      <c r="G419" s="90">
        <v>411</v>
      </c>
      <c r="H419" s="90">
        <f t="shared" ca="1" si="13"/>
        <v>2.4627451065550712E-2</v>
      </c>
    </row>
    <row r="420" spans="2:8" x14ac:dyDescent="0.3">
      <c r="B420" s="58">
        <f>'DATA HISTORICAL'!$B1065</f>
        <v>45300</v>
      </c>
      <c r="C420" s="60">
        <f>'DATA HISTORICAL'!$C1065</f>
        <v>9899.1</v>
      </c>
      <c r="D420" s="53">
        <f t="shared" si="12"/>
        <v>-3.5697036938533936E-3</v>
      </c>
      <c r="E420" s="53">
        <v>2.8105556980390252E-2</v>
      </c>
      <c r="G420" s="90">
        <v>412</v>
      </c>
      <c r="H420" s="90">
        <f t="shared" ca="1" si="13"/>
        <v>-1.6852093327637763E-2</v>
      </c>
    </row>
    <row r="421" spans="2:8" x14ac:dyDescent="0.3">
      <c r="B421" s="58">
        <f>'DATA HISTORICAL'!$B1066</f>
        <v>45299</v>
      </c>
      <c r="C421" s="60">
        <f>'DATA HISTORICAL'!$C1066</f>
        <v>9934.5</v>
      </c>
      <c r="D421" s="53">
        <f t="shared" si="12"/>
        <v>-8.1752587470554135E-3</v>
      </c>
      <c r="E421" s="53">
        <v>2.8102474378140951E-2</v>
      </c>
      <c r="G421" s="90">
        <v>413</v>
      </c>
      <c r="H421" s="90">
        <f t="shared" ca="1" si="13"/>
        <v>-2.8066452880030389E-3</v>
      </c>
    </row>
    <row r="422" spans="2:8" x14ac:dyDescent="0.3">
      <c r="B422" s="58">
        <f>'DATA HISTORICAL'!$B1067</f>
        <v>45296</v>
      </c>
      <c r="C422" s="60">
        <f>'DATA HISTORICAL'!$C1067</f>
        <v>10016.049999999999</v>
      </c>
      <c r="D422" s="53">
        <f t="shared" si="12"/>
        <v>1.2480748461733579E-4</v>
      </c>
      <c r="E422" s="53">
        <v>2.808077307685046E-2</v>
      </c>
      <c r="G422" s="90">
        <v>414</v>
      </c>
      <c r="H422" s="90">
        <f t="shared" ca="1" si="13"/>
        <v>-1.7327550604775262E-2</v>
      </c>
    </row>
    <row r="423" spans="2:8" x14ac:dyDescent="0.3">
      <c r="B423" s="58">
        <f>'DATA HISTORICAL'!$B1068</f>
        <v>45295</v>
      </c>
      <c r="C423" s="60">
        <f>'DATA HISTORICAL'!$C1068</f>
        <v>10014.799999999999</v>
      </c>
      <c r="D423" s="53">
        <f t="shared" si="12"/>
        <v>-9.6143359585533703E-3</v>
      </c>
      <c r="E423" s="53">
        <v>2.8015708079157566E-2</v>
      </c>
      <c r="G423" s="90">
        <v>415</v>
      </c>
      <c r="H423" s="90">
        <f t="shared" ca="1" si="13"/>
        <v>1.1272816693305028E-2</v>
      </c>
    </row>
    <row r="424" spans="2:8" x14ac:dyDescent="0.3">
      <c r="B424" s="58">
        <f>'DATA HISTORICAL'!$B1069</f>
        <v>45294</v>
      </c>
      <c r="C424" s="60">
        <f>'DATA HISTORICAL'!$C1069</f>
        <v>10111.549999999999</v>
      </c>
      <c r="D424" s="53">
        <f t="shared" si="12"/>
        <v>-9.1700636434610978E-3</v>
      </c>
      <c r="E424" s="53">
        <v>2.7962541401601652E-2</v>
      </c>
      <c r="G424" s="90">
        <v>416</v>
      </c>
      <c r="H424" s="90">
        <f t="shared" ca="1" si="13"/>
        <v>1.8614954851632368E-2</v>
      </c>
    </row>
    <row r="425" spans="2:8" x14ac:dyDescent="0.3">
      <c r="B425" s="58">
        <f>'DATA HISTORICAL'!$B1070</f>
        <v>45293</v>
      </c>
      <c r="C425" s="60">
        <f>'DATA HISTORICAL'!$C1070</f>
        <v>10204.700000000001</v>
      </c>
      <c r="D425" s="53">
        <f t="shared" si="12"/>
        <v>-2.5092396239383464E-2</v>
      </c>
      <c r="E425" s="53">
        <v>2.7927257404452236E-2</v>
      </c>
      <c r="G425" s="90">
        <v>417</v>
      </c>
      <c r="H425" s="90">
        <f t="shared" ca="1" si="13"/>
        <v>-1.167345655494793E-2</v>
      </c>
    </row>
    <row r="426" spans="2:8" x14ac:dyDescent="0.3">
      <c r="B426" s="58">
        <f>'DATA HISTORICAL'!$B1071</f>
        <v>45292</v>
      </c>
      <c r="C426" s="60">
        <f>'DATA HISTORICAL'!$C1071</f>
        <v>10464</v>
      </c>
      <c r="D426" s="53">
        <f t="shared" si="12"/>
        <v>-3.7248964590702667E-3</v>
      </c>
      <c r="E426" s="53">
        <v>2.7919800080927506E-2</v>
      </c>
      <c r="G426" s="90">
        <v>418</v>
      </c>
      <c r="H426" s="90">
        <f t="shared" ca="1" si="13"/>
        <v>9.4727970885021238E-3</v>
      </c>
    </row>
    <row r="427" spans="2:8" x14ac:dyDescent="0.3">
      <c r="B427" s="58">
        <f>'DATA HISTORICAL'!$B1072</f>
        <v>45289</v>
      </c>
      <c r="C427" s="60">
        <f>'DATA HISTORICAL'!$C1072</f>
        <v>10503.05</v>
      </c>
      <c r="D427" s="53">
        <f t="shared" si="12"/>
        <v>7.3342310236685707E-3</v>
      </c>
      <c r="E427" s="53">
        <v>2.7904898427761077E-2</v>
      </c>
      <c r="G427" s="90">
        <v>419</v>
      </c>
      <c r="H427" s="90">
        <f t="shared" ca="1" si="13"/>
        <v>1.8865478969488519E-2</v>
      </c>
    </row>
    <row r="428" spans="2:8" x14ac:dyDescent="0.3">
      <c r="B428" s="58">
        <f>'DATA HISTORICAL'!$B1073</f>
        <v>45288</v>
      </c>
      <c r="C428" s="60">
        <f>'DATA HISTORICAL'!$C1073</f>
        <v>10426.299999999999</v>
      </c>
      <c r="D428" s="53">
        <f t="shared" si="12"/>
        <v>-9.3948929373646208E-4</v>
      </c>
      <c r="E428" s="53">
        <v>2.7900424445520287E-2</v>
      </c>
      <c r="G428" s="90">
        <v>420</v>
      </c>
      <c r="H428" s="90">
        <f t="shared" ca="1" si="13"/>
        <v>-4.0541176129254624E-3</v>
      </c>
    </row>
    <row r="429" spans="2:8" x14ac:dyDescent="0.3">
      <c r="B429" s="58">
        <f>'DATA HISTORICAL'!$B1074</f>
        <v>45287</v>
      </c>
      <c r="C429" s="60">
        <f>'DATA HISTORICAL'!$C1074</f>
        <v>10436.1</v>
      </c>
      <c r="D429" s="53">
        <f t="shared" si="12"/>
        <v>4.0822593403158941E-2</v>
      </c>
      <c r="E429" s="53">
        <v>2.7887447926926972E-2</v>
      </c>
      <c r="G429" s="90">
        <v>421</v>
      </c>
      <c r="H429" s="90">
        <f t="shared" ca="1" si="13"/>
        <v>6.9625036243501481E-3</v>
      </c>
    </row>
    <row r="430" spans="2:8" x14ac:dyDescent="0.3">
      <c r="B430" s="58">
        <f>'DATA HISTORICAL'!$B1075</f>
        <v>45286</v>
      </c>
      <c r="C430" s="60">
        <f>'DATA HISTORICAL'!$C1075</f>
        <v>10018.65</v>
      </c>
      <c r="D430" s="53">
        <f t="shared" si="12"/>
        <v>4.9680780002553347E-3</v>
      </c>
      <c r="E430" s="53">
        <v>2.7848739819328679E-2</v>
      </c>
      <c r="G430" s="90">
        <v>422</v>
      </c>
      <c r="H430" s="90">
        <f t="shared" ca="1" si="13"/>
        <v>2.4638892274822421E-2</v>
      </c>
    </row>
    <row r="431" spans="2:8" x14ac:dyDescent="0.3">
      <c r="B431" s="58">
        <f>'DATA HISTORICAL'!$B1076</f>
        <v>45282</v>
      </c>
      <c r="C431" s="60">
        <f>'DATA HISTORICAL'!$C1076</f>
        <v>9969</v>
      </c>
      <c r="D431" s="53">
        <f t="shared" si="12"/>
        <v>1.4605906694529888E-3</v>
      </c>
      <c r="E431" s="53">
        <v>2.7795998229302017E-2</v>
      </c>
      <c r="G431" s="90">
        <v>423</v>
      </c>
      <c r="H431" s="90">
        <f t="shared" ca="1" si="13"/>
        <v>2.2065713646885445E-2</v>
      </c>
    </row>
    <row r="432" spans="2:8" x14ac:dyDescent="0.3">
      <c r="B432" s="58">
        <f>'DATA HISTORICAL'!$B1077</f>
        <v>45281</v>
      </c>
      <c r="C432" s="60">
        <f>'DATA HISTORICAL'!$C1077</f>
        <v>9954.4500000000007</v>
      </c>
      <c r="D432" s="53">
        <f t="shared" si="12"/>
        <v>6.7534111801404824E-3</v>
      </c>
      <c r="E432" s="53">
        <v>2.7780476043897238E-2</v>
      </c>
      <c r="G432" s="90">
        <v>424</v>
      </c>
      <c r="H432" s="90">
        <f t="shared" ca="1" si="13"/>
        <v>1.9001497794355268E-2</v>
      </c>
    </row>
    <row r="433" spans="2:8" x14ac:dyDescent="0.3">
      <c r="B433" s="58">
        <f>'DATA HISTORICAL'!$B1078</f>
        <v>45280</v>
      </c>
      <c r="C433" s="60">
        <f>'DATA HISTORICAL'!$C1078</f>
        <v>9887.4500000000007</v>
      </c>
      <c r="D433" s="53">
        <f t="shared" si="12"/>
        <v>-1.30273564176745E-2</v>
      </c>
      <c r="E433" s="53">
        <v>2.7754934116139763E-2</v>
      </c>
      <c r="G433" s="90">
        <v>425</v>
      </c>
      <c r="H433" s="90">
        <f t="shared" ca="1" si="13"/>
        <v>-2.2940718913807934E-2</v>
      </c>
    </row>
    <row r="434" spans="2:8" x14ac:dyDescent="0.3">
      <c r="B434" s="58">
        <f>'DATA HISTORICAL'!$B1079</f>
        <v>45279</v>
      </c>
      <c r="C434" s="60">
        <f>'DATA HISTORICAL'!$C1079</f>
        <v>10017.1</v>
      </c>
      <c r="D434" s="53">
        <f t="shared" si="12"/>
        <v>4.6779439351304726E-3</v>
      </c>
      <c r="E434" s="53">
        <v>2.7752668529155283E-2</v>
      </c>
      <c r="G434" s="90">
        <v>426</v>
      </c>
      <c r="H434" s="90">
        <f t="shared" ca="1" si="13"/>
        <v>4.435006584984775E-3</v>
      </c>
    </row>
    <row r="435" spans="2:8" x14ac:dyDescent="0.3">
      <c r="B435" s="58">
        <f>'DATA HISTORICAL'!$B1080</f>
        <v>45278</v>
      </c>
      <c r="C435" s="60">
        <f>'DATA HISTORICAL'!$C1080</f>
        <v>9970.35</v>
      </c>
      <c r="D435" s="53">
        <f t="shared" si="12"/>
        <v>-5.9100763032865506E-3</v>
      </c>
      <c r="E435" s="53">
        <v>2.7698793435459463E-2</v>
      </c>
      <c r="G435" s="90">
        <v>427</v>
      </c>
      <c r="H435" s="90">
        <f t="shared" ca="1" si="13"/>
        <v>1.9695138454936E-2</v>
      </c>
    </row>
    <row r="436" spans="2:8" x14ac:dyDescent="0.3">
      <c r="B436" s="58">
        <f>'DATA HISTORICAL'!$B1081</f>
        <v>45275</v>
      </c>
      <c r="C436" s="60">
        <f>'DATA HISTORICAL'!$C1081</f>
        <v>10029.450000000001</v>
      </c>
      <c r="D436" s="53">
        <f t="shared" si="12"/>
        <v>6.6174229551993228E-3</v>
      </c>
      <c r="E436" s="53">
        <v>2.7666063352440946E-2</v>
      </c>
      <c r="G436" s="90">
        <v>428</v>
      </c>
      <c r="H436" s="90">
        <f t="shared" ca="1" si="13"/>
        <v>1.6724917750105601E-2</v>
      </c>
    </row>
    <row r="437" spans="2:8" x14ac:dyDescent="0.3">
      <c r="B437" s="58">
        <f>'DATA HISTORICAL'!$B1082</f>
        <v>45274</v>
      </c>
      <c r="C437" s="60">
        <f>'DATA HISTORICAL'!$C1082</f>
        <v>9963.2999999999993</v>
      </c>
      <c r="D437" s="53">
        <f t="shared" si="12"/>
        <v>2.2754497169161288E-2</v>
      </c>
      <c r="E437" s="53">
        <v>2.7656707635456537E-2</v>
      </c>
      <c r="G437" s="90">
        <v>429</v>
      </c>
      <c r="H437" s="90">
        <f t="shared" ca="1" si="13"/>
        <v>-1.0792603859816993E-2</v>
      </c>
    </row>
    <row r="438" spans="2:8" x14ac:dyDescent="0.3">
      <c r="B438" s="58">
        <f>'DATA HISTORICAL'!$B1083</f>
        <v>45273</v>
      </c>
      <c r="C438" s="60">
        <f>'DATA HISTORICAL'!$C1083</f>
        <v>9739.15</v>
      </c>
      <c r="D438" s="53">
        <f t="shared" si="12"/>
        <v>-1.2687230349342766E-2</v>
      </c>
      <c r="E438" s="53">
        <v>2.762308396416354E-2</v>
      </c>
      <c r="G438" s="90">
        <v>430</v>
      </c>
      <c r="H438" s="90">
        <f t="shared" ca="1" si="13"/>
        <v>4.2182408938825244E-2</v>
      </c>
    </row>
    <row r="439" spans="2:8" x14ac:dyDescent="0.3">
      <c r="B439" s="58">
        <f>'DATA HISTORICAL'!$B1084</f>
        <v>45272</v>
      </c>
      <c r="C439" s="60">
        <f>'DATA HISTORICAL'!$C1084</f>
        <v>9863.5</v>
      </c>
      <c r="D439" s="53">
        <f t="shared" si="12"/>
        <v>1.9719698712748149E-2</v>
      </c>
      <c r="E439" s="53">
        <v>2.7556490574118471E-2</v>
      </c>
      <c r="G439" s="90">
        <v>431</v>
      </c>
      <c r="H439" s="90">
        <f t="shared" ca="1" si="13"/>
        <v>4.9022361657798788E-2</v>
      </c>
    </row>
    <row r="440" spans="2:8" x14ac:dyDescent="0.3">
      <c r="B440" s="58">
        <f>'DATA HISTORICAL'!$B1085</f>
        <v>45271</v>
      </c>
      <c r="C440" s="60">
        <f>'DATA HISTORICAL'!$C1085</f>
        <v>9670.9</v>
      </c>
      <c r="D440" s="53">
        <f t="shared" si="12"/>
        <v>2.6971235799826711E-2</v>
      </c>
      <c r="E440" s="53">
        <v>2.7515529234030778E-2</v>
      </c>
      <c r="G440" s="90">
        <v>432</v>
      </c>
      <c r="H440" s="90">
        <f t="shared" ca="1" si="13"/>
        <v>2.2686624844473889E-2</v>
      </c>
    </row>
    <row r="441" spans="2:8" x14ac:dyDescent="0.3">
      <c r="B441" s="58">
        <f>'DATA HISTORICAL'!$B1086</f>
        <v>45268</v>
      </c>
      <c r="C441" s="60">
        <f>'DATA HISTORICAL'!$C1086</f>
        <v>9413.5499999999993</v>
      </c>
      <c r="D441" s="53">
        <f t="shared" si="12"/>
        <v>6.2872847390473708E-3</v>
      </c>
      <c r="E441" s="53">
        <v>2.7498490114298838E-2</v>
      </c>
      <c r="G441" s="90">
        <v>433</v>
      </c>
      <c r="H441" s="90">
        <f t="shared" ca="1" si="13"/>
        <v>-1.5591621092785845E-2</v>
      </c>
    </row>
    <row r="442" spans="2:8" x14ac:dyDescent="0.3">
      <c r="B442" s="58">
        <f>'DATA HISTORICAL'!$B1087</f>
        <v>45267</v>
      </c>
      <c r="C442" s="60">
        <f>'DATA HISTORICAL'!$C1087</f>
        <v>9354.5499999999993</v>
      </c>
      <c r="D442" s="53">
        <f t="shared" si="12"/>
        <v>1.5247325823369394E-2</v>
      </c>
      <c r="E442" s="53">
        <v>2.7472172592421802E-2</v>
      </c>
      <c r="G442" s="90">
        <v>434</v>
      </c>
      <c r="H442" s="90">
        <f t="shared" ca="1" si="13"/>
        <v>3.319265588272672E-3</v>
      </c>
    </row>
    <row r="443" spans="2:8" x14ac:dyDescent="0.3">
      <c r="B443" s="58">
        <f>'DATA HISTORICAL'!$B1088</f>
        <v>45266</v>
      </c>
      <c r="C443" s="60">
        <f>'DATA HISTORICAL'!$C1088</f>
        <v>9213</v>
      </c>
      <c r="D443" s="53">
        <f t="shared" si="12"/>
        <v>-1.2592689089427444E-2</v>
      </c>
      <c r="E443" s="53">
        <v>2.7456278292004446E-2</v>
      </c>
      <c r="G443" s="90">
        <v>435</v>
      </c>
      <c r="H443" s="90">
        <f t="shared" ca="1" si="13"/>
        <v>5.5319640638662503E-3</v>
      </c>
    </row>
    <row r="444" spans="2:8" x14ac:dyDescent="0.3">
      <c r="B444" s="58">
        <f>'DATA HISTORICAL'!$B1089</f>
        <v>45265</v>
      </c>
      <c r="C444" s="60">
        <f>'DATA HISTORICAL'!$C1089</f>
        <v>9329.75</v>
      </c>
      <c r="D444" s="53">
        <f t="shared" si="12"/>
        <v>1.2870359733434377E-3</v>
      </c>
      <c r="E444" s="53">
        <v>2.7447397700160213E-2</v>
      </c>
      <c r="G444" s="90">
        <v>436</v>
      </c>
      <c r="H444" s="90">
        <f t="shared" ca="1" si="13"/>
        <v>-1.8292194141810492E-2</v>
      </c>
    </row>
    <row r="445" spans="2:8" x14ac:dyDescent="0.3">
      <c r="B445" s="58">
        <f>'DATA HISTORICAL'!$B1090</f>
        <v>45264</v>
      </c>
      <c r="C445" s="60">
        <f>'DATA HISTORICAL'!$C1090</f>
        <v>9317.75</v>
      </c>
      <c r="D445" s="53">
        <f t="shared" si="12"/>
        <v>3.0942550088981984E-2</v>
      </c>
      <c r="E445" s="53">
        <v>2.7403750788884594E-2</v>
      </c>
      <c r="G445" s="90">
        <v>437</v>
      </c>
      <c r="H445" s="90">
        <f t="shared" ca="1" si="13"/>
        <v>-5.6005057206688922E-3</v>
      </c>
    </row>
    <row r="446" spans="2:8" x14ac:dyDescent="0.3">
      <c r="B446" s="58">
        <f>'DATA HISTORICAL'!$B1091</f>
        <v>45261</v>
      </c>
      <c r="C446" s="60">
        <f>'DATA HISTORICAL'!$C1091</f>
        <v>9033.85</v>
      </c>
      <c r="D446" s="53">
        <f t="shared" si="12"/>
        <v>3.3485824775485607E-3</v>
      </c>
      <c r="E446" s="53">
        <v>2.7333846701035586E-2</v>
      </c>
      <c r="G446" s="90">
        <v>438</v>
      </c>
      <c r="H446" s="90">
        <f t="shared" ca="1" si="13"/>
        <v>-1.7494424873561589E-2</v>
      </c>
    </row>
    <row r="447" spans="2:8" x14ac:dyDescent="0.3">
      <c r="B447" s="58">
        <f>'DATA HISTORICAL'!$B1092</f>
        <v>45260</v>
      </c>
      <c r="C447" s="60">
        <f>'DATA HISTORICAL'!$C1092</f>
        <v>9003.65</v>
      </c>
      <c r="D447" s="53">
        <f t="shared" si="12"/>
        <v>3.0549724701348209E-2</v>
      </c>
      <c r="E447" s="53">
        <v>2.7325903282815655E-2</v>
      </c>
      <c r="G447" s="90">
        <v>439</v>
      </c>
      <c r="H447" s="90">
        <f t="shared" ca="1" si="13"/>
        <v>1.1407709922164411E-2</v>
      </c>
    </row>
    <row r="448" spans="2:8" x14ac:dyDescent="0.3">
      <c r="B448" s="58">
        <f>'DATA HISTORICAL'!$B1093</f>
        <v>45259</v>
      </c>
      <c r="C448" s="60">
        <f>'DATA HISTORICAL'!$C1093</f>
        <v>8732.75</v>
      </c>
      <c r="D448" s="53">
        <f t="shared" si="12"/>
        <v>7.1595289224599546E-4</v>
      </c>
      <c r="E448" s="53">
        <v>2.7288673282336189E-2</v>
      </c>
      <c r="G448" s="90">
        <v>440</v>
      </c>
      <c r="H448" s="90">
        <f t="shared" ca="1" si="13"/>
        <v>7.3918458410918465E-3</v>
      </c>
    </row>
    <row r="449" spans="2:8" x14ac:dyDescent="0.3">
      <c r="B449" s="58">
        <f>'DATA HISTORICAL'!$B1094</f>
        <v>45258</v>
      </c>
      <c r="C449" s="60">
        <f>'DATA HISTORICAL'!$C1094</f>
        <v>8726.5</v>
      </c>
      <c r="D449" s="53">
        <f t="shared" si="12"/>
        <v>1.9708206726726005E-2</v>
      </c>
      <c r="E449" s="53">
        <v>2.7288585693399481E-2</v>
      </c>
      <c r="G449" s="90">
        <v>441</v>
      </c>
      <c r="H449" s="90">
        <f t="shared" ca="1" si="13"/>
        <v>7.366218844900998E-3</v>
      </c>
    </row>
    <row r="450" spans="2:8" x14ac:dyDescent="0.3">
      <c r="B450" s="58">
        <f>'DATA HISTORICAL'!$B1095</f>
        <v>45254</v>
      </c>
      <c r="C450" s="60">
        <f>'DATA HISTORICAL'!$C1095</f>
        <v>8556.2000000000007</v>
      </c>
      <c r="D450" s="53">
        <f t="shared" si="12"/>
        <v>-5.7163157616825656E-3</v>
      </c>
      <c r="E450" s="53">
        <v>2.7263995472524803E-2</v>
      </c>
      <c r="G450" s="90">
        <v>442</v>
      </c>
      <c r="H450" s="90">
        <f t="shared" ca="1" si="13"/>
        <v>-1.9226672712505156E-2</v>
      </c>
    </row>
    <row r="451" spans="2:8" x14ac:dyDescent="0.3">
      <c r="B451" s="58">
        <f>'DATA HISTORICAL'!$B1096</f>
        <v>45253</v>
      </c>
      <c r="C451" s="60">
        <f>'DATA HISTORICAL'!$C1096</f>
        <v>8605.25</v>
      </c>
      <c r="D451" s="53">
        <f t="shared" si="12"/>
        <v>-1.7812007240317375E-2</v>
      </c>
      <c r="E451" s="53">
        <v>2.7199520100675952E-2</v>
      </c>
      <c r="G451" s="90">
        <v>443</v>
      </c>
      <c r="H451" s="90">
        <f t="shared" ca="1" si="13"/>
        <v>2.7910597587809557E-2</v>
      </c>
    </row>
    <row r="452" spans="2:8" x14ac:dyDescent="0.3">
      <c r="B452" s="58">
        <f>'DATA HISTORICAL'!$B1097</f>
        <v>45252</v>
      </c>
      <c r="C452" s="60">
        <f>'DATA HISTORICAL'!$C1097</f>
        <v>8759.9</v>
      </c>
      <c r="D452" s="53">
        <f t="shared" si="12"/>
        <v>5.9021538673963113E-3</v>
      </c>
      <c r="E452" s="53">
        <v>2.7196981519957395E-2</v>
      </c>
      <c r="G452" s="90">
        <v>444</v>
      </c>
      <c r="H452" s="90">
        <f t="shared" ca="1" si="13"/>
        <v>2.0764777435066214E-2</v>
      </c>
    </row>
    <row r="453" spans="2:8" x14ac:dyDescent="0.3">
      <c r="B453" s="58">
        <f>'DATA HISTORICAL'!$B1098</f>
        <v>45251</v>
      </c>
      <c r="C453" s="60">
        <f>'DATA HISTORICAL'!$C1098</f>
        <v>8708.35</v>
      </c>
      <c r="D453" s="53">
        <f t="shared" si="12"/>
        <v>5.3944177537735951E-3</v>
      </c>
      <c r="E453" s="53">
        <v>2.7126060756578817E-2</v>
      </c>
      <c r="G453" s="90">
        <v>445</v>
      </c>
      <c r="H453" s="90">
        <f t="shared" ca="1" si="13"/>
        <v>-1.358661000816707E-2</v>
      </c>
    </row>
    <row r="454" spans="2:8" x14ac:dyDescent="0.3">
      <c r="B454" s="58">
        <f>'DATA HISTORICAL'!$B1099</f>
        <v>45250</v>
      </c>
      <c r="C454" s="60">
        <f>'DATA HISTORICAL'!$C1099</f>
        <v>8661.5</v>
      </c>
      <c r="D454" s="53">
        <f t="shared" si="12"/>
        <v>-1.483486548092707E-2</v>
      </c>
      <c r="E454" s="53">
        <v>2.7096096986421483E-2</v>
      </c>
      <c r="G454" s="90">
        <v>446</v>
      </c>
      <c r="H454" s="90">
        <f t="shared" ca="1" si="13"/>
        <v>4.4026665406888569E-3</v>
      </c>
    </row>
    <row r="455" spans="2:8" x14ac:dyDescent="0.3">
      <c r="B455" s="58">
        <f>'DATA HISTORICAL'!$B1100</f>
        <v>45247</v>
      </c>
      <c r="C455" s="60">
        <f>'DATA HISTORICAL'!$C1100</f>
        <v>8790.9500000000007</v>
      </c>
      <c r="D455" s="53">
        <f t="shared" si="12"/>
        <v>1.8103158763916694E-3</v>
      </c>
      <c r="E455" s="53">
        <v>2.7061990967687792E-2</v>
      </c>
      <c r="G455" s="90">
        <v>447</v>
      </c>
      <c r="H455" s="90">
        <f t="shared" ca="1" si="13"/>
        <v>2.453340398996286E-2</v>
      </c>
    </row>
    <row r="456" spans="2:8" x14ac:dyDescent="0.3">
      <c r="B456" s="58">
        <f>'DATA HISTORICAL'!$B1101</f>
        <v>45246</v>
      </c>
      <c r="C456" s="60">
        <f>'DATA HISTORICAL'!$C1101</f>
        <v>8775.0499999999993</v>
      </c>
      <c r="D456" s="53">
        <f t="shared" si="12"/>
        <v>9.29201210401638E-4</v>
      </c>
      <c r="E456" s="53">
        <v>2.697687872620157E-2</v>
      </c>
      <c r="G456" s="90">
        <v>448</v>
      </c>
      <c r="H456" s="90">
        <f t="shared" ca="1" si="13"/>
        <v>-1.051619397369041E-2</v>
      </c>
    </row>
    <row r="457" spans="2:8" x14ac:dyDescent="0.3">
      <c r="B457" s="58">
        <f>'DATA HISTORICAL'!$B1102</f>
        <v>45245</v>
      </c>
      <c r="C457" s="60">
        <f>'DATA HISTORICAL'!$C1102</f>
        <v>8766.9</v>
      </c>
      <c r="D457" s="53">
        <f t="shared" ref="D457:D520" si="14">LN(C457/C458)</f>
        <v>1.0261321500058344E-2</v>
      </c>
      <c r="E457" s="53">
        <v>2.6944128179158883E-2</v>
      </c>
      <c r="G457" s="90">
        <v>449</v>
      </c>
      <c r="H457" s="90">
        <f t="shared" ref="H457:H520" ca="1" si="15">_xlfn.NORM.INV(RAND(),N$10,N$11)</f>
        <v>2.0856799601392455E-2</v>
      </c>
    </row>
    <row r="458" spans="2:8" x14ac:dyDescent="0.3">
      <c r="B458" s="58">
        <f>'DATA HISTORICAL'!$B1103</f>
        <v>45243</v>
      </c>
      <c r="C458" s="60">
        <f>'DATA HISTORICAL'!$C1103</f>
        <v>8677.4</v>
      </c>
      <c r="D458" s="53">
        <f t="shared" si="14"/>
        <v>-5.2355388307747828E-3</v>
      </c>
      <c r="E458" s="53">
        <v>2.6935669524692864E-2</v>
      </c>
      <c r="G458" s="90">
        <v>450</v>
      </c>
      <c r="H458" s="90">
        <f t="shared" ca="1" si="15"/>
        <v>2.1226479012156612E-2</v>
      </c>
    </row>
    <row r="459" spans="2:8" x14ac:dyDescent="0.3">
      <c r="B459" s="58">
        <f>'DATA HISTORICAL'!$B1104</f>
        <v>45242</v>
      </c>
      <c r="C459" s="60">
        <f>'DATA HISTORICAL'!$C1104</f>
        <v>8722.9500000000007</v>
      </c>
      <c r="D459" s="53">
        <f t="shared" si="14"/>
        <v>1.3881083806057384E-3</v>
      </c>
      <c r="E459" s="53">
        <v>2.6876880852073418E-2</v>
      </c>
      <c r="G459" s="90">
        <v>451</v>
      </c>
      <c r="H459" s="90">
        <f t="shared" ca="1" si="15"/>
        <v>-6.2082306281431099E-3</v>
      </c>
    </row>
    <row r="460" spans="2:8" x14ac:dyDescent="0.3">
      <c r="B460" s="58">
        <f>'DATA HISTORICAL'!$B1105</f>
        <v>45240</v>
      </c>
      <c r="C460" s="60">
        <f>'DATA HISTORICAL'!$C1105</f>
        <v>8710.85</v>
      </c>
      <c r="D460" s="53">
        <f t="shared" si="14"/>
        <v>9.6667592459511679E-3</v>
      </c>
      <c r="E460" s="53">
        <v>2.6862117709837867E-2</v>
      </c>
      <c r="G460" s="90">
        <v>452</v>
      </c>
      <c r="H460" s="90">
        <f t="shared" ca="1" si="15"/>
        <v>-2.5698374171127091E-2</v>
      </c>
    </row>
    <row r="461" spans="2:8" x14ac:dyDescent="0.3">
      <c r="B461" s="58">
        <f>'DATA HISTORICAL'!$B1106</f>
        <v>45239</v>
      </c>
      <c r="C461" s="60">
        <f>'DATA HISTORICAL'!$C1106</f>
        <v>8627.0499999999993</v>
      </c>
      <c r="D461" s="53">
        <f t="shared" si="14"/>
        <v>-8.2882171802775313E-3</v>
      </c>
      <c r="E461" s="53">
        <v>2.6824707716191457E-2</v>
      </c>
      <c r="G461" s="90">
        <v>453</v>
      </c>
      <c r="H461" s="90">
        <f t="shared" ca="1" si="15"/>
        <v>7.8568605067646791E-3</v>
      </c>
    </row>
    <row r="462" spans="2:8" x14ac:dyDescent="0.3">
      <c r="B462" s="58">
        <f>'DATA HISTORICAL'!$B1107</f>
        <v>45238</v>
      </c>
      <c r="C462" s="60">
        <f>'DATA HISTORICAL'!$C1107</f>
        <v>8698.85</v>
      </c>
      <c r="D462" s="53">
        <f t="shared" si="14"/>
        <v>1.5070812649696759E-3</v>
      </c>
      <c r="E462" s="53">
        <v>2.6795782676858879E-2</v>
      </c>
      <c r="G462" s="90">
        <v>454</v>
      </c>
      <c r="H462" s="90">
        <f t="shared" ca="1" si="15"/>
        <v>6.0641439231234892E-3</v>
      </c>
    </row>
    <row r="463" spans="2:8" x14ac:dyDescent="0.3">
      <c r="B463" s="58">
        <f>'DATA HISTORICAL'!$B1108</f>
        <v>45237</v>
      </c>
      <c r="C463" s="60">
        <f>'DATA HISTORICAL'!$C1108</f>
        <v>8685.75</v>
      </c>
      <c r="D463" s="53">
        <f t="shared" si="14"/>
        <v>5.1712212752571514E-3</v>
      </c>
      <c r="E463" s="53">
        <v>2.6777349873364498E-2</v>
      </c>
      <c r="G463" s="90">
        <v>455</v>
      </c>
      <c r="H463" s="90">
        <f t="shared" ca="1" si="15"/>
        <v>3.7632130284608891E-3</v>
      </c>
    </row>
    <row r="464" spans="2:8" x14ac:dyDescent="0.3">
      <c r="B464" s="58">
        <f>'DATA HISTORICAL'!$B1109</f>
        <v>45236</v>
      </c>
      <c r="C464" s="60">
        <f>'DATA HISTORICAL'!$C1109</f>
        <v>8640.9500000000007</v>
      </c>
      <c r="D464" s="53">
        <f t="shared" si="14"/>
        <v>1.3791071867889587E-2</v>
      </c>
      <c r="E464" s="53">
        <v>2.6683328190246117E-2</v>
      </c>
      <c r="G464" s="90">
        <v>456</v>
      </c>
      <c r="H464" s="90">
        <f t="shared" ca="1" si="15"/>
        <v>1.5199761915499696E-3</v>
      </c>
    </row>
    <row r="465" spans="2:8" x14ac:dyDescent="0.3">
      <c r="B465" s="58">
        <f>'DATA HISTORICAL'!$B1110</f>
        <v>45233</v>
      </c>
      <c r="C465" s="60">
        <f>'DATA HISTORICAL'!$C1110</f>
        <v>8522.6</v>
      </c>
      <c r="D465" s="53">
        <f t="shared" si="14"/>
        <v>7.4904952854356176E-3</v>
      </c>
      <c r="E465" s="53">
        <v>2.6585795525493169E-2</v>
      </c>
      <c r="G465" s="90">
        <v>457</v>
      </c>
      <c r="H465" s="90">
        <f t="shared" ca="1" si="15"/>
        <v>7.2311654509982608E-3</v>
      </c>
    </row>
    <row r="466" spans="2:8" x14ac:dyDescent="0.3">
      <c r="B466" s="58">
        <f>'DATA HISTORICAL'!$B1111</f>
        <v>45232</v>
      </c>
      <c r="C466" s="60">
        <f>'DATA HISTORICAL'!$C1111</f>
        <v>8459</v>
      </c>
      <c r="D466" s="53">
        <f t="shared" si="14"/>
        <v>9.2100327697740916E-3</v>
      </c>
      <c r="E466" s="53">
        <v>2.6553390875976524E-2</v>
      </c>
      <c r="G466" s="90">
        <v>458</v>
      </c>
      <c r="H466" s="90">
        <f t="shared" ca="1" si="15"/>
        <v>6.8265651750130333E-4</v>
      </c>
    </row>
    <row r="467" spans="2:8" x14ac:dyDescent="0.3">
      <c r="B467" s="58">
        <f>'DATA HISTORICAL'!$B1112</f>
        <v>45231</v>
      </c>
      <c r="C467" s="60">
        <f>'DATA HISTORICAL'!$C1112</f>
        <v>8381.4500000000007</v>
      </c>
      <c r="D467" s="53">
        <f t="shared" si="14"/>
        <v>-4.856082907598671E-3</v>
      </c>
      <c r="E467" s="53">
        <v>2.6527754906657156E-2</v>
      </c>
      <c r="G467" s="90">
        <v>459</v>
      </c>
      <c r="H467" s="90">
        <f t="shared" ca="1" si="15"/>
        <v>2.5700675088441649E-2</v>
      </c>
    </row>
    <row r="468" spans="2:8" x14ac:dyDescent="0.3">
      <c r="B468" s="58">
        <f>'DATA HISTORICAL'!$B1113</f>
        <v>45230</v>
      </c>
      <c r="C468" s="60">
        <f>'DATA HISTORICAL'!$C1113</f>
        <v>8422.25</v>
      </c>
      <c r="D468" s="53">
        <f t="shared" si="14"/>
        <v>2.4548495582440667E-3</v>
      </c>
      <c r="E468" s="53">
        <v>2.6501374336238313E-2</v>
      </c>
      <c r="G468" s="90">
        <v>460</v>
      </c>
      <c r="H468" s="90">
        <f t="shared" ca="1" si="15"/>
        <v>1.2026136380157522E-2</v>
      </c>
    </row>
    <row r="469" spans="2:8" x14ac:dyDescent="0.3">
      <c r="B469" s="58">
        <f>'DATA HISTORICAL'!$B1114</f>
        <v>45229</v>
      </c>
      <c r="C469" s="60">
        <f>'DATA HISTORICAL'!$C1114</f>
        <v>8401.6</v>
      </c>
      <c r="D469" s="53">
        <f t="shared" si="14"/>
        <v>2.3050970202073907E-2</v>
      </c>
      <c r="E469" s="53">
        <v>2.6498658317492658E-2</v>
      </c>
      <c r="G469" s="90">
        <v>461</v>
      </c>
      <c r="H469" s="90">
        <f t="shared" ca="1" si="15"/>
        <v>3.1190156380978152E-2</v>
      </c>
    </row>
    <row r="470" spans="2:8" x14ac:dyDescent="0.3">
      <c r="B470" s="58">
        <f>'DATA HISTORICAL'!$B1115</f>
        <v>45226</v>
      </c>
      <c r="C470" s="60">
        <f>'DATA HISTORICAL'!$C1115</f>
        <v>8210.15</v>
      </c>
      <c r="D470" s="53">
        <f t="shared" si="14"/>
        <v>5.9090675444460259E-4</v>
      </c>
      <c r="E470" s="53">
        <v>2.6472472872037144E-2</v>
      </c>
      <c r="G470" s="90">
        <v>462</v>
      </c>
      <c r="H470" s="90">
        <f t="shared" ca="1" si="15"/>
        <v>-1.975984445228748E-2</v>
      </c>
    </row>
    <row r="471" spans="2:8" x14ac:dyDescent="0.3">
      <c r="B471" s="58">
        <f>'DATA HISTORICAL'!$B1116</f>
        <v>45225</v>
      </c>
      <c r="C471" s="60">
        <f>'DATA HISTORICAL'!$C1116</f>
        <v>8205.2999999999993</v>
      </c>
      <c r="D471" s="53">
        <f t="shared" si="14"/>
        <v>-6.2023143065450736E-3</v>
      </c>
      <c r="E471" s="53">
        <v>2.6447960463905202E-2</v>
      </c>
      <c r="G471" s="90">
        <v>463</v>
      </c>
      <c r="H471" s="90">
        <f t="shared" ca="1" si="15"/>
        <v>9.8118557106964769E-3</v>
      </c>
    </row>
    <row r="472" spans="2:8" x14ac:dyDescent="0.3">
      <c r="B472" s="58">
        <f>'DATA HISTORICAL'!$B1117</f>
        <v>45224</v>
      </c>
      <c r="C472" s="60">
        <f>'DATA HISTORICAL'!$C1117</f>
        <v>8256.35</v>
      </c>
      <c r="D472" s="53">
        <f t="shared" si="14"/>
        <v>-8.3104641941608298E-3</v>
      </c>
      <c r="E472" s="53">
        <v>2.6423896795958912E-2</v>
      </c>
      <c r="G472" s="90">
        <v>464</v>
      </c>
      <c r="H472" s="90">
        <f t="shared" ca="1" si="15"/>
        <v>2.133624754800164E-4</v>
      </c>
    </row>
    <row r="473" spans="2:8" x14ac:dyDescent="0.3">
      <c r="B473" s="58">
        <f>'DATA HISTORICAL'!$B1118</f>
        <v>45222</v>
      </c>
      <c r="C473" s="60">
        <f>'DATA HISTORICAL'!$C1118</f>
        <v>8325.25</v>
      </c>
      <c r="D473" s="53">
        <f t="shared" si="14"/>
        <v>-1.6180213946223737E-2</v>
      </c>
      <c r="E473" s="53">
        <v>2.6369551976311273E-2</v>
      </c>
      <c r="G473" s="90">
        <v>465</v>
      </c>
      <c r="H473" s="90">
        <f t="shared" ca="1" si="15"/>
        <v>7.6024591462063211E-3</v>
      </c>
    </row>
    <row r="474" spans="2:8" x14ac:dyDescent="0.3">
      <c r="B474" s="58">
        <f>'DATA HISTORICAL'!$B1119</f>
        <v>45219</v>
      </c>
      <c r="C474" s="60">
        <f>'DATA HISTORICAL'!$C1119</f>
        <v>8461.0499999999993</v>
      </c>
      <c r="D474" s="53">
        <f t="shared" si="14"/>
        <v>-6.7728591723421787E-3</v>
      </c>
      <c r="E474" s="53">
        <v>2.6363235219417594E-2</v>
      </c>
      <c r="G474" s="90">
        <v>466</v>
      </c>
      <c r="H474" s="90">
        <f t="shared" ca="1" si="15"/>
        <v>-1.5602448464196511E-3</v>
      </c>
    </row>
    <row r="475" spans="2:8" x14ac:dyDescent="0.3">
      <c r="B475" s="58">
        <f>'DATA HISTORICAL'!$B1120</f>
        <v>45218</v>
      </c>
      <c r="C475" s="60">
        <f>'DATA HISTORICAL'!$C1120</f>
        <v>8518.5499999999993</v>
      </c>
      <c r="D475" s="53">
        <f t="shared" si="14"/>
        <v>2.8608505256511423E-2</v>
      </c>
      <c r="E475" s="53">
        <v>2.6345213593624375E-2</v>
      </c>
      <c r="G475" s="90">
        <v>467</v>
      </c>
      <c r="H475" s="90">
        <f t="shared" ca="1" si="15"/>
        <v>-3.190795247735239E-2</v>
      </c>
    </row>
    <row r="476" spans="2:8" x14ac:dyDescent="0.3">
      <c r="B476" s="58">
        <f>'DATA HISTORICAL'!$B1121</f>
        <v>45217</v>
      </c>
      <c r="C476" s="60">
        <f>'DATA HISTORICAL'!$C1121</f>
        <v>8278.2999999999993</v>
      </c>
      <c r="D476" s="53">
        <f t="shared" si="14"/>
        <v>-2.7865419696701346E-3</v>
      </c>
      <c r="E476" s="53">
        <v>2.6337112944725394E-2</v>
      </c>
      <c r="G476" s="90">
        <v>468</v>
      </c>
      <c r="H476" s="90">
        <f t="shared" ca="1" si="15"/>
        <v>1.7670665054498113E-2</v>
      </c>
    </row>
    <row r="477" spans="2:8" x14ac:dyDescent="0.3">
      <c r="B477" s="58">
        <f>'DATA HISTORICAL'!$B1122</f>
        <v>45216</v>
      </c>
      <c r="C477" s="60">
        <f>'DATA HISTORICAL'!$C1122</f>
        <v>8301.4</v>
      </c>
      <c r="D477" s="53">
        <f t="shared" si="14"/>
        <v>1.1088613613286257E-3</v>
      </c>
      <c r="E477" s="53">
        <v>2.6289953312974842E-2</v>
      </c>
      <c r="G477" s="90">
        <v>469</v>
      </c>
      <c r="H477" s="90">
        <f t="shared" ca="1" si="15"/>
        <v>2.8281336193627868E-2</v>
      </c>
    </row>
    <row r="478" spans="2:8" x14ac:dyDescent="0.3">
      <c r="B478" s="58">
        <f>'DATA HISTORICAL'!$B1123</f>
        <v>45215</v>
      </c>
      <c r="C478" s="60">
        <f>'DATA HISTORICAL'!$C1123</f>
        <v>8292.2000000000007</v>
      </c>
      <c r="D478" s="53">
        <f t="shared" si="14"/>
        <v>-9.219089134695841E-3</v>
      </c>
      <c r="E478" s="53">
        <v>2.6265794303888503E-2</v>
      </c>
      <c r="G478" s="90">
        <v>470</v>
      </c>
      <c r="H478" s="90">
        <f t="shared" ca="1" si="15"/>
        <v>1.2683761886359168E-2</v>
      </c>
    </row>
    <row r="479" spans="2:8" x14ac:dyDescent="0.3">
      <c r="B479" s="58">
        <f>'DATA HISTORICAL'!$B1124</f>
        <v>45212</v>
      </c>
      <c r="C479" s="60">
        <f>'DATA HISTORICAL'!$C1124</f>
        <v>8369</v>
      </c>
      <c r="D479" s="53">
        <f t="shared" si="14"/>
        <v>2.0633053086452969E-3</v>
      </c>
      <c r="E479" s="53">
        <v>2.6260841449293162E-2</v>
      </c>
      <c r="G479" s="90">
        <v>471</v>
      </c>
      <c r="H479" s="90">
        <f t="shared" ca="1" si="15"/>
        <v>-1.0371512654232744E-2</v>
      </c>
    </row>
    <row r="480" spans="2:8" x14ac:dyDescent="0.3">
      <c r="B480" s="58">
        <f>'DATA HISTORICAL'!$B1125</f>
        <v>45211</v>
      </c>
      <c r="C480" s="60">
        <f>'DATA HISTORICAL'!$C1125</f>
        <v>8351.75</v>
      </c>
      <c r="D480" s="53">
        <f t="shared" si="14"/>
        <v>1.0482338221541243E-3</v>
      </c>
      <c r="E480" s="53">
        <v>2.6236792964485105E-2</v>
      </c>
      <c r="G480" s="90">
        <v>472</v>
      </c>
      <c r="H480" s="90">
        <f t="shared" ca="1" si="15"/>
        <v>1.2056710450162874E-2</v>
      </c>
    </row>
    <row r="481" spans="2:8" x14ac:dyDescent="0.3">
      <c r="B481" s="58">
        <f>'DATA HISTORICAL'!$B1126</f>
        <v>45210</v>
      </c>
      <c r="C481" s="60">
        <f>'DATA HISTORICAL'!$C1126</f>
        <v>8343</v>
      </c>
      <c r="D481" s="53">
        <f t="shared" si="14"/>
        <v>2.2387049981658538E-2</v>
      </c>
      <c r="E481" s="53">
        <v>2.6162770580515627E-2</v>
      </c>
      <c r="G481" s="90">
        <v>473</v>
      </c>
      <c r="H481" s="90">
        <f t="shared" ca="1" si="15"/>
        <v>-4.8024329407261911E-3</v>
      </c>
    </row>
    <row r="482" spans="2:8" x14ac:dyDescent="0.3">
      <c r="B482" s="58">
        <f>'DATA HISTORICAL'!$B1127</f>
        <v>45209</v>
      </c>
      <c r="C482" s="60">
        <f>'DATA HISTORICAL'!$C1127</f>
        <v>8158.3</v>
      </c>
      <c r="D482" s="53">
        <f t="shared" si="14"/>
        <v>5.9256154307499431E-3</v>
      </c>
      <c r="E482" s="53">
        <v>2.6123567171012711E-2</v>
      </c>
      <c r="G482" s="90">
        <v>474</v>
      </c>
      <c r="H482" s="90">
        <f t="shared" ca="1" si="15"/>
        <v>7.3969942335560456E-3</v>
      </c>
    </row>
    <row r="483" spans="2:8" x14ac:dyDescent="0.3">
      <c r="B483" s="58">
        <f>'DATA HISTORICAL'!$B1128</f>
        <v>45208</v>
      </c>
      <c r="C483" s="60">
        <f>'DATA HISTORICAL'!$C1128</f>
        <v>8110.1</v>
      </c>
      <c r="D483" s="53">
        <f t="shared" si="14"/>
        <v>-1.0468923712102701E-2</v>
      </c>
      <c r="E483" s="53">
        <v>2.6111566523662436E-2</v>
      </c>
      <c r="G483" s="90">
        <v>475</v>
      </c>
      <c r="H483" s="90">
        <f t="shared" ca="1" si="15"/>
        <v>1.6971883805792513E-2</v>
      </c>
    </row>
    <row r="484" spans="2:8" x14ac:dyDescent="0.3">
      <c r="B484" s="58">
        <f>'DATA HISTORICAL'!$B1129</f>
        <v>45205</v>
      </c>
      <c r="C484" s="60">
        <f>'DATA HISTORICAL'!$C1129</f>
        <v>8195.4500000000007</v>
      </c>
      <c r="D484" s="53">
        <f t="shared" si="14"/>
        <v>2.1987561460452749E-3</v>
      </c>
      <c r="E484" s="53">
        <v>2.6090596218409302E-2</v>
      </c>
      <c r="G484" s="90">
        <v>476</v>
      </c>
      <c r="H484" s="90">
        <f t="shared" ca="1" si="15"/>
        <v>-1.0375494010883474E-2</v>
      </c>
    </row>
    <row r="485" spans="2:8" x14ac:dyDescent="0.3">
      <c r="B485" s="58">
        <f>'DATA HISTORICAL'!$B1130</f>
        <v>45204</v>
      </c>
      <c r="C485" s="60">
        <f>'DATA HISTORICAL'!$C1130</f>
        <v>8177.45</v>
      </c>
      <c r="D485" s="53">
        <f t="shared" si="14"/>
        <v>6.9455375755922586E-3</v>
      </c>
      <c r="E485" s="53">
        <v>2.6007398046927147E-2</v>
      </c>
      <c r="G485" s="90">
        <v>477</v>
      </c>
      <c r="H485" s="90">
        <f t="shared" ca="1" si="15"/>
        <v>-5.9798750689898554E-3</v>
      </c>
    </row>
    <row r="486" spans="2:8" x14ac:dyDescent="0.3">
      <c r="B486" s="58">
        <f>'DATA HISTORICAL'!$B1131</f>
        <v>45203</v>
      </c>
      <c r="C486" s="60">
        <f>'DATA HISTORICAL'!$C1131</f>
        <v>8120.85</v>
      </c>
      <c r="D486" s="53">
        <f t="shared" si="14"/>
        <v>-2.2410873555578116E-2</v>
      </c>
      <c r="E486" s="53">
        <v>2.5991679054594131E-2</v>
      </c>
      <c r="G486" s="90">
        <v>478</v>
      </c>
      <c r="H486" s="90">
        <f t="shared" ca="1" si="15"/>
        <v>4.2595220991494535E-2</v>
      </c>
    </row>
    <row r="487" spans="2:8" x14ac:dyDescent="0.3">
      <c r="B487" s="58">
        <f>'DATA HISTORICAL'!$B1132</f>
        <v>45202</v>
      </c>
      <c r="C487" s="60">
        <f>'DATA HISTORICAL'!$C1132</f>
        <v>8304.9</v>
      </c>
      <c r="D487" s="53">
        <f t="shared" si="14"/>
        <v>6.0447956521442383E-3</v>
      </c>
      <c r="E487" s="53">
        <v>2.5989411835664913E-2</v>
      </c>
      <c r="G487" s="90">
        <v>479</v>
      </c>
      <c r="H487" s="90">
        <f t="shared" ca="1" si="15"/>
        <v>-2.8056678361012711E-2</v>
      </c>
    </row>
    <row r="488" spans="2:8" x14ac:dyDescent="0.3">
      <c r="B488" s="58">
        <f>'DATA HISTORICAL'!$B1133</f>
        <v>45198</v>
      </c>
      <c r="C488" s="60">
        <f>'DATA HISTORICAL'!$C1133</f>
        <v>8254.85</v>
      </c>
      <c r="D488" s="53">
        <f t="shared" si="14"/>
        <v>1.2249379207142251E-2</v>
      </c>
      <c r="E488" s="53">
        <v>2.5943895318262251E-2</v>
      </c>
      <c r="G488" s="90">
        <v>480</v>
      </c>
      <c r="H488" s="90">
        <f t="shared" ca="1" si="15"/>
        <v>3.9676356170115102E-3</v>
      </c>
    </row>
    <row r="489" spans="2:8" x14ac:dyDescent="0.3">
      <c r="B489" s="58">
        <f>'DATA HISTORICAL'!$B1134</f>
        <v>45197</v>
      </c>
      <c r="C489" s="60">
        <f>'DATA HISTORICAL'!$C1134</f>
        <v>8154.35</v>
      </c>
      <c r="D489" s="53">
        <f t="shared" si="14"/>
        <v>-1.3199883439430057E-2</v>
      </c>
      <c r="E489" s="53">
        <v>2.5921578126709924E-2</v>
      </c>
      <c r="G489" s="90">
        <v>481</v>
      </c>
      <c r="H489" s="90">
        <f t="shared" ca="1" si="15"/>
        <v>-2.008605056930023E-2</v>
      </c>
    </row>
    <row r="490" spans="2:8" x14ac:dyDescent="0.3">
      <c r="B490" s="58">
        <f>'DATA HISTORICAL'!$B1135</f>
        <v>45196</v>
      </c>
      <c r="C490" s="60">
        <f>'DATA HISTORICAL'!$C1135</f>
        <v>8262.7000000000007</v>
      </c>
      <c r="D490" s="53">
        <f t="shared" si="14"/>
        <v>4.099062228831326E-3</v>
      </c>
      <c r="E490" s="53">
        <v>2.5889301491359595E-2</v>
      </c>
      <c r="G490" s="90">
        <v>482</v>
      </c>
      <c r="H490" s="90">
        <f t="shared" ca="1" si="15"/>
        <v>3.5948837197250047E-2</v>
      </c>
    </row>
    <row r="491" spans="2:8" x14ac:dyDescent="0.3">
      <c r="B491" s="58">
        <f>'DATA HISTORICAL'!$B1136</f>
        <v>45195</v>
      </c>
      <c r="C491" s="60">
        <f>'DATA HISTORICAL'!$C1136</f>
        <v>8228.9</v>
      </c>
      <c r="D491" s="53">
        <f t="shared" si="14"/>
        <v>2.7623822714609295E-3</v>
      </c>
      <c r="E491" s="53">
        <v>2.5856887061348009E-2</v>
      </c>
      <c r="G491" s="90">
        <v>483</v>
      </c>
      <c r="H491" s="90">
        <f t="shared" ca="1" si="15"/>
        <v>2.9905964519749136E-2</v>
      </c>
    </row>
    <row r="492" spans="2:8" x14ac:dyDescent="0.3">
      <c r="B492" s="58">
        <f>'DATA HISTORICAL'!$B1137</f>
        <v>45194</v>
      </c>
      <c r="C492" s="60">
        <f>'DATA HISTORICAL'!$C1137</f>
        <v>8206.2000000000007</v>
      </c>
      <c r="D492" s="53">
        <f t="shared" si="14"/>
        <v>2.2935789870995862E-3</v>
      </c>
      <c r="E492" s="53">
        <v>2.5841973670632901E-2</v>
      </c>
      <c r="G492" s="90">
        <v>484</v>
      </c>
      <c r="H492" s="90">
        <f t="shared" ca="1" si="15"/>
        <v>7.4444338994939605E-3</v>
      </c>
    </row>
    <row r="493" spans="2:8" x14ac:dyDescent="0.3">
      <c r="B493" s="58">
        <f>'DATA HISTORICAL'!$B1138</f>
        <v>45191</v>
      </c>
      <c r="C493" s="60">
        <f>'DATA HISTORICAL'!$C1138</f>
        <v>8187.4</v>
      </c>
      <c r="D493" s="53">
        <f t="shared" si="14"/>
        <v>-1.529032664795465E-2</v>
      </c>
      <c r="E493" s="53">
        <v>2.5837418186453631E-2</v>
      </c>
      <c r="G493" s="90">
        <v>485</v>
      </c>
      <c r="H493" s="90">
        <f t="shared" ca="1" si="15"/>
        <v>3.7239415139507155E-3</v>
      </c>
    </row>
    <row r="494" spans="2:8" x14ac:dyDescent="0.3">
      <c r="B494" s="58">
        <f>'DATA HISTORICAL'!$B1139</f>
        <v>45190</v>
      </c>
      <c r="C494" s="60">
        <f>'DATA HISTORICAL'!$C1139</f>
        <v>8313.5499999999993</v>
      </c>
      <c r="D494" s="53">
        <f t="shared" si="14"/>
        <v>-1.7243759787812347E-2</v>
      </c>
      <c r="E494" s="53">
        <v>2.5829228707753744E-2</v>
      </c>
      <c r="G494" s="90">
        <v>486</v>
      </c>
      <c r="H494" s="90">
        <f t="shared" ca="1" si="15"/>
        <v>2.9364843866485052E-2</v>
      </c>
    </row>
    <row r="495" spans="2:8" x14ac:dyDescent="0.3">
      <c r="B495" s="58">
        <f>'DATA HISTORICAL'!$B1140</f>
        <v>45189</v>
      </c>
      <c r="C495" s="60">
        <f>'DATA HISTORICAL'!$C1140</f>
        <v>8458.15</v>
      </c>
      <c r="D495" s="53">
        <f t="shared" si="14"/>
        <v>-1.9882254944819159E-2</v>
      </c>
      <c r="E495" s="53">
        <v>2.5772617709932187E-2</v>
      </c>
      <c r="G495" s="90">
        <v>487</v>
      </c>
      <c r="H495" s="90">
        <f t="shared" ca="1" si="15"/>
        <v>6.7122345543570326E-3</v>
      </c>
    </row>
    <row r="496" spans="2:8" x14ac:dyDescent="0.3">
      <c r="B496" s="58">
        <f>'DATA HISTORICAL'!$B1141</f>
        <v>45187</v>
      </c>
      <c r="C496" s="60">
        <f>'DATA HISTORICAL'!$C1141</f>
        <v>8628</v>
      </c>
      <c r="D496" s="53">
        <f t="shared" si="14"/>
        <v>-1.1563620024774426E-2</v>
      </c>
      <c r="E496" s="53">
        <v>2.5770652973728849E-2</v>
      </c>
      <c r="G496" s="90">
        <v>488</v>
      </c>
      <c r="H496" s="90">
        <f t="shared" ca="1" si="15"/>
        <v>1.6819366229234873E-3</v>
      </c>
    </row>
    <row r="497" spans="2:8" x14ac:dyDescent="0.3">
      <c r="B497" s="58">
        <f>'DATA HISTORICAL'!$B1142</f>
        <v>45184</v>
      </c>
      <c r="C497" s="60">
        <f>'DATA HISTORICAL'!$C1142</f>
        <v>8728.35</v>
      </c>
      <c r="D497" s="53">
        <f t="shared" si="14"/>
        <v>4.6393404411219363E-3</v>
      </c>
      <c r="E497" s="53">
        <v>2.5744638024539877E-2</v>
      </c>
      <c r="G497" s="90">
        <v>489</v>
      </c>
      <c r="H497" s="90">
        <f t="shared" ca="1" si="15"/>
        <v>4.5260053325550057E-4</v>
      </c>
    </row>
    <row r="498" spans="2:8" x14ac:dyDescent="0.3">
      <c r="B498" s="58">
        <f>'DATA HISTORICAL'!$B1143</f>
        <v>45183</v>
      </c>
      <c r="C498" s="60">
        <f>'DATA HISTORICAL'!$C1143</f>
        <v>8687.9500000000007</v>
      </c>
      <c r="D498" s="53">
        <f t="shared" si="14"/>
        <v>5.9569682570071621E-3</v>
      </c>
      <c r="E498" s="53">
        <v>2.5735591109349733E-2</v>
      </c>
      <c r="G498" s="90">
        <v>490</v>
      </c>
      <c r="H498" s="90">
        <f t="shared" ca="1" si="15"/>
        <v>-1.1892951585092435E-2</v>
      </c>
    </row>
    <row r="499" spans="2:8" x14ac:dyDescent="0.3">
      <c r="B499" s="58">
        <f>'DATA HISTORICAL'!$B1144</f>
        <v>45182</v>
      </c>
      <c r="C499" s="60">
        <f>'DATA HISTORICAL'!$C1144</f>
        <v>8636.35</v>
      </c>
      <c r="D499" s="53">
        <f t="shared" si="14"/>
        <v>7.5197936871094061E-3</v>
      </c>
      <c r="E499" s="53">
        <v>2.5686958945071895E-2</v>
      </c>
      <c r="G499" s="90">
        <v>491</v>
      </c>
      <c r="H499" s="90">
        <f t="shared" ca="1" si="15"/>
        <v>2.217670395312597E-2</v>
      </c>
    </row>
    <row r="500" spans="2:8" x14ac:dyDescent="0.3">
      <c r="B500" s="58">
        <f>'DATA HISTORICAL'!$B1145</f>
        <v>45181</v>
      </c>
      <c r="C500" s="60">
        <f>'DATA HISTORICAL'!$C1145</f>
        <v>8571.65</v>
      </c>
      <c r="D500" s="53">
        <f t="shared" si="14"/>
        <v>1.2910147108704367E-2</v>
      </c>
      <c r="E500" s="53">
        <v>2.5682589159282392E-2</v>
      </c>
      <c r="G500" s="90">
        <v>492</v>
      </c>
      <c r="H500" s="90">
        <f t="shared" ca="1" si="15"/>
        <v>3.6210565011723615E-3</v>
      </c>
    </row>
    <row r="501" spans="2:8" x14ac:dyDescent="0.3">
      <c r="B501" s="58">
        <f>'DATA HISTORICAL'!$B1146</f>
        <v>45180</v>
      </c>
      <c r="C501" s="60">
        <f>'DATA HISTORICAL'!$C1146</f>
        <v>8461.7000000000007</v>
      </c>
      <c r="D501" s="53">
        <f t="shared" si="14"/>
        <v>3.6880859930988872E-3</v>
      </c>
      <c r="E501" s="53">
        <v>2.5672413740576799E-2</v>
      </c>
      <c r="G501" s="90">
        <v>493</v>
      </c>
      <c r="H501" s="90">
        <f t="shared" ca="1" si="15"/>
        <v>-1.2992195370153427E-3</v>
      </c>
    </row>
    <row r="502" spans="2:8" x14ac:dyDescent="0.3">
      <c r="B502" s="58">
        <f>'DATA HISTORICAL'!$B1147</f>
        <v>45177</v>
      </c>
      <c r="C502" s="60">
        <f>'DATA HISTORICAL'!$C1147</f>
        <v>8430.5499999999993</v>
      </c>
      <c r="D502" s="53">
        <f t="shared" si="14"/>
        <v>-7.6333993489181504E-3</v>
      </c>
      <c r="E502" s="53">
        <v>2.5639252145549914E-2</v>
      </c>
      <c r="G502" s="90">
        <v>494</v>
      </c>
      <c r="H502" s="90">
        <f t="shared" ca="1" si="15"/>
        <v>3.9441242719977371E-2</v>
      </c>
    </row>
    <row r="503" spans="2:8" x14ac:dyDescent="0.3">
      <c r="B503" s="58">
        <f>'DATA HISTORICAL'!$B1148</f>
        <v>45176</v>
      </c>
      <c r="C503" s="60">
        <f>'DATA HISTORICAL'!$C1148</f>
        <v>8495.15</v>
      </c>
      <c r="D503" s="53">
        <f t="shared" si="14"/>
        <v>-4.961099384002964E-3</v>
      </c>
      <c r="E503" s="53">
        <v>2.5628763294303848E-2</v>
      </c>
      <c r="G503" s="90">
        <v>495</v>
      </c>
      <c r="H503" s="90">
        <f t="shared" ca="1" si="15"/>
        <v>-9.6226941995602652E-3</v>
      </c>
    </row>
    <row r="504" spans="2:8" x14ac:dyDescent="0.3">
      <c r="B504" s="58">
        <f>'DATA HISTORICAL'!$B1149</f>
        <v>45175</v>
      </c>
      <c r="C504" s="60">
        <f>'DATA HISTORICAL'!$C1149</f>
        <v>8537.4</v>
      </c>
      <c r="D504" s="53">
        <f t="shared" si="14"/>
        <v>9.7162705860607702E-3</v>
      </c>
      <c r="E504" s="53">
        <v>2.5576841789649776E-2</v>
      </c>
      <c r="G504" s="90">
        <v>496</v>
      </c>
      <c r="H504" s="90">
        <f t="shared" ca="1" si="15"/>
        <v>-1.4439573935350739E-2</v>
      </c>
    </row>
    <row r="505" spans="2:8" x14ac:dyDescent="0.3">
      <c r="B505" s="58">
        <f>'DATA HISTORICAL'!$B1150</f>
        <v>45174</v>
      </c>
      <c r="C505" s="60">
        <f>'DATA HISTORICAL'!$C1150</f>
        <v>8454.85</v>
      </c>
      <c r="D505" s="53">
        <f t="shared" si="14"/>
        <v>-1.4990830929567966E-2</v>
      </c>
      <c r="E505" s="53">
        <v>2.5555195852357434E-2</v>
      </c>
      <c r="G505" s="90">
        <v>497</v>
      </c>
      <c r="H505" s="90">
        <f t="shared" ca="1" si="15"/>
        <v>-2.8141185797911732E-2</v>
      </c>
    </row>
    <row r="506" spans="2:8" x14ac:dyDescent="0.3">
      <c r="B506" s="58">
        <f>'DATA HISTORICAL'!$B1151</f>
        <v>45173</v>
      </c>
      <c r="C506" s="60">
        <f>'DATA HISTORICAL'!$C1151</f>
        <v>8582.5499999999993</v>
      </c>
      <c r="D506" s="53">
        <f t="shared" si="14"/>
        <v>3.8015969910939272E-2</v>
      </c>
      <c r="E506" s="53">
        <v>2.5508026144528385E-2</v>
      </c>
      <c r="G506" s="90">
        <v>498</v>
      </c>
      <c r="H506" s="90">
        <f t="shared" ca="1" si="15"/>
        <v>3.2130847293672549E-2</v>
      </c>
    </row>
    <row r="507" spans="2:8" x14ac:dyDescent="0.3">
      <c r="B507" s="58">
        <f>'DATA HISTORICAL'!$B1152</f>
        <v>45170</v>
      </c>
      <c r="C507" s="60">
        <f>'DATA HISTORICAL'!$C1152</f>
        <v>8262.4</v>
      </c>
      <c r="D507" s="53">
        <f t="shared" si="14"/>
        <v>-4.233136452286154E-3</v>
      </c>
      <c r="E507" s="53">
        <v>2.5477674033709284E-2</v>
      </c>
      <c r="G507" s="90">
        <v>499</v>
      </c>
      <c r="H507" s="90">
        <f t="shared" ca="1" si="15"/>
        <v>9.6034388279003305E-3</v>
      </c>
    </row>
    <row r="508" spans="2:8" x14ac:dyDescent="0.3">
      <c r="B508" s="58">
        <f>'DATA HISTORICAL'!$B1153</f>
        <v>45169</v>
      </c>
      <c r="C508" s="60">
        <f>'DATA HISTORICAL'!$C1153</f>
        <v>8297.4500000000007</v>
      </c>
      <c r="D508" s="53">
        <f t="shared" si="14"/>
        <v>3.8035714860807962E-3</v>
      </c>
      <c r="E508" s="53">
        <v>2.5402694024831401E-2</v>
      </c>
      <c r="G508" s="90">
        <v>500</v>
      </c>
      <c r="H508" s="90">
        <f t="shared" ca="1" si="15"/>
        <v>9.111283183329497E-3</v>
      </c>
    </row>
    <row r="509" spans="2:8" x14ac:dyDescent="0.3">
      <c r="B509" s="58">
        <f>'DATA HISTORICAL'!$B1154</f>
        <v>45168</v>
      </c>
      <c r="C509" s="60">
        <f>'DATA HISTORICAL'!$C1154</f>
        <v>8265.9500000000007</v>
      </c>
      <c r="D509" s="53">
        <f t="shared" si="14"/>
        <v>8.0470989612439064E-3</v>
      </c>
      <c r="E509" s="53">
        <v>2.5344970456619854E-2</v>
      </c>
      <c r="G509" s="90">
        <v>501</v>
      </c>
      <c r="H509" s="90">
        <f t="shared" ca="1" si="15"/>
        <v>-2.3865192966261349E-2</v>
      </c>
    </row>
    <row r="510" spans="2:8" x14ac:dyDescent="0.3">
      <c r="B510" s="58">
        <f>'DATA HISTORICAL'!$B1155</f>
        <v>45167</v>
      </c>
      <c r="C510" s="60">
        <f>'DATA HISTORICAL'!$C1155</f>
        <v>8199.7000000000007</v>
      </c>
      <c r="D510" s="53">
        <f t="shared" si="14"/>
        <v>1.0056864815329478E-2</v>
      </c>
      <c r="E510" s="53">
        <v>2.5341291133805639E-2</v>
      </c>
      <c r="G510" s="90">
        <v>502</v>
      </c>
      <c r="H510" s="90">
        <f t="shared" ca="1" si="15"/>
        <v>-3.4678871370098091E-2</v>
      </c>
    </row>
    <row r="511" spans="2:8" x14ac:dyDescent="0.3">
      <c r="B511" s="58">
        <f>'DATA HISTORICAL'!$B1156</f>
        <v>45166</v>
      </c>
      <c r="C511" s="60">
        <f>'DATA HISTORICAL'!$C1156</f>
        <v>8117.65</v>
      </c>
      <c r="D511" s="53">
        <f t="shared" si="14"/>
        <v>5.7075594589490663E-3</v>
      </c>
      <c r="E511" s="53">
        <v>2.5287198394302879E-2</v>
      </c>
      <c r="G511" s="90">
        <v>503</v>
      </c>
      <c r="H511" s="90">
        <f t="shared" ca="1" si="15"/>
        <v>-4.4867477448634879E-4</v>
      </c>
    </row>
    <row r="512" spans="2:8" x14ac:dyDescent="0.3">
      <c r="B512" s="58">
        <f>'DATA HISTORICAL'!$B1157</f>
        <v>45163</v>
      </c>
      <c r="C512" s="60">
        <f>'DATA HISTORICAL'!$C1157</f>
        <v>8071.45</v>
      </c>
      <c r="D512" s="53">
        <f t="shared" si="14"/>
        <v>-1.7190288717522699E-2</v>
      </c>
      <c r="E512" s="53">
        <v>2.5226147098098735E-2</v>
      </c>
      <c r="G512" s="90">
        <v>504</v>
      </c>
      <c r="H512" s="90">
        <f t="shared" ca="1" si="15"/>
        <v>5.350209819648552E-2</v>
      </c>
    </row>
    <row r="513" spans="2:8" x14ac:dyDescent="0.3">
      <c r="B513" s="58">
        <f>'DATA HISTORICAL'!$B1158</f>
        <v>45162</v>
      </c>
      <c r="C513" s="60">
        <f>'DATA HISTORICAL'!$C1158</f>
        <v>8211.4</v>
      </c>
      <c r="D513" s="53">
        <f t="shared" si="14"/>
        <v>6.046447668822709E-3</v>
      </c>
      <c r="E513" s="53">
        <v>2.5224893691343803E-2</v>
      </c>
      <c r="G513" s="90">
        <v>505</v>
      </c>
      <c r="H513" s="90">
        <f t="shared" ca="1" si="15"/>
        <v>1.4046973985957001E-2</v>
      </c>
    </row>
    <row r="514" spans="2:8" x14ac:dyDescent="0.3">
      <c r="B514" s="58">
        <f>'DATA HISTORICAL'!$B1159</f>
        <v>45161</v>
      </c>
      <c r="C514" s="60">
        <f>'DATA HISTORICAL'!$C1159</f>
        <v>8161.9</v>
      </c>
      <c r="D514" s="53">
        <f t="shared" si="14"/>
        <v>-5.0839074632856671E-3</v>
      </c>
      <c r="E514" s="53">
        <v>2.5190369971143919E-2</v>
      </c>
      <c r="G514" s="90">
        <v>506</v>
      </c>
      <c r="H514" s="90">
        <f t="shared" ca="1" si="15"/>
        <v>-1.1987363042230779E-2</v>
      </c>
    </row>
    <row r="515" spans="2:8" x14ac:dyDescent="0.3">
      <c r="B515" s="58">
        <f>'DATA HISTORICAL'!$B1160</f>
        <v>45160</v>
      </c>
      <c r="C515" s="60">
        <f>'DATA HISTORICAL'!$C1160</f>
        <v>8203.5</v>
      </c>
      <c r="D515" s="53">
        <f t="shared" si="14"/>
        <v>-1.9241548182756566E-3</v>
      </c>
      <c r="E515" s="53">
        <v>2.5106729285788259E-2</v>
      </c>
      <c r="G515" s="90">
        <v>507</v>
      </c>
      <c r="H515" s="90">
        <f t="shared" ca="1" si="15"/>
        <v>4.6835450517105377E-3</v>
      </c>
    </row>
    <row r="516" spans="2:8" x14ac:dyDescent="0.3">
      <c r="B516" s="58">
        <f>'DATA HISTORICAL'!$B1161</f>
        <v>45159</v>
      </c>
      <c r="C516" s="60">
        <f>'DATA HISTORICAL'!$C1161</f>
        <v>8219.2999999999993</v>
      </c>
      <c r="D516" s="53">
        <f t="shared" si="14"/>
        <v>5.4155525034859232E-4</v>
      </c>
      <c r="E516" s="53">
        <v>2.5104279726986423E-2</v>
      </c>
      <c r="G516" s="90">
        <v>508</v>
      </c>
      <c r="H516" s="90">
        <f t="shared" ca="1" si="15"/>
        <v>8.1343018918544376E-3</v>
      </c>
    </row>
    <row r="517" spans="2:8" x14ac:dyDescent="0.3">
      <c r="B517" s="58">
        <f>'DATA HISTORICAL'!$B1162</f>
        <v>45156</v>
      </c>
      <c r="C517" s="60">
        <f>'DATA HISTORICAL'!$C1162</f>
        <v>8214.85</v>
      </c>
      <c r="D517" s="53">
        <f t="shared" si="14"/>
        <v>9.1339778122718216E-4</v>
      </c>
      <c r="E517" s="53">
        <v>2.5084405969148078E-2</v>
      </c>
      <c r="G517" s="90">
        <v>509</v>
      </c>
      <c r="H517" s="90">
        <f t="shared" ca="1" si="15"/>
        <v>-1.1260286067187222E-2</v>
      </c>
    </row>
    <row r="518" spans="2:8" x14ac:dyDescent="0.3">
      <c r="B518" s="58">
        <f>'DATA HISTORICAL'!$B1163</f>
        <v>45155</v>
      </c>
      <c r="C518" s="60">
        <f>'DATA HISTORICAL'!$C1163</f>
        <v>8207.35</v>
      </c>
      <c r="D518" s="53">
        <f t="shared" si="14"/>
        <v>-5.4133826017208073E-3</v>
      </c>
      <c r="E518" s="53">
        <v>2.4962403519368421E-2</v>
      </c>
      <c r="G518" s="90">
        <v>510</v>
      </c>
      <c r="H518" s="90">
        <f t="shared" ca="1" si="15"/>
        <v>1.2592568574857471E-2</v>
      </c>
    </row>
    <row r="519" spans="2:8" x14ac:dyDescent="0.3">
      <c r="B519" s="58">
        <f>'DATA HISTORICAL'!$B1164</f>
        <v>45154</v>
      </c>
      <c r="C519" s="60">
        <f>'DATA HISTORICAL'!$C1164</f>
        <v>8251.9</v>
      </c>
      <c r="D519" s="53">
        <f t="shared" si="14"/>
        <v>2.4237366553531002E-2</v>
      </c>
      <c r="E519" s="53">
        <v>2.4943232744656599E-2</v>
      </c>
      <c r="G519" s="90">
        <v>511</v>
      </c>
      <c r="H519" s="90">
        <f t="shared" ca="1" si="15"/>
        <v>-7.6369996323142125E-3</v>
      </c>
    </row>
    <row r="520" spans="2:8" x14ac:dyDescent="0.3">
      <c r="B520" s="58">
        <f>'DATA HISTORICAL'!$B1165</f>
        <v>45152</v>
      </c>
      <c r="C520" s="60">
        <f>'DATA HISTORICAL'!$C1165</f>
        <v>8054.3</v>
      </c>
      <c r="D520" s="53">
        <f t="shared" si="14"/>
        <v>-9.7176010651083208E-3</v>
      </c>
      <c r="E520" s="53">
        <v>2.4932703128229594E-2</v>
      </c>
      <c r="G520" s="90">
        <v>512</v>
      </c>
      <c r="H520" s="90">
        <f t="shared" ca="1" si="15"/>
        <v>2.756413956846979E-2</v>
      </c>
    </row>
    <row r="521" spans="2:8" x14ac:dyDescent="0.3">
      <c r="B521" s="58">
        <f>'DATA HISTORICAL'!$B1166</f>
        <v>45149</v>
      </c>
      <c r="C521" s="60">
        <f>'DATA HISTORICAL'!$C1166</f>
        <v>8132.95</v>
      </c>
      <c r="D521" s="53">
        <f t="shared" ref="D521:D584" si="16">LN(C521/C522)</f>
        <v>3.7880816340773536E-3</v>
      </c>
      <c r="E521" s="53">
        <v>2.4916848118776421E-2</v>
      </c>
      <c r="G521" s="90">
        <v>513</v>
      </c>
      <c r="H521" s="90">
        <f t="shared" ref="H521:H584" ca="1" si="17">_xlfn.NORM.INV(RAND(),N$10,N$11)</f>
        <v>1.9901270029568648E-2</v>
      </c>
    </row>
    <row r="522" spans="2:8" x14ac:dyDescent="0.3">
      <c r="B522" s="58">
        <f>'DATA HISTORICAL'!$B1167</f>
        <v>45148</v>
      </c>
      <c r="C522" s="60">
        <f>'DATA HISTORICAL'!$C1167</f>
        <v>8102.2</v>
      </c>
      <c r="D522" s="53">
        <f t="shared" si="16"/>
        <v>-1.1163572145204384E-3</v>
      </c>
      <c r="E522" s="53">
        <v>2.4868710704338253E-2</v>
      </c>
      <c r="G522" s="90">
        <v>514</v>
      </c>
      <c r="H522" s="90">
        <f t="shared" ca="1" si="17"/>
        <v>5.4581477831658568E-3</v>
      </c>
    </row>
    <row r="523" spans="2:8" x14ac:dyDescent="0.3">
      <c r="B523" s="58">
        <f>'DATA HISTORICAL'!$B1168</f>
        <v>45147</v>
      </c>
      <c r="C523" s="60">
        <f>'DATA HISTORICAL'!$C1168</f>
        <v>8111.25</v>
      </c>
      <c r="D523" s="53">
        <f t="shared" si="16"/>
        <v>-5.606078082475676E-3</v>
      </c>
      <c r="E523" s="53">
        <v>2.4855048386345228E-2</v>
      </c>
      <c r="G523" s="90">
        <v>515</v>
      </c>
      <c r="H523" s="90">
        <f t="shared" ca="1" si="17"/>
        <v>1.9187024262359714E-2</v>
      </c>
    </row>
    <row r="524" spans="2:8" x14ac:dyDescent="0.3">
      <c r="B524" s="58">
        <f>'DATA HISTORICAL'!$B1169</f>
        <v>45146</v>
      </c>
      <c r="C524" s="60">
        <f>'DATA HISTORICAL'!$C1169</f>
        <v>8156.85</v>
      </c>
      <c r="D524" s="53">
        <f t="shared" si="16"/>
        <v>-2.2776961041914953E-3</v>
      </c>
      <c r="E524" s="53">
        <v>2.4834891157326729E-2</v>
      </c>
      <c r="G524" s="90">
        <v>516</v>
      </c>
      <c r="H524" s="90">
        <f t="shared" ca="1" si="17"/>
        <v>2.3048463174079138E-2</v>
      </c>
    </row>
    <row r="525" spans="2:8" x14ac:dyDescent="0.3">
      <c r="B525" s="58">
        <f>'DATA HISTORICAL'!$B1170</f>
        <v>45145</v>
      </c>
      <c r="C525" s="60">
        <f>'DATA HISTORICAL'!$C1170</f>
        <v>8175.45</v>
      </c>
      <c r="D525" s="53">
        <f t="shared" si="16"/>
        <v>2.1183335540535331E-3</v>
      </c>
      <c r="E525" s="53">
        <v>2.4786514356170755E-2</v>
      </c>
      <c r="G525" s="90">
        <v>517</v>
      </c>
      <c r="H525" s="90">
        <f t="shared" ca="1" si="17"/>
        <v>1.6358127859457793E-2</v>
      </c>
    </row>
    <row r="526" spans="2:8" x14ac:dyDescent="0.3">
      <c r="B526" s="58">
        <f>'DATA HISTORICAL'!$B1171</f>
        <v>45142</v>
      </c>
      <c r="C526" s="60">
        <f>'DATA HISTORICAL'!$C1171</f>
        <v>8158.15</v>
      </c>
      <c r="D526" s="53">
        <f t="shared" si="16"/>
        <v>2.7003324313766069E-3</v>
      </c>
      <c r="E526" s="53">
        <v>2.4782432680790761E-2</v>
      </c>
      <c r="G526" s="90">
        <v>518</v>
      </c>
      <c r="H526" s="90">
        <f t="shared" ca="1" si="17"/>
        <v>5.6777949621279336E-3</v>
      </c>
    </row>
    <row r="527" spans="2:8" x14ac:dyDescent="0.3">
      <c r="B527" s="58">
        <f>'DATA HISTORICAL'!$B1172</f>
        <v>45141</v>
      </c>
      <c r="C527" s="60">
        <f>'DATA HISTORICAL'!$C1172</f>
        <v>8136.15</v>
      </c>
      <c r="D527" s="53">
        <f t="shared" si="16"/>
        <v>-1.8455392796328185E-2</v>
      </c>
      <c r="E527" s="53">
        <v>2.4656889870122194E-2</v>
      </c>
      <c r="G527" s="90">
        <v>519</v>
      </c>
      <c r="H527" s="90">
        <f t="shared" ca="1" si="17"/>
        <v>-1.5010974168518924E-2</v>
      </c>
    </row>
    <row r="528" spans="2:8" x14ac:dyDescent="0.3">
      <c r="B528" s="58">
        <f>'DATA HISTORICAL'!$B1173</f>
        <v>45140</v>
      </c>
      <c r="C528" s="60">
        <f>'DATA HISTORICAL'!$C1173</f>
        <v>8287.7000000000007</v>
      </c>
      <c r="D528" s="53">
        <f t="shared" si="16"/>
        <v>7.1215187535591596E-4</v>
      </c>
      <c r="E528" s="53">
        <v>2.4647364437415706E-2</v>
      </c>
      <c r="G528" s="90">
        <v>520</v>
      </c>
      <c r="H528" s="90">
        <f t="shared" ca="1" si="17"/>
        <v>3.0128631128400932E-2</v>
      </c>
    </row>
    <row r="529" spans="2:8" x14ac:dyDescent="0.3">
      <c r="B529" s="58">
        <f>'DATA HISTORICAL'!$B1174</f>
        <v>45139</v>
      </c>
      <c r="C529" s="60">
        <f>'DATA HISTORICAL'!$C1174</f>
        <v>8281.7999999999993</v>
      </c>
      <c r="D529" s="53">
        <f t="shared" si="16"/>
        <v>-4.379538263726732E-3</v>
      </c>
      <c r="E529" s="53">
        <v>2.4638800199447926E-2</v>
      </c>
      <c r="G529" s="90">
        <v>521</v>
      </c>
      <c r="H529" s="90">
        <f t="shared" ca="1" si="17"/>
        <v>2.2516288270140628E-2</v>
      </c>
    </row>
    <row r="530" spans="2:8" x14ac:dyDescent="0.3">
      <c r="B530" s="58">
        <f>'DATA HISTORICAL'!$B1175</f>
        <v>45138</v>
      </c>
      <c r="C530" s="60">
        <f>'DATA HISTORICAL'!$C1175</f>
        <v>8318.15</v>
      </c>
      <c r="D530" s="53">
        <f t="shared" si="16"/>
        <v>1.3714370356270164E-3</v>
      </c>
      <c r="E530" s="53">
        <v>2.4636322497196508E-2</v>
      </c>
      <c r="G530" s="90">
        <v>522</v>
      </c>
      <c r="H530" s="90">
        <f t="shared" ca="1" si="17"/>
        <v>2.1821019688052265E-2</v>
      </c>
    </row>
    <row r="531" spans="2:8" x14ac:dyDescent="0.3">
      <c r="B531" s="58">
        <f>'DATA HISTORICAL'!$B1176</f>
        <v>45135</v>
      </c>
      <c r="C531" s="60">
        <f>'DATA HISTORICAL'!$C1176</f>
        <v>8306.75</v>
      </c>
      <c r="D531" s="53">
        <f t="shared" si="16"/>
        <v>2.2295881486860299E-3</v>
      </c>
      <c r="E531" s="53">
        <v>2.4623922908471322E-2</v>
      </c>
      <c r="G531" s="90">
        <v>523</v>
      </c>
      <c r="H531" s="90">
        <f t="shared" ca="1" si="17"/>
        <v>1.8655153746963447E-2</v>
      </c>
    </row>
    <row r="532" spans="2:8" x14ac:dyDescent="0.3">
      <c r="B532" s="58">
        <f>'DATA HISTORICAL'!$B1177</f>
        <v>45134</v>
      </c>
      <c r="C532" s="60">
        <f>'DATA HISTORICAL'!$C1177</f>
        <v>8288.25</v>
      </c>
      <c r="D532" s="53">
        <f t="shared" si="16"/>
        <v>-7.7040872376495061E-3</v>
      </c>
      <c r="E532" s="53">
        <v>2.4591942157679812E-2</v>
      </c>
      <c r="G532" s="90">
        <v>524</v>
      </c>
      <c r="H532" s="90">
        <f t="shared" ca="1" si="17"/>
        <v>-1.8641587532070521E-2</v>
      </c>
    </row>
    <row r="533" spans="2:8" x14ac:dyDescent="0.3">
      <c r="B533" s="58">
        <f>'DATA HISTORICAL'!$B1178</f>
        <v>45133</v>
      </c>
      <c r="C533" s="60">
        <f>'DATA HISTORICAL'!$C1178</f>
        <v>8352.35</v>
      </c>
      <c r="D533" s="53">
        <f t="shared" si="16"/>
        <v>-4.8908321418138145E-3</v>
      </c>
      <c r="E533" s="53">
        <v>2.4574449406877693E-2</v>
      </c>
      <c r="G533" s="90">
        <v>525</v>
      </c>
      <c r="H533" s="90">
        <f t="shared" ca="1" si="17"/>
        <v>5.1782405458897941E-3</v>
      </c>
    </row>
    <row r="534" spans="2:8" x14ac:dyDescent="0.3">
      <c r="B534" s="58">
        <f>'DATA HISTORICAL'!$B1179</f>
        <v>45132</v>
      </c>
      <c r="C534" s="60">
        <f>'DATA HISTORICAL'!$C1179</f>
        <v>8393.2999999999993</v>
      </c>
      <c r="D534" s="53">
        <f t="shared" si="16"/>
        <v>2.0881807807921381E-2</v>
      </c>
      <c r="E534" s="53">
        <v>2.4528987415992718E-2</v>
      </c>
      <c r="G534" s="90">
        <v>526</v>
      </c>
      <c r="H534" s="90">
        <f t="shared" ca="1" si="17"/>
        <v>-9.3678666326814687E-3</v>
      </c>
    </row>
    <row r="535" spans="2:8" x14ac:dyDescent="0.3">
      <c r="B535" s="58">
        <f>'DATA HISTORICAL'!$B1180</f>
        <v>45131</v>
      </c>
      <c r="C535" s="60">
        <f>'DATA HISTORICAL'!$C1180</f>
        <v>8219.85</v>
      </c>
      <c r="D535" s="53">
        <f t="shared" si="16"/>
        <v>1.2320333573934696E-2</v>
      </c>
      <c r="E535" s="53">
        <v>2.4484292881847045E-2</v>
      </c>
      <c r="G535" s="90">
        <v>527</v>
      </c>
      <c r="H535" s="90">
        <f t="shared" ca="1" si="17"/>
        <v>7.8635149561909739E-3</v>
      </c>
    </row>
    <row r="536" spans="2:8" x14ac:dyDescent="0.3">
      <c r="B536" s="58">
        <f>'DATA HISTORICAL'!$B1181</f>
        <v>45128</v>
      </c>
      <c r="C536" s="60">
        <f>'DATA HISTORICAL'!$C1181</f>
        <v>8119.2</v>
      </c>
      <c r="D536" s="53">
        <f t="shared" si="16"/>
        <v>-1.2843320693614838E-2</v>
      </c>
      <c r="E536" s="53">
        <v>2.4477600818745761E-2</v>
      </c>
      <c r="G536" s="90">
        <v>528</v>
      </c>
      <c r="H536" s="90">
        <f t="shared" ca="1" si="17"/>
        <v>2.6856009168376712E-2</v>
      </c>
    </row>
    <row r="537" spans="2:8" x14ac:dyDescent="0.3">
      <c r="B537" s="58">
        <f>'DATA HISTORICAL'!$B1182</f>
        <v>45127</v>
      </c>
      <c r="C537" s="60">
        <f>'DATA HISTORICAL'!$C1182</f>
        <v>8224.15</v>
      </c>
      <c r="D537" s="53">
        <f t="shared" si="16"/>
        <v>-1.2692465305315252E-2</v>
      </c>
      <c r="E537" s="53">
        <v>2.4452660342679688E-2</v>
      </c>
      <c r="G537" s="90">
        <v>529</v>
      </c>
      <c r="H537" s="90">
        <f t="shared" ca="1" si="17"/>
        <v>1.3621866042674541E-2</v>
      </c>
    </row>
    <row r="538" spans="2:8" x14ac:dyDescent="0.3">
      <c r="B538" s="58">
        <f>'DATA HISTORICAL'!$B1183</f>
        <v>45126</v>
      </c>
      <c r="C538" s="60">
        <f>'DATA HISTORICAL'!$C1183</f>
        <v>8329.2000000000007</v>
      </c>
      <c r="D538" s="53">
        <f t="shared" si="16"/>
        <v>1.8564379690052656E-2</v>
      </c>
      <c r="E538" s="53">
        <v>2.4429327895021256E-2</v>
      </c>
      <c r="G538" s="90">
        <v>530</v>
      </c>
      <c r="H538" s="90">
        <f t="shared" ca="1" si="17"/>
        <v>1.0764849079140781E-2</v>
      </c>
    </row>
    <row r="539" spans="2:8" x14ac:dyDescent="0.3">
      <c r="B539" s="58">
        <f>'DATA HISTORICAL'!$B1184</f>
        <v>45125</v>
      </c>
      <c r="C539" s="60">
        <f>'DATA HISTORICAL'!$C1184</f>
        <v>8176</v>
      </c>
      <c r="D539" s="53">
        <f t="shared" si="16"/>
        <v>-9.1313716608575363E-3</v>
      </c>
      <c r="E539" s="53">
        <v>2.4382016611023412E-2</v>
      </c>
      <c r="G539" s="90">
        <v>531</v>
      </c>
      <c r="H539" s="90">
        <f t="shared" ca="1" si="17"/>
        <v>1.5152606600995221E-2</v>
      </c>
    </row>
    <row r="540" spans="2:8" x14ac:dyDescent="0.3">
      <c r="B540" s="58">
        <f>'DATA HISTORICAL'!$B1185</f>
        <v>45124</v>
      </c>
      <c r="C540" s="60">
        <f>'DATA HISTORICAL'!$C1185</f>
        <v>8251</v>
      </c>
      <c r="D540" s="53">
        <f t="shared" si="16"/>
        <v>8.330567145782862E-3</v>
      </c>
      <c r="E540" s="53">
        <v>2.4367684290328533E-2</v>
      </c>
      <c r="G540" s="90">
        <v>532</v>
      </c>
      <c r="H540" s="90">
        <f t="shared" ca="1" si="17"/>
        <v>1.8926095635695368E-2</v>
      </c>
    </row>
    <row r="541" spans="2:8" x14ac:dyDescent="0.3">
      <c r="B541" s="58">
        <f>'DATA HISTORICAL'!$B1186</f>
        <v>45121</v>
      </c>
      <c r="C541" s="60">
        <f>'DATA HISTORICAL'!$C1186</f>
        <v>8182.55</v>
      </c>
      <c r="D541" s="53">
        <f t="shared" si="16"/>
        <v>-6.2680853712898145E-3</v>
      </c>
      <c r="E541" s="53">
        <v>2.4365185893694387E-2</v>
      </c>
      <c r="G541" s="90">
        <v>533</v>
      </c>
      <c r="H541" s="90">
        <f t="shared" ca="1" si="17"/>
        <v>-2.5738968587219078E-3</v>
      </c>
    </row>
    <row r="542" spans="2:8" x14ac:dyDescent="0.3">
      <c r="B542" s="58">
        <f>'DATA HISTORICAL'!$B1187</f>
        <v>45120</v>
      </c>
      <c r="C542" s="60">
        <f>'DATA HISTORICAL'!$C1187</f>
        <v>8234</v>
      </c>
      <c r="D542" s="53">
        <f t="shared" si="16"/>
        <v>1.6408888789182544E-3</v>
      </c>
      <c r="E542" s="53">
        <v>2.4342067396762573E-2</v>
      </c>
      <c r="G542" s="90">
        <v>534</v>
      </c>
      <c r="H542" s="90">
        <f t="shared" ca="1" si="17"/>
        <v>-6.3150174817836338E-3</v>
      </c>
    </row>
    <row r="543" spans="2:8" x14ac:dyDescent="0.3">
      <c r="B543" s="58">
        <f>'DATA HISTORICAL'!$B1188</f>
        <v>45119</v>
      </c>
      <c r="C543" s="60">
        <f>'DATA HISTORICAL'!$C1188</f>
        <v>8220.5</v>
      </c>
      <c r="D543" s="53">
        <f t="shared" si="16"/>
        <v>-1.2740103662560519E-2</v>
      </c>
      <c r="E543" s="53">
        <v>2.4339437270155164E-2</v>
      </c>
      <c r="G543" s="90">
        <v>535</v>
      </c>
      <c r="H543" s="90">
        <f t="shared" ca="1" si="17"/>
        <v>4.2836931843839354E-2</v>
      </c>
    </row>
    <row r="544" spans="2:8" x14ac:dyDescent="0.3">
      <c r="B544" s="58">
        <f>'DATA HISTORICAL'!$B1189</f>
        <v>45118</v>
      </c>
      <c r="C544" s="60">
        <f>'DATA HISTORICAL'!$C1189</f>
        <v>8325.9</v>
      </c>
      <c r="D544" s="53">
        <f t="shared" si="16"/>
        <v>-3.0520643098550649E-3</v>
      </c>
      <c r="E544" s="53">
        <v>2.4330345029053055E-2</v>
      </c>
      <c r="G544" s="90">
        <v>536</v>
      </c>
      <c r="H544" s="90">
        <f t="shared" ca="1" si="17"/>
        <v>2.4680002552529258E-2</v>
      </c>
    </row>
    <row r="545" spans="2:8" x14ac:dyDescent="0.3">
      <c r="B545" s="58">
        <f>'DATA HISTORICAL'!$B1190</f>
        <v>45117</v>
      </c>
      <c r="C545" s="60">
        <f>'DATA HISTORICAL'!$C1190</f>
        <v>8351.35</v>
      </c>
      <c r="D545" s="53">
        <f t="shared" si="16"/>
        <v>1.7857361616861731E-3</v>
      </c>
      <c r="E545" s="53">
        <v>2.431009165295506E-2</v>
      </c>
      <c r="G545" s="90">
        <v>537</v>
      </c>
      <c r="H545" s="90">
        <f t="shared" ca="1" si="17"/>
        <v>-9.4326127940487191E-3</v>
      </c>
    </row>
    <row r="546" spans="2:8" x14ac:dyDescent="0.3">
      <c r="B546" s="58">
        <f>'DATA HISTORICAL'!$B1191</f>
        <v>45114</v>
      </c>
      <c r="C546" s="60">
        <f>'DATA HISTORICAL'!$C1191</f>
        <v>8336.4500000000007</v>
      </c>
      <c r="D546" s="53">
        <f t="shared" si="16"/>
        <v>-8.8077886354059314E-3</v>
      </c>
      <c r="E546" s="53">
        <v>2.4235051383578052E-2</v>
      </c>
      <c r="G546" s="90">
        <v>538</v>
      </c>
      <c r="H546" s="90">
        <f t="shared" ca="1" si="17"/>
        <v>2.8640868576808379E-2</v>
      </c>
    </row>
    <row r="547" spans="2:8" x14ac:dyDescent="0.3">
      <c r="B547" s="58">
        <f>'DATA HISTORICAL'!$B1192</f>
        <v>45113</v>
      </c>
      <c r="C547" s="60">
        <f>'DATA HISTORICAL'!$C1192</f>
        <v>8410.2000000000007</v>
      </c>
      <c r="D547" s="53">
        <f t="shared" si="16"/>
        <v>3.9315251327109568E-3</v>
      </c>
      <c r="E547" s="53">
        <v>2.4220071820578656E-2</v>
      </c>
      <c r="G547" s="90">
        <v>539</v>
      </c>
      <c r="H547" s="90">
        <f t="shared" ca="1" si="17"/>
        <v>1.6184409524769745E-2</v>
      </c>
    </row>
    <row r="548" spans="2:8" x14ac:dyDescent="0.3">
      <c r="B548" s="58">
        <f>'DATA HISTORICAL'!$B1193</f>
        <v>45112</v>
      </c>
      <c r="C548" s="60">
        <f>'DATA HISTORICAL'!$C1193</f>
        <v>8377.2000000000007</v>
      </c>
      <c r="D548" s="53">
        <f t="shared" si="16"/>
        <v>-4.1098640841939283E-3</v>
      </c>
      <c r="E548" s="53">
        <v>2.4194680535486214E-2</v>
      </c>
      <c r="G548" s="90">
        <v>540</v>
      </c>
      <c r="H548" s="90">
        <f t="shared" ca="1" si="17"/>
        <v>-4.2787056693777961E-3</v>
      </c>
    </row>
    <row r="549" spans="2:8" x14ac:dyDescent="0.3">
      <c r="B549" s="58">
        <f>'DATA HISTORICAL'!$B1194</f>
        <v>45111</v>
      </c>
      <c r="C549" s="60">
        <f>'DATA HISTORICAL'!$C1194</f>
        <v>8411.7000000000007</v>
      </c>
      <c r="D549" s="53">
        <f t="shared" si="16"/>
        <v>-6.1746514807466835E-3</v>
      </c>
      <c r="E549" s="53">
        <v>2.4160059014441074E-2</v>
      </c>
      <c r="G549" s="90">
        <v>541</v>
      </c>
      <c r="H549" s="90">
        <f t="shared" ca="1" si="17"/>
        <v>-3.4939946495134841E-3</v>
      </c>
    </row>
    <row r="550" spans="2:8" x14ac:dyDescent="0.3">
      <c r="B550" s="58">
        <f>'DATA HISTORICAL'!$B1195</f>
        <v>45110</v>
      </c>
      <c r="C550" s="60">
        <f>'DATA HISTORICAL'!$C1195</f>
        <v>8463.7999999999993</v>
      </c>
      <c r="D550" s="53">
        <f t="shared" si="16"/>
        <v>2.0175460796663238E-2</v>
      </c>
      <c r="E550" s="53">
        <v>2.4136518585613671E-2</v>
      </c>
      <c r="G550" s="90">
        <v>542</v>
      </c>
      <c r="H550" s="90">
        <f t="shared" ca="1" si="17"/>
        <v>-2.4264027742524716E-2</v>
      </c>
    </row>
    <row r="551" spans="2:8" x14ac:dyDescent="0.3">
      <c r="B551" s="58">
        <f>'DATA HISTORICAL'!$B1196</f>
        <v>45107</v>
      </c>
      <c r="C551" s="60">
        <f>'DATA HISTORICAL'!$C1196</f>
        <v>8294.75</v>
      </c>
      <c r="D551" s="53">
        <f t="shared" si="16"/>
        <v>4.1195076197548548E-3</v>
      </c>
      <c r="E551" s="53">
        <v>2.4119804886681702E-2</v>
      </c>
      <c r="G551" s="90">
        <v>543</v>
      </c>
      <c r="H551" s="90">
        <f t="shared" ca="1" si="17"/>
        <v>-6.7043666980605822E-3</v>
      </c>
    </row>
    <row r="552" spans="2:8" x14ac:dyDescent="0.3">
      <c r="B552" s="58">
        <f>'DATA HISTORICAL'!$B1197</f>
        <v>45105</v>
      </c>
      <c r="C552" s="60">
        <f>'DATA HISTORICAL'!$C1197</f>
        <v>8260.65</v>
      </c>
      <c r="D552" s="53">
        <f t="shared" si="16"/>
        <v>6.3330741783056673E-3</v>
      </c>
      <c r="E552" s="53">
        <v>2.4061999706729672E-2</v>
      </c>
      <c r="G552" s="90">
        <v>544</v>
      </c>
      <c r="H552" s="90">
        <f t="shared" ca="1" si="17"/>
        <v>4.333516924789791E-2</v>
      </c>
    </row>
    <row r="553" spans="2:8" x14ac:dyDescent="0.3">
      <c r="B553" s="58">
        <f>'DATA HISTORICAL'!$B1198</f>
        <v>45104</v>
      </c>
      <c r="C553" s="60">
        <f>'DATA HISTORICAL'!$C1198</f>
        <v>8208.5</v>
      </c>
      <c r="D553" s="53">
        <f t="shared" si="16"/>
        <v>5.0563140530714449E-3</v>
      </c>
      <c r="E553" s="53">
        <v>2.4054611930729539E-2</v>
      </c>
      <c r="G553" s="90">
        <v>545</v>
      </c>
      <c r="H553" s="90">
        <f t="shared" ca="1" si="17"/>
        <v>-6.0977500865406088E-4</v>
      </c>
    </row>
    <row r="554" spans="2:8" x14ac:dyDescent="0.3">
      <c r="B554" s="58">
        <f>'DATA HISTORICAL'!$B1199</f>
        <v>45103</v>
      </c>
      <c r="C554" s="60">
        <f>'DATA HISTORICAL'!$C1199</f>
        <v>8167.1</v>
      </c>
      <c r="D554" s="53">
        <f t="shared" si="16"/>
        <v>1.0697263997450353E-2</v>
      </c>
      <c r="E554" s="53">
        <v>2.4024636653549349E-2</v>
      </c>
      <c r="G554" s="90">
        <v>546</v>
      </c>
      <c r="H554" s="90">
        <f t="shared" ca="1" si="17"/>
        <v>-1.8621461251226899E-2</v>
      </c>
    </row>
    <row r="555" spans="2:8" x14ac:dyDescent="0.3">
      <c r="B555" s="58">
        <f>'DATA HISTORICAL'!$B1200</f>
        <v>45100</v>
      </c>
      <c r="C555" s="60">
        <f>'DATA HISTORICAL'!$C1200</f>
        <v>8080.2</v>
      </c>
      <c r="D555" s="53">
        <f t="shared" si="16"/>
        <v>-1.0164497302974635E-2</v>
      </c>
      <c r="E555" s="53">
        <v>2.4000477548296532E-2</v>
      </c>
      <c r="G555" s="90">
        <v>547</v>
      </c>
      <c r="H555" s="90">
        <f t="shared" ca="1" si="17"/>
        <v>-1.6141365398108353E-2</v>
      </c>
    </row>
    <row r="556" spans="2:8" x14ac:dyDescent="0.3">
      <c r="B556" s="58">
        <f>'DATA HISTORICAL'!$B1201</f>
        <v>45099</v>
      </c>
      <c r="C556" s="60">
        <f>'DATA HISTORICAL'!$C1201</f>
        <v>8162.75</v>
      </c>
      <c r="D556" s="53">
        <f t="shared" si="16"/>
        <v>-9.6073110227429988E-3</v>
      </c>
      <c r="E556" s="53">
        <v>2.3953569279388118E-2</v>
      </c>
      <c r="G556" s="90">
        <v>548</v>
      </c>
      <c r="H556" s="90">
        <f t="shared" ca="1" si="17"/>
        <v>1.6056188071752953E-2</v>
      </c>
    </row>
    <row r="557" spans="2:8" x14ac:dyDescent="0.3">
      <c r="B557" s="58">
        <f>'DATA HISTORICAL'!$B1202</f>
        <v>45098</v>
      </c>
      <c r="C557" s="60">
        <f>'DATA HISTORICAL'!$C1202</f>
        <v>8241.5499999999993</v>
      </c>
      <c r="D557" s="53">
        <f t="shared" si="16"/>
        <v>-2.305125882213254E-4</v>
      </c>
      <c r="E557" s="53">
        <v>2.392484987300262E-2</v>
      </c>
      <c r="G557" s="90">
        <v>549</v>
      </c>
      <c r="H557" s="90">
        <f t="shared" ca="1" si="17"/>
        <v>7.2087696267925973E-4</v>
      </c>
    </row>
    <row r="558" spans="2:8" x14ac:dyDescent="0.3">
      <c r="B558" s="58">
        <f>'DATA HISTORICAL'!$B1203</f>
        <v>45097</v>
      </c>
      <c r="C558" s="60">
        <f>'DATA HISTORICAL'!$C1203</f>
        <v>8243.4500000000007</v>
      </c>
      <c r="D558" s="53">
        <f t="shared" si="16"/>
        <v>-3.046262511164027E-3</v>
      </c>
      <c r="E558" s="53">
        <v>2.3879273789943145E-2</v>
      </c>
      <c r="G558" s="90">
        <v>550</v>
      </c>
      <c r="H558" s="90">
        <f t="shared" ca="1" si="17"/>
        <v>2.6398874298747068E-2</v>
      </c>
    </row>
    <row r="559" spans="2:8" x14ac:dyDescent="0.3">
      <c r="B559" s="58">
        <f>'DATA HISTORICAL'!$B1204</f>
        <v>45096</v>
      </c>
      <c r="C559" s="60">
        <f>'DATA HISTORICAL'!$C1204</f>
        <v>8268.6</v>
      </c>
      <c r="D559" s="53">
        <f t="shared" si="16"/>
        <v>-7.7883280230735341E-3</v>
      </c>
      <c r="E559" s="53">
        <v>2.382063481301281E-2</v>
      </c>
      <c r="G559" s="90">
        <v>551</v>
      </c>
      <c r="H559" s="90">
        <f t="shared" ca="1" si="17"/>
        <v>1.7065650175591706E-2</v>
      </c>
    </row>
    <row r="560" spans="2:8" x14ac:dyDescent="0.3">
      <c r="B560" s="58">
        <f>'DATA HISTORICAL'!$B1205</f>
        <v>45093</v>
      </c>
      <c r="C560" s="60">
        <f>'DATA HISTORICAL'!$C1205</f>
        <v>8333.25</v>
      </c>
      <c r="D560" s="53">
        <f t="shared" si="16"/>
        <v>6.0000780008755078E-6</v>
      </c>
      <c r="E560" s="53">
        <v>2.3816077515290426E-2</v>
      </c>
      <c r="G560" s="90">
        <v>552</v>
      </c>
      <c r="H560" s="90">
        <f t="shared" ca="1" si="17"/>
        <v>1.2597547701701645E-2</v>
      </c>
    </row>
    <row r="561" spans="2:8" x14ac:dyDescent="0.3">
      <c r="B561" s="58">
        <f>'DATA HISTORICAL'!$B1206</f>
        <v>45092</v>
      </c>
      <c r="C561" s="60">
        <f>'DATA HISTORICAL'!$C1206</f>
        <v>8333.2000000000007</v>
      </c>
      <c r="D561" s="53">
        <f t="shared" si="16"/>
        <v>-3.0075210639551055E-3</v>
      </c>
      <c r="E561" s="53">
        <v>2.380198630833268E-2</v>
      </c>
      <c r="G561" s="90">
        <v>553</v>
      </c>
      <c r="H561" s="90">
        <f t="shared" ca="1" si="17"/>
        <v>1.1029473606286175E-2</v>
      </c>
    </row>
    <row r="562" spans="2:8" x14ac:dyDescent="0.3">
      <c r="B562" s="58">
        <f>'DATA HISTORICAL'!$B1207</f>
        <v>45091</v>
      </c>
      <c r="C562" s="60">
        <f>'DATA HISTORICAL'!$C1207</f>
        <v>8358.2999999999993</v>
      </c>
      <c r="D562" s="53">
        <f t="shared" si="16"/>
        <v>9.8590485138985509E-3</v>
      </c>
      <c r="E562" s="53">
        <v>2.3790919699635833E-2</v>
      </c>
      <c r="G562" s="90">
        <v>554</v>
      </c>
      <c r="H562" s="90">
        <f t="shared" ca="1" si="17"/>
        <v>2.4148647095257787E-2</v>
      </c>
    </row>
    <row r="563" spans="2:8" x14ac:dyDescent="0.3">
      <c r="B563" s="58">
        <f>'DATA HISTORICAL'!$B1208</f>
        <v>45090</v>
      </c>
      <c r="C563" s="60">
        <f>'DATA HISTORICAL'!$C1208</f>
        <v>8276.2999999999993</v>
      </c>
      <c r="D563" s="53">
        <f t="shared" si="16"/>
        <v>9.4326006355731924E-3</v>
      </c>
      <c r="E563" s="53">
        <v>2.3782061785431612E-2</v>
      </c>
      <c r="G563" s="90">
        <v>555</v>
      </c>
      <c r="H563" s="90">
        <f t="shared" ca="1" si="17"/>
        <v>-5.8433421806293471E-3</v>
      </c>
    </row>
    <row r="564" spans="2:8" x14ac:dyDescent="0.3">
      <c r="B564" s="58">
        <f>'DATA HISTORICAL'!$B1209</f>
        <v>45089</v>
      </c>
      <c r="C564" s="60">
        <f>'DATA HISTORICAL'!$C1209</f>
        <v>8198.6</v>
      </c>
      <c r="D564" s="53">
        <f t="shared" si="16"/>
        <v>5.5467872164910387E-3</v>
      </c>
      <c r="E564" s="53">
        <v>2.3766307792635555E-2</v>
      </c>
      <c r="G564" s="90">
        <v>556</v>
      </c>
      <c r="H564" s="90">
        <f t="shared" ca="1" si="17"/>
        <v>7.3907188704004931E-3</v>
      </c>
    </row>
    <row r="565" spans="2:8" x14ac:dyDescent="0.3">
      <c r="B565" s="58">
        <f>'DATA HISTORICAL'!$B1210</f>
        <v>45086</v>
      </c>
      <c r="C565" s="60">
        <f>'DATA HISTORICAL'!$C1210</f>
        <v>8153.25</v>
      </c>
      <c r="D565" s="53">
        <f t="shared" si="16"/>
        <v>6.5340407446364442E-3</v>
      </c>
      <c r="E565" s="53">
        <v>2.3741825315372958E-2</v>
      </c>
      <c r="G565" s="90">
        <v>557</v>
      </c>
      <c r="H565" s="90">
        <f t="shared" ca="1" si="17"/>
        <v>9.8490343144044742E-3</v>
      </c>
    </row>
    <row r="566" spans="2:8" x14ac:dyDescent="0.3">
      <c r="B566" s="58">
        <f>'DATA HISTORICAL'!$B1211</f>
        <v>45085</v>
      </c>
      <c r="C566" s="60">
        <f>'DATA HISTORICAL'!$C1211</f>
        <v>8100.15</v>
      </c>
      <c r="D566" s="53">
        <f t="shared" si="16"/>
        <v>-7.0674280424329857E-3</v>
      </c>
      <c r="E566" s="53">
        <v>2.3713908035755474E-2</v>
      </c>
      <c r="G566" s="90">
        <v>558</v>
      </c>
      <c r="H566" s="90">
        <f t="shared" ca="1" si="17"/>
        <v>2.8265493358904707E-2</v>
      </c>
    </row>
    <row r="567" spans="2:8" x14ac:dyDescent="0.3">
      <c r="B567" s="58">
        <f>'DATA HISTORICAL'!$B1212</f>
        <v>45084</v>
      </c>
      <c r="C567" s="60">
        <f>'DATA HISTORICAL'!$C1212</f>
        <v>8157.6</v>
      </c>
      <c r="D567" s="53">
        <f t="shared" si="16"/>
        <v>5.9076285330417165E-3</v>
      </c>
      <c r="E567" s="53">
        <v>2.3653310734960034E-2</v>
      </c>
      <c r="G567" s="90">
        <v>559</v>
      </c>
      <c r="H567" s="90">
        <f t="shared" ca="1" si="17"/>
        <v>-1.6731902529318613E-2</v>
      </c>
    </row>
    <row r="568" spans="2:8" x14ac:dyDescent="0.3">
      <c r="B568" s="58">
        <f>'DATA HISTORICAL'!$B1213</f>
        <v>45083</v>
      </c>
      <c r="C568" s="60">
        <f>'DATA HISTORICAL'!$C1213</f>
        <v>8109.55</v>
      </c>
      <c r="D568" s="53">
        <f t="shared" si="16"/>
        <v>2.8460700762025243E-2</v>
      </c>
      <c r="E568" s="53">
        <v>2.3652851062783191E-2</v>
      </c>
      <c r="G568" s="90">
        <v>560</v>
      </c>
      <c r="H568" s="90">
        <f t="shared" ca="1" si="17"/>
        <v>8.5085230599222829E-3</v>
      </c>
    </row>
    <row r="569" spans="2:8" x14ac:dyDescent="0.3">
      <c r="B569" s="58">
        <f>'DATA HISTORICAL'!$B1214</f>
        <v>45082</v>
      </c>
      <c r="C569" s="60">
        <f>'DATA HISTORICAL'!$C1214</f>
        <v>7882</v>
      </c>
      <c r="D569" s="53">
        <f t="shared" si="16"/>
        <v>3.9853478586658565E-3</v>
      </c>
      <c r="E569" s="53">
        <v>2.3636257354398713E-2</v>
      </c>
      <c r="G569" s="90">
        <v>561</v>
      </c>
      <c r="H569" s="90">
        <f t="shared" ca="1" si="17"/>
        <v>3.5397918457787565E-2</v>
      </c>
    </row>
    <row r="570" spans="2:8" x14ac:dyDescent="0.3">
      <c r="B570" s="58">
        <f>'DATA HISTORICAL'!$B1215</f>
        <v>45079</v>
      </c>
      <c r="C570" s="60">
        <f>'DATA HISTORICAL'!$C1215</f>
        <v>7850.65</v>
      </c>
      <c r="D570" s="53">
        <f t="shared" si="16"/>
        <v>1.0004174550162857E-3</v>
      </c>
      <c r="E570" s="53">
        <v>2.3605561777924569E-2</v>
      </c>
      <c r="G570" s="90">
        <v>562</v>
      </c>
      <c r="H570" s="90">
        <f t="shared" ca="1" si="17"/>
        <v>1.4137737338246005E-2</v>
      </c>
    </row>
    <row r="571" spans="2:8" x14ac:dyDescent="0.3">
      <c r="B571" s="58">
        <f>'DATA HISTORICAL'!$B1216</f>
        <v>45078</v>
      </c>
      <c r="C571" s="60">
        <f>'DATA HISTORICAL'!$C1216</f>
        <v>7842.8</v>
      </c>
      <c r="D571" s="53">
        <f t="shared" si="16"/>
        <v>-3.4685021901528362E-3</v>
      </c>
      <c r="E571" s="53">
        <v>2.359547695398467E-2</v>
      </c>
      <c r="G571" s="90">
        <v>563</v>
      </c>
      <c r="H571" s="90">
        <f t="shared" ca="1" si="17"/>
        <v>4.9753161354855096E-3</v>
      </c>
    </row>
    <row r="572" spans="2:8" x14ac:dyDescent="0.3">
      <c r="B572" s="58">
        <f>'DATA HISTORICAL'!$B1217</f>
        <v>45077</v>
      </c>
      <c r="C572" s="60">
        <f>'DATA HISTORICAL'!$C1217</f>
        <v>7870.05</v>
      </c>
      <c r="D572" s="53">
        <f t="shared" si="16"/>
        <v>-4.0451488078752859E-3</v>
      </c>
      <c r="E572" s="53">
        <v>2.3578554484532336E-2</v>
      </c>
      <c r="G572" s="90">
        <v>564</v>
      </c>
      <c r="H572" s="90">
        <f t="shared" ca="1" si="17"/>
        <v>-9.9149452612861226E-3</v>
      </c>
    </row>
    <row r="573" spans="2:8" x14ac:dyDescent="0.3">
      <c r="B573" s="58">
        <f>'DATA HISTORICAL'!$B1218</f>
        <v>45076</v>
      </c>
      <c r="C573" s="60">
        <f>'DATA HISTORICAL'!$C1218</f>
        <v>7901.95</v>
      </c>
      <c r="D573" s="53">
        <f t="shared" si="16"/>
        <v>7.8005794942277388E-3</v>
      </c>
      <c r="E573" s="53">
        <v>2.3555476490215988E-2</v>
      </c>
      <c r="G573" s="90">
        <v>565</v>
      </c>
      <c r="H573" s="90">
        <f t="shared" ca="1" si="17"/>
        <v>-1.0860821846200134E-2</v>
      </c>
    </row>
    <row r="574" spans="2:8" x14ac:dyDescent="0.3">
      <c r="B574" s="58">
        <f>'DATA HISTORICAL'!$B1219</f>
        <v>45075</v>
      </c>
      <c r="C574" s="60">
        <f>'DATA HISTORICAL'!$C1219</f>
        <v>7840.55</v>
      </c>
      <c r="D574" s="53">
        <f t="shared" si="16"/>
        <v>1.5255012328978631E-2</v>
      </c>
      <c r="E574" s="53">
        <v>2.3533366172449107E-2</v>
      </c>
      <c r="G574" s="90">
        <v>566</v>
      </c>
      <c r="H574" s="90">
        <f t="shared" ca="1" si="17"/>
        <v>-3.6026877877180221E-3</v>
      </c>
    </row>
    <row r="575" spans="2:8" x14ac:dyDescent="0.3">
      <c r="B575" s="58">
        <f>'DATA HISTORICAL'!$B1220</f>
        <v>45072</v>
      </c>
      <c r="C575" s="60">
        <f>'DATA HISTORICAL'!$C1220</f>
        <v>7721.85</v>
      </c>
      <c r="D575" s="53">
        <f t="shared" si="16"/>
        <v>1.3047970510289155E-2</v>
      </c>
      <c r="E575" s="53">
        <v>2.352285715435936E-2</v>
      </c>
      <c r="G575" s="90">
        <v>567</v>
      </c>
      <c r="H575" s="90">
        <f t="shared" ca="1" si="17"/>
        <v>-1.0716472610200329E-2</v>
      </c>
    </row>
    <row r="576" spans="2:8" x14ac:dyDescent="0.3">
      <c r="B576" s="58">
        <f>'DATA HISTORICAL'!$B1221</f>
        <v>45071</v>
      </c>
      <c r="C576" s="60">
        <f>'DATA HISTORICAL'!$C1221</f>
        <v>7621.75</v>
      </c>
      <c r="D576" s="53">
        <f t="shared" si="16"/>
        <v>-4.1962544104129224E-3</v>
      </c>
      <c r="E576" s="53">
        <v>2.3478441677232322E-2</v>
      </c>
      <c r="G576" s="90">
        <v>568</v>
      </c>
      <c r="H576" s="90">
        <f t="shared" ca="1" si="17"/>
        <v>2.0162043586643152E-2</v>
      </c>
    </row>
    <row r="577" spans="2:8" x14ac:dyDescent="0.3">
      <c r="B577" s="58">
        <f>'DATA HISTORICAL'!$B1222</f>
        <v>45070</v>
      </c>
      <c r="C577" s="60">
        <f>'DATA HISTORICAL'!$C1222</f>
        <v>7653.8</v>
      </c>
      <c r="D577" s="53">
        <f t="shared" si="16"/>
        <v>-5.8792596069265658E-5</v>
      </c>
      <c r="E577" s="53">
        <v>2.3448476106978904E-2</v>
      </c>
      <c r="G577" s="90">
        <v>569</v>
      </c>
      <c r="H577" s="90">
        <f t="shared" ca="1" si="17"/>
        <v>2.1303830874679797E-2</v>
      </c>
    </row>
    <row r="578" spans="2:8" x14ac:dyDescent="0.3">
      <c r="B578" s="58">
        <f>'DATA HISTORICAL'!$B1223</f>
        <v>45069</v>
      </c>
      <c r="C578" s="60">
        <f>'DATA HISTORICAL'!$C1223</f>
        <v>7654.25</v>
      </c>
      <c r="D578" s="53">
        <f t="shared" si="16"/>
        <v>-7.9896845942232057E-3</v>
      </c>
      <c r="E578" s="53">
        <v>2.335866453349807E-2</v>
      </c>
      <c r="G578" s="90">
        <v>570</v>
      </c>
      <c r="H578" s="90">
        <f t="shared" ca="1" si="17"/>
        <v>5.7754662327213586E-3</v>
      </c>
    </row>
    <row r="579" spans="2:8" x14ac:dyDescent="0.3">
      <c r="B579" s="58">
        <f>'DATA HISTORICAL'!$B1224</f>
        <v>45068</v>
      </c>
      <c r="C579" s="60">
        <f>'DATA HISTORICAL'!$C1224</f>
        <v>7715.65</v>
      </c>
      <c r="D579" s="53">
        <f t="shared" si="16"/>
        <v>4.4619300561445909E-3</v>
      </c>
      <c r="E579" s="53">
        <v>2.3331296489796347E-2</v>
      </c>
      <c r="G579" s="90">
        <v>571</v>
      </c>
      <c r="H579" s="90">
        <f t="shared" ca="1" si="17"/>
        <v>-8.9553373056221221E-3</v>
      </c>
    </row>
    <row r="580" spans="2:8" x14ac:dyDescent="0.3">
      <c r="B580" s="58">
        <f>'DATA HISTORICAL'!$B1225</f>
        <v>45065</v>
      </c>
      <c r="C580" s="60">
        <f>'DATA HISTORICAL'!$C1225</f>
        <v>7681.3</v>
      </c>
      <c r="D580" s="53">
        <f t="shared" si="16"/>
        <v>1.0094652776846402E-2</v>
      </c>
      <c r="E580" s="53">
        <v>2.3326893737718447E-2</v>
      </c>
      <c r="G580" s="90">
        <v>572</v>
      </c>
      <c r="H580" s="90">
        <f t="shared" ca="1" si="17"/>
        <v>3.8708163692682943E-2</v>
      </c>
    </row>
    <row r="581" spans="2:8" x14ac:dyDescent="0.3">
      <c r="B581" s="58">
        <f>'DATA HISTORICAL'!$B1226</f>
        <v>45064</v>
      </c>
      <c r="C581" s="60">
        <f>'DATA HISTORICAL'!$C1226</f>
        <v>7604.15</v>
      </c>
      <c r="D581" s="53">
        <f t="shared" si="16"/>
        <v>-1.2584617819061681E-2</v>
      </c>
      <c r="E581" s="53">
        <v>2.3313249177676354E-2</v>
      </c>
      <c r="G581" s="90">
        <v>573</v>
      </c>
      <c r="H581" s="90">
        <f t="shared" ca="1" si="17"/>
        <v>-7.0805971248219931E-3</v>
      </c>
    </row>
    <row r="582" spans="2:8" x14ac:dyDescent="0.3">
      <c r="B582" s="58">
        <f>'DATA HISTORICAL'!$B1227</f>
        <v>45063</v>
      </c>
      <c r="C582" s="60">
        <f>'DATA HISTORICAL'!$C1227</f>
        <v>7700.45</v>
      </c>
      <c r="D582" s="53">
        <f t="shared" si="16"/>
        <v>2.2728527321746599E-4</v>
      </c>
      <c r="E582" s="53">
        <v>2.330219342244412E-2</v>
      </c>
      <c r="G582" s="90">
        <v>574</v>
      </c>
      <c r="H582" s="90">
        <f t="shared" ca="1" si="17"/>
        <v>3.1475771980966322E-2</v>
      </c>
    </row>
    <row r="583" spans="2:8" x14ac:dyDescent="0.3">
      <c r="B583" s="58">
        <f>'DATA HISTORICAL'!$B1228</f>
        <v>45062</v>
      </c>
      <c r="C583" s="60">
        <f>'DATA HISTORICAL'!$C1228</f>
        <v>7698.7</v>
      </c>
      <c r="D583" s="53">
        <f t="shared" si="16"/>
        <v>-8.0532659452741094E-3</v>
      </c>
      <c r="E583" s="53">
        <v>2.3294741343464421E-2</v>
      </c>
      <c r="G583" s="90">
        <v>575</v>
      </c>
      <c r="H583" s="90">
        <f t="shared" ca="1" si="17"/>
        <v>1.7438128288961921E-3</v>
      </c>
    </row>
    <row r="584" spans="2:8" x14ac:dyDescent="0.3">
      <c r="B584" s="58">
        <f>'DATA HISTORICAL'!$B1229</f>
        <v>45061</v>
      </c>
      <c r="C584" s="60">
        <f>'DATA HISTORICAL'!$C1229</f>
        <v>7760.95</v>
      </c>
      <c r="D584" s="53">
        <f t="shared" si="16"/>
        <v>7.5013770102739102E-3</v>
      </c>
      <c r="E584" s="53">
        <v>2.3286850278071806E-2</v>
      </c>
      <c r="G584" s="90">
        <v>576</v>
      </c>
      <c r="H584" s="90">
        <f t="shared" ca="1" si="17"/>
        <v>-1.1243064802515145E-2</v>
      </c>
    </row>
    <row r="585" spans="2:8" x14ac:dyDescent="0.3">
      <c r="B585" s="58">
        <f>'DATA HISTORICAL'!$B1230</f>
        <v>45058</v>
      </c>
      <c r="C585" s="60">
        <f>'DATA HISTORICAL'!$C1230</f>
        <v>7702.95</v>
      </c>
      <c r="D585" s="53">
        <f t="shared" ref="D585:D648" si="18">LN(C585/C586)</f>
        <v>-1.7054936374845786E-2</v>
      </c>
      <c r="E585" s="53">
        <v>2.3264825393748835E-2</v>
      </c>
      <c r="G585" s="90">
        <v>577</v>
      </c>
      <c r="H585" s="90">
        <f t="shared" ref="H585:H648" ca="1" si="19">_xlfn.NORM.INV(RAND(),N$10,N$11)</f>
        <v>-3.2385704344799855E-3</v>
      </c>
    </row>
    <row r="586" spans="2:8" x14ac:dyDescent="0.3">
      <c r="B586" s="58">
        <f>'DATA HISTORICAL'!$B1231</f>
        <v>45057</v>
      </c>
      <c r="C586" s="60">
        <f>'DATA HISTORICAL'!$C1231</f>
        <v>7835.45</v>
      </c>
      <c r="D586" s="53">
        <f t="shared" si="18"/>
        <v>1.1843269894325102E-2</v>
      </c>
      <c r="E586" s="53">
        <v>2.3262924315717259E-2</v>
      </c>
      <c r="G586" s="90">
        <v>578</v>
      </c>
      <c r="H586" s="90">
        <f t="shared" ca="1" si="19"/>
        <v>-8.0728765409699005E-3</v>
      </c>
    </row>
    <row r="587" spans="2:8" x14ac:dyDescent="0.3">
      <c r="B587" s="58">
        <f>'DATA HISTORICAL'!$B1232</f>
        <v>45056</v>
      </c>
      <c r="C587" s="60">
        <f>'DATA HISTORICAL'!$C1232</f>
        <v>7743.2</v>
      </c>
      <c r="D587" s="53">
        <f t="shared" si="18"/>
        <v>3.4865441267732332E-3</v>
      </c>
      <c r="E587" s="53">
        <v>2.319412649340365E-2</v>
      </c>
      <c r="G587" s="90">
        <v>579</v>
      </c>
      <c r="H587" s="90">
        <f t="shared" ca="1" si="19"/>
        <v>-3.4653884599032431E-2</v>
      </c>
    </row>
    <row r="588" spans="2:8" x14ac:dyDescent="0.3">
      <c r="B588" s="58">
        <f>'DATA HISTORICAL'!$B1233</f>
        <v>45055</v>
      </c>
      <c r="C588" s="60">
        <f>'DATA HISTORICAL'!$C1233</f>
        <v>7716.25</v>
      </c>
      <c r="D588" s="53">
        <f t="shared" si="18"/>
        <v>-2.4851647238386025E-3</v>
      </c>
      <c r="E588" s="53">
        <v>2.3111954221034431E-2</v>
      </c>
      <c r="G588" s="90">
        <v>580</v>
      </c>
      <c r="H588" s="90">
        <f t="shared" ca="1" si="19"/>
        <v>2.1004639130614112E-2</v>
      </c>
    </row>
    <row r="589" spans="2:8" x14ac:dyDescent="0.3">
      <c r="B589" s="58">
        <f>'DATA HISTORICAL'!$B1234</f>
        <v>45054</v>
      </c>
      <c r="C589" s="60">
        <f>'DATA HISTORICAL'!$C1234</f>
        <v>7735.45</v>
      </c>
      <c r="D589" s="53">
        <f t="shared" si="18"/>
        <v>1.388310044102309E-2</v>
      </c>
      <c r="E589" s="53">
        <v>2.3044351953015959E-2</v>
      </c>
      <c r="G589" s="90">
        <v>581</v>
      </c>
      <c r="H589" s="90">
        <f t="shared" ca="1" si="19"/>
        <v>-1.9816374667021436E-2</v>
      </c>
    </row>
    <row r="590" spans="2:8" x14ac:dyDescent="0.3">
      <c r="B590" s="58">
        <f>'DATA HISTORICAL'!$B1235</f>
        <v>45051</v>
      </c>
      <c r="C590" s="60">
        <f>'DATA HISTORICAL'!$C1235</f>
        <v>7628.8</v>
      </c>
      <c r="D590" s="53">
        <f t="shared" si="18"/>
        <v>1.6727583457521528E-2</v>
      </c>
      <c r="E590" s="53">
        <v>2.3027309759695195E-2</v>
      </c>
      <c r="G590" s="90">
        <v>582</v>
      </c>
      <c r="H590" s="90">
        <f t="shared" ca="1" si="19"/>
        <v>1.1888501877113666E-2</v>
      </c>
    </row>
    <row r="591" spans="2:8" x14ac:dyDescent="0.3">
      <c r="B591" s="58">
        <f>'DATA HISTORICAL'!$B1236</f>
        <v>45050</v>
      </c>
      <c r="C591" s="60">
        <f>'DATA HISTORICAL'!$C1236</f>
        <v>7502.25</v>
      </c>
      <c r="D591" s="53">
        <f t="shared" si="18"/>
        <v>-6.5958448570187862E-4</v>
      </c>
      <c r="E591" s="53">
        <v>2.3027179299776088E-2</v>
      </c>
      <c r="G591" s="90">
        <v>583</v>
      </c>
      <c r="H591" s="90">
        <f t="shared" ca="1" si="19"/>
        <v>2.0645567562925952E-2</v>
      </c>
    </row>
    <row r="592" spans="2:8" x14ac:dyDescent="0.3">
      <c r="B592" s="58">
        <f>'DATA HISTORICAL'!$B1237</f>
        <v>45049</v>
      </c>
      <c r="C592" s="60">
        <f>'DATA HISTORICAL'!$C1237</f>
        <v>7507.2</v>
      </c>
      <c r="D592" s="53">
        <f t="shared" si="18"/>
        <v>6.7630137883760901E-3</v>
      </c>
      <c r="E592" s="53">
        <v>2.3018728022354357E-2</v>
      </c>
      <c r="G592" s="90">
        <v>584</v>
      </c>
      <c r="H592" s="90">
        <f t="shared" ca="1" si="19"/>
        <v>9.5675453897214064E-3</v>
      </c>
    </row>
    <row r="593" spans="2:8" x14ac:dyDescent="0.3">
      <c r="B593" s="58">
        <f>'DATA HISTORICAL'!$B1238</f>
        <v>45048</v>
      </c>
      <c r="C593" s="60">
        <f>'DATA HISTORICAL'!$C1238</f>
        <v>7456.6</v>
      </c>
      <c r="D593" s="53">
        <f t="shared" si="18"/>
        <v>-1.3268872071609502E-2</v>
      </c>
      <c r="E593" s="53">
        <v>2.2991026287177769E-2</v>
      </c>
      <c r="G593" s="90">
        <v>585</v>
      </c>
      <c r="H593" s="90">
        <f t="shared" ca="1" si="19"/>
        <v>-2.0999180051276746E-2</v>
      </c>
    </row>
    <row r="594" spans="2:8" x14ac:dyDescent="0.3">
      <c r="B594" s="58">
        <f>'DATA HISTORICAL'!$B1239</f>
        <v>45044</v>
      </c>
      <c r="C594" s="60">
        <f>'DATA HISTORICAL'!$C1239</f>
        <v>7556.2</v>
      </c>
      <c r="D594" s="53">
        <f t="shared" si="18"/>
        <v>7.3454049773572496E-3</v>
      </c>
      <c r="E594" s="53">
        <v>2.2968758954386385E-2</v>
      </c>
      <c r="G594" s="90">
        <v>586</v>
      </c>
      <c r="H594" s="90">
        <f t="shared" ca="1" si="19"/>
        <v>1.2839618479081986E-3</v>
      </c>
    </row>
    <row r="595" spans="2:8" x14ac:dyDescent="0.3">
      <c r="B595" s="58">
        <f>'DATA HISTORICAL'!$B1240</f>
        <v>45043</v>
      </c>
      <c r="C595" s="60">
        <f>'DATA HISTORICAL'!$C1240</f>
        <v>7500.9</v>
      </c>
      <c r="D595" s="53">
        <f t="shared" si="18"/>
        <v>5.8832350896872772E-3</v>
      </c>
      <c r="E595" s="53">
        <v>2.2895223364601491E-2</v>
      </c>
      <c r="G595" s="90">
        <v>587</v>
      </c>
      <c r="H595" s="90">
        <f t="shared" ca="1" si="19"/>
        <v>-8.4321494676035356E-3</v>
      </c>
    </row>
    <row r="596" spans="2:8" x14ac:dyDescent="0.3">
      <c r="B596" s="58">
        <f>'DATA HISTORICAL'!$B1241</f>
        <v>45042</v>
      </c>
      <c r="C596" s="60">
        <f>'DATA HISTORICAL'!$C1241</f>
        <v>7456.9</v>
      </c>
      <c r="D596" s="53">
        <f t="shared" si="18"/>
        <v>2.3764620713028401E-3</v>
      </c>
      <c r="E596" s="53">
        <v>2.2884494877104311E-2</v>
      </c>
      <c r="G596" s="90">
        <v>588</v>
      </c>
      <c r="H596" s="90">
        <f t="shared" ca="1" si="19"/>
        <v>1.3800156043620421E-2</v>
      </c>
    </row>
    <row r="597" spans="2:8" x14ac:dyDescent="0.3">
      <c r="B597" s="58">
        <f>'DATA HISTORICAL'!$B1242</f>
        <v>45041</v>
      </c>
      <c r="C597" s="60">
        <f>'DATA HISTORICAL'!$C1242</f>
        <v>7439.2</v>
      </c>
      <c r="D597" s="53">
        <f t="shared" si="18"/>
        <v>-1.8145466203453071E-4</v>
      </c>
      <c r="E597" s="53">
        <v>2.2878975498286238E-2</v>
      </c>
      <c r="G597" s="90">
        <v>589</v>
      </c>
      <c r="H597" s="90">
        <f t="shared" ca="1" si="19"/>
        <v>-1.0853165726802845E-2</v>
      </c>
    </row>
    <row r="598" spans="2:8" x14ac:dyDescent="0.3">
      <c r="B598" s="58">
        <f>'DATA HISTORICAL'!$B1243</f>
        <v>45040</v>
      </c>
      <c r="C598" s="60">
        <f>'DATA HISTORICAL'!$C1243</f>
        <v>7440.55</v>
      </c>
      <c r="D598" s="53">
        <f t="shared" si="18"/>
        <v>1.1088663221854637E-2</v>
      </c>
      <c r="E598" s="53">
        <v>2.2811912990519087E-2</v>
      </c>
      <c r="G598" s="90">
        <v>590</v>
      </c>
      <c r="H598" s="90">
        <f t="shared" ca="1" si="19"/>
        <v>2.8389536296882397E-2</v>
      </c>
    </row>
    <row r="599" spans="2:8" x14ac:dyDescent="0.3">
      <c r="B599" s="58">
        <f>'DATA HISTORICAL'!$B1244</f>
        <v>45037</v>
      </c>
      <c r="C599" s="60">
        <f>'DATA HISTORICAL'!$C1244</f>
        <v>7358.5</v>
      </c>
      <c r="D599" s="53">
        <f t="shared" si="18"/>
        <v>-1.5815029339494191E-2</v>
      </c>
      <c r="E599" s="53">
        <v>2.2806216968571782E-2</v>
      </c>
      <c r="G599" s="90">
        <v>591</v>
      </c>
      <c r="H599" s="90">
        <f t="shared" ca="1" si="19"/>
        <v>-4.8080284861550205E-3</v>
      </c>
    </row>
    <row r="600" spans="2:8" x14ac:dyDescent="0.3">
      <c r="B600" s="58">
        <f>'DATA HISTORICAL'!$B1245</f>
        <v>45036</v>
      </c>
      <c r="C600" s="60">
        <f>'DATA HISTORICAL'!$C1245</f>
        <v>7475.8</v>
      </c>
      <c r="D600" s="53">
        <f t="shared" si="18"/>
        <v>-5.3496395517413078E-3</v>
      </c>
      <c r="E600" s="53">
        <v>2.2799081652905902E-2</v>
      </c>
      <c r="G600" s="90">
        <v>592</v>
      </c>
      <c r="H600" s="90">
        <f t="shared" ca="1" si="19"/>
        <v>3.9363489617104917E-4</v>
      </c>
    </row>
    <row r="601" spans="2:8" x14ac:dyDescent="0.3">
      <c r="B601" s="58">
        <f>'DATA HISTORICAL'!$B1246</f>
        <v>45035</v>
      </c>
      <c r="C601" s="60">
        <f>'DATA HISTORICAL'!$C1246</f>
        <v>7515.9</v>
      </c>
      <c r="D601" s="53">
        <f t="shared" si="18"/>
        <v>-1.0508858425214809E-2</v>
      </c>
      <c r="E601" s="53">
        <v>2.279017084512552E-2</v>
      </c>
      <c r="G601" s="90">
        <v>593</v>
      </c>
      <c r="H601" s="90">
        <f t="shared" ca="1" si="19"/>
        <v>-7.2351200224197798E-3</v>
      </c>
    </row>
    <row r="602" spans="2:8" x14ac:dyDescent="0.3">
      <c r="B602" s="58">
        <f>'DATA HISTORICAL'!$B1247</f>
        <v>45034</v>
      </c>
      <c r="C602" s="60">
        <f>'DATA HISTORICAL'!$C1247</f>
        <v>7595.3</v>
      </c>
      <c r="D602" s="53">
        <f t="shared" si="18"/>
        <v>-1.9188540043440356E-2</v>
      </c>
      <c r="E602" s="53">
        <v>2.2738502808817368E-2</v>
      </c>
      <c r="G602" s="90">
        <v>594</v>
      </c>
      <c r="H602" s="90">
        <f t="shared" ca="1" si="19"/>
        <v>-1.4319347921882122E-2</v>
      </c>
    </row>
    <row r="603" spans="2:8" x14ac:dyDescent="0.3">
      <c r="B603" s="58">
        <f>'DATA HISTORICAL'!$B1248</f>
        <v>45033</v>
      </c>
      <c r="C603" s="60">
        <f>'DATA HISTORICAL'!$C1248</f>
        <v>7742.45</v>
      </c>
      <c r="D603" s="53">
        <f t="shared" si="18"/>
        <v>1.1326488012340669E-2</v>
      </c>
      <c r="E603" s="53">
        <v>2.2715667460852774E-2</v>
      </c>
      <c r="G603" s="90">
        <v>595</v>
      </c>
      <c r="H603" s="90">
        <f t="shared" ca="1" si="19"/>
        <v>1.9735154338355605E-2</v>
      </c>
    </row>
    <row r="604" spans="2:8" x14ac:dyDescent="0.3">
      <c r="B604" s="58">
        <f>'DATA HISTORICAL'!$B1249</f>
        <v>45029</v>
      </c>
      <c r="C604" s="60">
        <f>'DATA HISTORICAL'!$C1249</f>
        <v>7655.25</v>
      </c>
      <c r="D604" s="53">
        <f t="shared" si="18"/>
        <v>-3.5988851017445538E-3</v>
      </c>
      <c r="E604" s="53">
        <v>2.270765945895932E-2</v>
      </c>
      <c r="G604" s="90">
        <v>596</v>
      </c>
      <c r="H604" s="90">
        <f t="shared" ca="1" si="19"/>
        <v>8.2149901411238194E-3</v>
      </c>
    </row>
    <row r="605" spans="2:8" x14ac:dyDescent="0.3">
      <c r="B605" s="58">
        <f>'DATA HISTORICAL'!$B1250</f>
        <v>45028</v>
      </c>
      <c r="C605" s="60">
        <f>'DATA HISTORICAL'!$C1250</f>
        <v>7682.85</v>
      </c>
      <c r="D605" s="53">
        <f t="shared" si="18"/>
        <v>-7.5984364859370121E-3</v>
      </c>
      <c r="E605" s="53">
        <v>2.266815836231675E-2</v>
      </c>
      <c r="G605" s="90">
        <v>597</v>
      </c>
      <c r="H605" s="90">
        <f t="shared" ca="1" si="19"/>
        <v>3.5840517270018399E-2</v>
      </c>
    </row>
    <row r="606" spans="2:8" x14ac:dyDescent="0.3">
      <c r="B606" s="58">
        <f>'DATA HISTORICAL'!$B1251</f>
        <v>45027</v>
      </c>
      <c r="C606" s="60">
        <f>'DATA HISTORICAL'!$C1251</f>
        <v>7741.45</v>
      </c>
      <c r="D606" s="53">
        <f t="shared" si="18"/>
        <v>5.8558113139791793E-3</v>
      </c>
      <c r="E606" s="53">
        <v>2.266267787690484E-2</v>
      </c>
      <c r="G606" s="90">
        <v>598</v>
      </c>
      <c r="H606" s="90">
        <f t="shared" ca="1" si="19"/>
        <v>-4.6174288718564592E-3</v>
      </c>
    </row>
    <row r="607" spans="2:8" x14ac:dyDescent="0.3">
      <c r="B607" s="58">
        <f>'DATA HISTORICAL'!$B1252</f>
        <v>45026</v>
      </c>
      <c r="C607" s="60">
        <f>'DATA HISTORICAL'!$C1252</f>
        <v>7696.25</v>
      </c>
      <c r="D607" s="53">
        <f t="shared" si="18"/>
        <v>-7.2736249886589494E-4</v>
      </c>
      <c r="E607" s="53">
        <v>2.2648625945229903E-2</v>
      </c>
      <c r="G607" s="90">
        <v>599</v>
      </c>
      <c r="H607" s="90">
        <f t="shared" ca="1" si="19"/>
        <v>4.7237541847167542E-3</v>
      </c>
    </row>
    <row r="608" spans="2:8" x14ac:dyDescent="0.3">
      <c r="B608" s="58">
        <f>'DATA HISTORICAL'!$B1253</f>
        <v>45022</v>
      </c>
      <c r="C608" s="60">
        <f>'DATA HISTORICAL'!$C1253</f>
        <v>7701.85</v>
      </c>
      <c r="D608" s="53">
        <f t="shared" si="18"/>
        <v>1.2862322967526279E-3</v>
      </c>
      <c r="E608" s="53">
        <v>2.2628580598728278E-2</v>
      </c>
      <c r="G608" s="90">
        <v>600</v>
      </c>
      <c r="H608" s="90">
        <f t="shared" ca="1" si="19"/>
        <v>-1.5304979808313232E-2</v>
      </c>
    </row>
    <row r="609" spans="2:8" x14ac:dyDescent="0.3">
      <c r="B609" s="58">
        <f>'DATA HISTORICAL'!$B1254</f>
        <v>45021</v>
      </c>
      <c r="C609" s="60">
        <f>'DATA HISTORICAL'!$C1254</f>
        <v>7691.95</v>
      </c>
      <c r="D609" s="53">
        <f t="shared" si="18"/>
        <v>6.7112813822212463E-3</v>
      </c>
      <c r="E609" s="53">
        <v>2.2622520508806362E-2</v>
      </c>
      <c r="G609" s="90">
        <v>601</v>
      </c>
      <c r="H609" s="90">
        <f t="shared" ca="1" si="19"/>
        <v>-9.8992798852006389E-3</v>
      </c>
    </row>
    <row r="610" spans="2:8" x14ac:dyDescent="0.3">
      <c r="B610" s="58">
        <f>'DATA HISTORICAL'!$B1255</f>
        <v>45019</v>
      </c>
      <c r="C610" s="60">
        <f>'DATA HISTORICAL'!$C1255</f>
        <v>7640.5</v>
      </c>
      <c r="D610" s="53">
        <f t="shared" si="18"/>
        <v>2.4045639311038535E-3</v>
      </c>
      <c r="E610" s="53">
        <v>2.2591305750961813E-2</v>
      </c>
      <c r="G610" s="90">
        <v>602</v>
      </c>
      <c r="H610" s="90">
        <f t="shared" ca="1" si="19"/>
        <v>-5.6712116438652612E-3</v>
      </c>
    </row>
    <row r="611" spans="2:8" x14ac:dyDescent="0.3">
      <c r="B611" s="58">
        <f>'DATA HISTORICAL'!$B1256</f>
        <v>45016</v>
      </c>
      <c r="C611" s="60">
        <f>'DATA HISTORICAL'!$C1256</f>
        <v>7622.15</v>
      </c>
      <c r="D611" s="53">
        <f t="shared" si="18"/>
        <v>6.7663442931209438E-3</v>
      </c>
      <c r="E611" s="53">
        <v>2.2585194810794667E-2</v>
      </c>
      <c r="G611" s="90">
        <v>603</v>
      </c>
      <c r="H611" s="90">
        <f t="shared" ca="1" si="19"/>
        <v>-7.6236674487375851E-3</v>
      </c>
    </row>
    <row r="612" spans="2:8" x14ac:dyDescent="0.3">
      <c r="B612" s="58">
        <f>'DATA HISTORICAL'!$B1257</f>
        <v>45014</v>
      </c>
      <c r="C612" s="60">
        <f>'DATA HISTORICAL'!$C1257</f>
        <v>7570.75</v>
      </c>
      <c r="D612" s="53">
        <f t="shared" si="18"/>
        <v>2.2393306431939312E-2</v>
      </c>
      <c r="E612" s="53">
        <v>2.2582158469322156E-2</v>
      </c>
      <c r="G612" s="90">
        <v>604</v>
      </c>
      <c r="H612" s="90">
        <f t="shared" ca="1" si="19"/>
        <v>-9.1813824172678506E-3</v>
      </c>
    </row>
    <row r="613" spans="2:8" x14ac:dyDescent="0.3">
      <c r="B613" s="58">
        <f>'DATA HISTORICAL'!$B1258</f>
        <v>45013</v>
      </c>
      <c r="C613" s="60">
        <f>'DATA HISTORICAL'!$C1258</f>
        <v>7403.1</v>
      </c>
      <c r="D613" s="53">
        <f t="shared" si="18"/>
        <v>-6.3420462617035161E-3</v>
      </c>
      <c r="E613" s="53">
        <v>2.2535733360252608E-2</v>
      </c>
      <c r="G613" s="90">
        <v>605</v>
      </c>
      <c r="H613" s="90">
        <f t="shared" ca="1" si="19"/>
        <v>7.0512714576588401E-3</v>
      </c>
    </row>
    <row r="614" spans="2:8" x14ac:dyDescent="0.3">
      <c r="B614" s="58">
        <f>'DATA HISTORICAL'!$B1259</f>
        <v>45012</v>
      </c>
      <c r="C614" s="60">
        <f>'DATA HISTORICAL'!$C1259</f>
        <v>7450.2</v>
      </c>
      <c r="D614" s="53">
        <f t="shared" si="18"/>
        <v>5.9976552732403229E-3</v>
      </c>
      <c r="E614" s="53">
        <v>2.2481526491323241E-2</v>
      </c>
      <c r="G614" s="90">
        <v>606</v>
      </c>
      <c r="H614" s="90">
        <f t="shared" ca="1" si="19"/>
        <v>-7.5140768448924171E-3</v>
      </c>
    </row>
    <row r="615" spans="2:8" x14ac:dyDescent="0.3">
      <c r="B615" s="58">
        <f>'DATA HISTORICAL'!$B1260</f>
        <v>45009</v>
      </c>
      <c r="C615" s="60">
        <f>'DATA HISTORICAL'!$C1260</f>
        <v>7405.65</v>
      </c>
      <c r="D615" s="53">
        <f t="shared" si="18"/>
        <v>-3.1052546558328137E-4</v>
      </c>
      <c r="E615" s="53">
        <v>2.247326513869017E-2</v>
      </c>
      <c r="G615" s="90">
        <v>607</v>
      </c>
      <c r="H615" s="90">
        <f t="shared" ca="1" si="19"/>
        <v>-4.8582904275855003E-3</v>
      </c>
    </row>
    <row r="616" spans="2:8" x14ac:dyDescent="0.3">
      <c r="B616" s="58">
        <f>'DATA HISTORICAL'!$B1261</f>
        <v>45008</v>
      </c>
      <c r="C616" s="60">
        <f>'DATA HISTORICAL'!$C1261</f>
        <v>7407.95</v>
      </c>
      <c r="D616" s="53">
        <f t="shared" si="18"/>
        <v>1.5265528544406988E-3</v>
      </c>
      <c r="E616" s="53">
        <v>2.2428413795351747E-2</v>
      </c>
      <c r="G616" s="90">
        <v>608</v>
      </c>
      <c r="H616" s="90">
        <f t="shared" ca="1" si="19"/>
        <v>6.3592562432256555E-3</v>
      </c>
    </row>
    <row r="617" spans="2:8" x14ac:dyDescent="0.3">
      <c r="B617" s="58">
        <f>'DATA HISTORICAL'!$B1262</f>
        <v>45007</v>
      </c>
      <c r="C617" s="60">
        <f>'DATA HISTORICAL'!$C1262</f>
        <v>7396.65</v>
      </c>
      <c r="D617" s="53">
        <f t="shared" si="18"/>
        <v>5.9528020985374899E-3</v>
      </c>
      <c r="E617" s="53">
        <v>2.242301247455605E-2</v>
      </c>
      <c r="G617" s="90">
        <v>609</v>
      </c>
      <c r="H617" s="90">
        <f t="shared" ca="1" si="19"/>
        <v>6.1294493474725919E-3</v>
      </c>
    </row>
    <row r="618" spans="2:8" x14ac:dyDescent="0.3">
      <c r="B618" s="58">
        <f>'DATA HISTORICAL'!$B1263</f>
        <v>45006</v>
      </c>
      <c r="C618" s="60">
        <f>'DATA HISTORICAL'!$C1263</f>
        <v>7352.75</v>
      </c>
      <c r="D618" s="53">
        <f t="shared" si="18"/>
        <v>1.5011295208522074E-2</v>
      </c>
      <c r="E618" s="53">
        <v>2.2417963388964637E-2</v>
      </c>
      <c r="G618" s="90">
        <v>610</v>
      </c>
      <c r="H618" s="90">
        <f t="shared" ca="1" si="19"/>
        <v>1.2375179851215286E-2</v>
      </c>
    </row>
    <row r="619" spans="2:8" x14ac:dyDescent="0.3">
      <c r="B619" s="58">
        <f>'DATA HISTORICAL'!$B1264</f>
        <v>45005</v>
      </c>
      <c r="C619" s="60">
        <f>'DATA HISTORICAL'!$C1264</f>
        <v>7243.2</v>
      </c>
      <c r="D619" s="53">
        <f t="shared" si="18"/>
        <v>-6.4335895869262047E-3</v>
      </c>
      <c r="E619" s="53">
        <v>2.239481451207254E-2</v>
      </c>
      <c r="G619" s="90">
        <v>611</v>
      </c>
      <c r="H619" s="90">
        <f t="shared" ca="1" si="19"/>
        <v>-4.4391368825743051E-2</v>
      </c>
    </row>
    <row r="620" spans="2:8" x14ac:dyDescent="0.3">
      <c r="B620" s="58">
        <f>'DATA HISTORICAL'!$B1265</f>
        <v>45002</v>
      </c>
      <c r="C620" s="60">
        <f>'DATA HISTORICAL'!$C1265</f>
        <v>7289.95</v>
      </c>
      <c r="D620" s="53">
        <f t="shared" si="18"/>
        <v>2.5754225703654144E-2</v>
      </c>
      <c r="E620" s="53">
        <v>2.2393937613389706E-2</v>
      </c>
      <c r="G620" s="90">
        <v>612</v>
      </c>
      <c r="H620" s="90">
        <f t="shared" ca="1" si="19"/>
        <v>2.7857808596488572E-3</v>
      </c>
    </row>
    <row r="621" spans="2:8" x14ac:dyDescent="0.3">
      <c r="B621" s="58">
        <f>'DATA HISTORICAL'!$B1266</f>
        <v>45001</v>
      </c>
      <c r="C621" s="60">
        <f>'DATA HISTORICAL'!$C1266</f>
        <v>7104.6</v>
      </c>
      <c r="D621" s="53">
        <f t="shared" si="18"/>
        <v>5.42049311599834E-4</v>
      </c>
      <c r="E621" s="53">
        <v>2.2310241004964655E-2</v>
      </c>
      <c r="G621" s="90">
        <v>613</v>
      </c>
      <c r="H621" s="90">
        <f t="shared" ca="1" si="19"/>
        <v>2.033539125468347E-2</v>
      </c>
    </row>
    <row r="622" spans="2:8" x14ac:dyDescent="0.3">
      <c r="B622" s="58">
        <f>'DATA HISTORICAL'!$B1267</f>
        <v>45000</v>
      </c>
      <c r="C622" s="60">
        <f>'DATA HISTORICAL'!$C1267</f>
        <v>7100.75</v>
      </c>
      <c r="D622" s="53">
        <f t="shared" si="18"/>
        <v>5.1960271373159318E-3</v>
      </c>
      <c r="E622" s="53">
        <v>2.2306955958861122E-2</v>
      </c>
      <c r="G622" s="90">
        <v>614</v>
      </c>
      <c r="H622" s="90">
        <f t="shared" ca="1" si="19"/>
        <v>-1.7648871200076259E-3</v>
      </c>
    </row>
    <row r="623" spans="2:8" x14ac:dyDescent="0.3">
      <c r="B623" s="58">
        <f>'DATA HISTORICAL'!$B1268</f>
        <v>44999</v>
      </c>
      <c r="C623" s="60">
        <f>'DATA HISTORICAL'!$C1268</f>
        <v>7063.95</v>
      </c>
      <c r="D623" s="53">
        <f t="shared" si="18"/>
        <v>-1.6478604533020998E-3</v>
      </c>
      <c r="E623" s="53">
        <v>2.2273964503064791E-2</v>
      </c>
      <c r="G623" s="90">
        <v>615</v>
      </c>
      <c r="H623" s="90">
        <f t="shared" ca="1" si="19"/>
        <v>1.8877605375035116E-2</v>
      </c>
    </row>
    <row r="624" spans="2:8" x14ac:dyDescent="0.3">
      <c r="B624" s="58">
        <f>'DATA HISTORICAL'!$B1269</f>
        <v>44998</v>
      </c>
      <c r="C624" s="60">
        <f>'DATA HISTORICAL'!$C1269</f>
        <v>7075.6</v>
      </c>
      <c r="D624" s="53">
        <f t="shared" si="18"/>
        <v>-2.1088741266281179E-2</v>
      </c>
      <c r="E624" s="53">
        <v>2.2247673771118359E-2</v>
      </c>
      <c r="G624" s="90">
        <v>616</v>
      </c>
      <c r="H624" s="90">
        <f t="shared" ca="1" si="19"/>
        <v>-7.9679176143147672E-3</v>
      </c>
    </row>
    <row r="625" spans="2:8" x14ac:dyDescent="0.3">
      <c r="B625" s="58">
        <f>'DATA HISTORICAL'!$B1270</f>
        <v>44995</v>
      </c>
      <c r="C625" s="60">
        <f>'DATA HISTORICAL'!$C1270</f>
        <v>7226.4</v>
      </c>
      <c r="D625" s="53">
        <f t="shared" si="18"/>
        <v>-2.2875951189659221E-3</v>
      </c>
      <c r="E625" s="53">
        <v>2.2233247278391544E-2</v>
      </c>
      <c r="G625" s="90">
        <v>617</v>
      </c>
      <c r="H625" s="90">
        <f t="shared" ca="1" si="19"/>
        <v>1.2246222110358607E-2</v>
      </c>
    </row>
    <row r="626" spans="2:8" x14ac:dyDescent="0.3">
      <c r="B626" s="58">
        <f>'DATA HISTORICAL'!$B1271</f>
        <v>44994</v>
      </c>
      <c r="C626" s="60">
        <f>'DATA HISTORICAL'!$C1271</f>
        <v>7242.95</v>
      </c>
      <c r="D626" s="53">
        <f t="shared" si="18"/>
        <v>-3.3493711619450948E-3</v>
      </c>
      <c r="E626" s="53">
        <v>2.2222301981497158E-2</v>
      </c>
      <c r="G626" s="90">
        <v>618</v>
      </c>
      <c r="H626" s="90">
        <f t="shared" ca="1" si="19"/>
        <v>3.461515865446655E-2</v>
      </c>
    </row>
    <row r="627" spans="2:8" x14ac:dyDescent="0.3">
      <c r="B627" s="58">
        <f>'DATA HISTORICAL'!$B1272</f>
        <v>44993</v>
      </c>
      <c r="C627" s="60">
        <f>'DATA HISTORICAL'!$C1272</f>
        <v>7267.25</v>
      </c>
      <c r="D627" s="53">
        <f t="shared" si="18"/>
        <v>9.2135972510938684E-3</v>
      </c>
      <c r="E627" s="53">
        <v>2.2174502130822879E-2</v>
      </c>
      <c r="G627" s="90">
        <v>619</v>
      </c>
      <c r="H627" s="90">
        <f t="shared" ca="1" si="19"/>
        <v>3.736204810069893E-2</v>
      </c>
    </row>
    <row r="628" spans="2:8" x14ac:dyDescent="0.3">
      <c r="B628" s="58">
        <f>'DATA HISTORICAL'!$B1273</f>
        <v>44991</v>
      </c>
      <c r="C628" s="60">
        <f>'DATA HISTORICAL'!$C1273</f>
        <v>7200.6</v>
      </c>
      <c r="D628" s="53">
        <f t="shared" si="18"/>
        <v>-2.1294978064396956E-3</v>
      </c>
      <c r="E628" s="53">
        <v>2.2158827450999275E-2</v>
      </c>
      <c r="G628" s="90">
        <v>620</v>
      </c>
      <c r="H628" s="90">
        <f t="shared" ca="1" si="19"/>
        <v>-2.5649008888522897E-3</v>
      </c>
    </row>
    <row r="629" spans="2:8" x14ac:dyDescent="0.3">
      <c r="B629" s="58">
        <f>'DATA HISTORICAL'!$B1274</f>
        <v>44988</v>
      </c>
      <c r="C629" s="60">
        <f>'DATA HISTORICAL'!$C1274</f>
        <v>7215.95</v>
      </c>
      <c r="D629" s="53">
        <f t="shared" si="18"/>
        <v>-1.0099946940009662E-2</v>
      </c>
      <c r="E629" s="53">
        <v>2.215121551667509E-2</v>
      </c>
      <c r="G629" s="90">
        <v>621</v>
      </c>
      <c r="H629" s="90">
        <f t="shared" ca="1" si="19"/>
        <v>5.2371619371538967E-4</v>
      </c>
    </row>
    <row r="630" spans="2:8" x14ac:dyDescent="0.3">
      <c r="B630" s="58">
        <f>'DATA HISTORICAL'!$B1275</f>
        <v>44987</v>
      </c>
      <c r="C630" s="60">
        <f>'DATA HISTORICAL'!$C1275</f>
        <v>7289.2</v>
      </c>
      <c r="D630" s="53">
        <f t="shared" si="18"/>
        <v>2.0668328863271052E-3</v>
      </c>
      <c r="E630" s="53">
        <v>2.2137050409666615E-2</v>
      </c>
      <c r="G630" s="90">
        <v>622</v>
      </c>
      <c r="H630" s="90">
        <f t="shared" ca="1" si="19"/>
        <v>-1.8263236789233767E-2</v>
      </c>
    </row>
    <row r="631" spans="2:8" x14ac:dyDescent="0.3">
      <c r="B631" s="58">
        <f>'DATA HISTORICAL'!$B1276</f>
        <v>44986</v>
      </c>
      <c r="C631" s="60">
        <f>'DATA HISTORICAL'!$C1276</f>
        <v>7274.15</v>
      </c>
      <c r="D631" s="53">
        <f t="shared" si="18"/>
        <v>1.7680915757794669E-3</v>
      </c>
      <c r="E631" s="53">
        <v>2.2123211595874586E-2</v>
      </c>
      <c r="G631" s="90">
        <v>623</v>
      </c>
      <c r="H631" s="90">
        <f t="shared" ca="1" si="19"/>
        <v>-3.724826051512943E-2</v>
      </c>
    </row>
    <row r="632" spans="2:8" x14ac:dyDescent="0.3">
      <c r="B632" s="58">
        <f>'DATA HISTORICAL'!$B1277</f>
        <v>44985</v>
      </c>
      <c r="C632" s="60">
        <f>'DATA HISTORICAL'!$C1277</f>
        <v>7261.3</v>
      </c>
      <c r="D632" s="53">
        <f t="shared" si="18"/>
        <v>1.0333737907120619E-2</v>
      </c>
      <c r="E632" s="53">
        <v>2.2121328301461855E-2</v>
      </c>
      <c r="G632" s="90">
        <v>624</v>
      </c>
      <c r="H632" s="90">
        <f t="shared" ca="1" si="19"/>
        <v>-8.1542699730503022E-3</v>
      </c>
    </row>
    <row r="633" spans="2:8" x14ac:dyDescent="0.3">
      <c r="B633" s="58">
        <f>'DATA HISTORICAL'!$B1278</f>
        <v>44984</v>
      </c>
      <c r="C633" s="60">
        <f>'DATA HISTORICAL'!$C1278</f>
        <v>7186.65</v>
      </c>
      <c r="D633" s="53">
        <f t="shared" si="18"/>
        <v>-4.1726464468306215E-3</v>
      </c>
      <c r="E633" s="53">
        <v>2.2114675525684933E-2</v>
      </c>
      <c r="G633" s="90">
        <v>625</v>
      </c>
      <c r="H633" s="90">
        <f t="shared" ca="1" si="19"/>
        <v>3.2301934379177057E-3</v>
      </c>
    </row>
    <row r="634" spans="2:8" x14ac:dyDescent="0.3">
      <c r="B634" s="58">
        <f>'DATA HISTORICAL'!$B1279</f>
        <v>44981</v>
      </c>
      <c r="C634" s="60">
        <f>'DATA HISTORICAL'!$C1279</f>
        <v>7216.7</v>
      </c>
      <c r="D634" s="53">
        <f t="shared" si="18"/>
        <v>5.5232829828769881E-3</v>
      </c>
      <c r="E634" s="53">
        <v>2.2102945419008597E-2</v>
      </c>
      <c r="G634" s="90">
        <v>626</v>
      </c>
      <c r="H634" s="90">
        <f t="shared" ca="1" si="19"/>
        <v>7.5568323469946928E-3</v>
      </c>
    </row>
    <row r="635" spans="2:8" x14ac:dyDescent="0.3">
      <c r="B635" s="58">
        <f>'DATA HISTORICAL'!$B1280</f>
        <v>44980</v>
      </c>
      <c r="C635" s="60">
        <f>'DATA HISTORICAL'!$C1280</f>
        <v>7176.95</v>
      </c>
      <c r="D635" s="53">
        <f t="shared" si="18"/>
        <v>-4.0048166884556809E-3</v>
      </c>
      <c r="E635" s="53">
        <v>2.2094996804812403E-2</v>
      </c>
      <c r="G635" s="90">
        <v>627</v>
      </c>
      <c r="H635" s="90">
        <f t="shared" ca="1" si="19"/>
        <v>-2.7388776302056193E-2</v>
      </c>
    </row>
    <row r="636" spans="2:8" x14ac:dyDescent="0.3">
      <c r="B636" s="58">
        <f>'DATA HISTORICAL'!$B1281</f>
        <v>44979</v>
      </c>
      <c r="C636" s="60">
        <f>'DATA HISTORICAL'!$C1281</f>
        <v>7205.75</v>
      </c>
      <c r="D636" s="53">
        <f t="shared" si="18"/>
        <v>-1.8534453286335129E-2</v>
      </c>
      <c r="E636" s="53">
        <v>2.2084391856642929E-2</v>
      </c>
      <c r="G636" s="90">
        <v>628</v>
      </c>
      <c r="H636" s="90">
        <f t="shared" ca="1" si="19"/>
        <v>-7.4616215034866229E-3</v>
      </c>
    </row>
    <row r="637" spans="2:8" x14ac:dyDescent="0.3">
      <c r="B637" s="58">
        <f>'DATA HISTORICAL'!$B1282</f>
        <v>44978</v>
      </c>
      <c r="C637" s="60">
        <f>'DATA HISTORICAL'!$C1282</f>
        <v>7340.55</v>
      </c>
      <c r="D637" s="53">
        <f t="shared" si="18"/>
        <v>-1.1688040203879804E-2</v>
      </c>
      <c r="E637" s="53">
        <v>2.2069733908438902E-2</v>
      </c>
      <c r="G637" s="90">
        <v>629</v>
      </c>
      <c r="H637" s="90">
        <f t="shared" ca="1" si="19"/>
        <v>-1.2582293915141655E-2</v>
      </c>
    </row>
    <row r="638" spans="2:8" x14ac:dyDescent="0.3">
      <c r="B638" s="58">
        <f>'DATA HISTORICAL'!$B1283</f>
        <v>44977</v>
      </c>
      <c r="C638" s="60">
        <f>'DATA HISTORICAL'!$C1283</f>
        <v>7426.85</v>
      </c>
      <c r="D638" s="53">
        <f t="shared" si="18"/>
        <v>1.7522027676453871E-2</v>
      </c>
      <c r="E638" s="53">
        <v>2.2018895829438039E-2</v>
      </c>
      <c r="G638" s="90">
        <v>630</v>
      </c>
      <c r="H638" s="90">
        <f t="shared" ca="1" si="19"/>
        <v>3.1392090097482457E-2</v>
      </c>
    </row>
    <row r="639" spans="2:8" x14ac:dyDescent="0.3">
      <c r="B639" s="58">
        <f>'DATA HISTORICAL'!$B1284</f>
        <v>44974</v>
      </c>
      <c r="C639" s="60">
        <f>'DATA HISTORICAL'!$C1284</f>
        <v>7297.85</v>
      </c>
      <c r="D639" s="53">
        <f t="shared" si="18"/>
        <v>1.7430086871622747E-2</v>
      </c>
      <c r="E639" s="53">
        <v>2.199869758331285E-2</v>
      </c>
      <c r="G639" s="90">
        <v>631</v>
      </c>
      <c r="H639" s="90">
        <f t="shared" ca="1" si="19"/>
        <v>3.4452232515921198E-3</v>
      </c>
    </row>
    <row r="640" spans="2:8" x14ac:dyDescent="0.3">
      <c r="B640" s="58">
        <f>'DATA HISTORICAL'!$B1285</f>
        <v>44973</v>
      </c>
      <c r="C640" s="60">
        <f>'DATA HISTORICAL'!$C1285</f>
        <v>7171.75</v>
      </c>
      <c r="D640" s="53">
        <f t="shared" si="18"/>
        <v>2.7786328581724641E-3</v>
      </c>
      <c r="E640" s="53">
        <v>2.1985228051059316E-2</v>
      </c>
      <c r="G640" s="90">
        <v>632</v>
      </c>
      <c r="H640" s="90">
        <f t="shared" ca="1" si="19"/>
        <v>9.4914564823225384E-3</v>
      </c>
    </row>
    <row r="641" spans="2:8" x14ac:dyDescent="0.3">
      <c r="B641" s="58">
        <f>'DATA HISTORICAL'!$B1286</f>
        <v>44972</v>
      </c>
      <c r="C641" s="60">
        <f>'DATA HISTORICAL'!$C1286</f>
        <v>7151.85</v>
      </c>
      <c r="D641" s="53">
        <f t="shared" si="18"/>
        <v>1.7703392408347607E-3</v>
      </c>
      <c r="E641" s="53">
        <v>2.1951105786007372E-2</v>
      </c>
      <c r="G641" s="90">
        <v>633</v>
      </c>
      <c r="H641" s="90">
        <f t="shared" ca="1" si="19"/>
        <v>1.6528049032913099E-2</v>
      </c>
    </row>
    <row r="642" spans="2:8" x14ac:dyDescent="0.3">
      <c r="B642" s="58">
        <f>'DATA HISTORICAL'!$B1287</f>
        <v>44971</v>
      </c>
      <c r="C642" s="60">
        <f>'DATA HISTORICAL'!$C1287</f>
        <v>7139.2</v>
      </c>
      <c r="D642" s="53">
        <f t="shared" si="18"/>
        <v>-5.5941955235498976E-3</v>
      </c>
      <c r="E642" s="53">
        <v>2.1942788224262981E-2</v>
      </c>
      <c r="G642" s="90">
        <v>634</v>
      </c>
      <c r="H642" s="90">
        <f t="shared" ca="1" si="19"/>
        <v>1.1631477886888651E-2</v>
      </c>
    </row>
    <row r="643" spans="2:8" x14ac:dyDescent="0.3">
      <c r="B643" s="58">
        <f>'DATA HISTORICAL'!$B1288</f>
        <v>44970</v>
      </c>
      <c r="C643" s="60">
        <f>'DATA HISTORICAL'!$C1288</f>
        <v>7179.25</v>
      </c>
      <c r="D643" s="53">
        <f t="shared" si="18"/>
        <v>-3.7260301844288389E-3</v>
      </c>
      <c r="E643" s="53">
        <v>2.1925360628965683E-2</v>
      </c>
      <c r="G643" s="90">
        <v>635</v>
      </c>
      <c r="H643" s="90">
        <f t="shared" ca="1" si="19"/>
        <v>5.8379755475086283E-3</v>
      </c>
    </row>
    <row r="644" spans="2:8" x14ac:dyDescent="0.3">
      <c r="B644" s="58">
        <f>'DATA HISTORICAL'!$B1289</f>
        <v>44967</v>
      </c>
      <c r="C644" s="60">
        <f>'DATA HISTORICAL'!$C1289</f>
        <v>7206.05</v>
      </c>
      <c r="D644" s="53">
        <f t="shared" si="18"/>
        <v>3.6563874516197478E-3</v>
      </c>
      <c r="E644" s="53">
        <v>2.1899669088412958E-2</v>
      </c>
      <c r="G644" s="90">
        <v>636</v>
      </c>
      <c r="H644" s="90">
        <f t="shared" ca="1" si="19"/>
        <v>1.2031901735181278E-2</v>
      </c>
    </row>
    <row r="645" spans="2:8" x14ac:dyDescent="0.3">
      <c r="B645" s="58">
        <f>'DATA HISTORICAL'!$B1290</f>
        <v>44966</v>
      </c>
      <c r="C645" s="60">
        <f>'DATA HISTORICAL'!$C1290</f>
        <v>7179.75</v>
      </c>
      <c r="D645" s="53">
        <f t="shared" si="18"/>
        <v>-9.7851800509752354E-3</v>
      </c>
      <c r="E645" s="53">
        <v>2.1845260127073354E-2</v>
      </c>
      <c r="G645" s="90">
        <v>637</v>
      </c>
      <c r="H645" s="90">
        <f t="shared" ca="1" si="19"/>
        <v>-2.3011646956872965E-3</v>
      </c>
    </row>
    <row r="646" spans="2:8" x14ac:dyDescent="0.3">
      <c r="B646" s="58">
        <f>'DATA HISTORICAL'!$B1291</f>
        <v>44965</v>
      </c>
      <c r="C646" s="60">
        <f>'DATA HISTORICAL'!$C1291</f>
        <v>7250.35</v>
      </c>
      <c r="D646" s="53">
        <f t="shared" si="18"/>
        <v>2.493469917095675E-2</v>
      </c>
      <c r="E646" s="53">
        <v>2.1819978206032768E-2</v>
      </c>
      <c r="G646" s="90">
        <v>638</v>
      </c>
      <c r="H646" s="90">
        <f t="shared" ca="1" si="19"/>
        <v>-1.7161870094467527E-2</v>
      </c>
    </row>
    <row r="647" spans="2:8" x14ac:dyDescent="0.3">
      <c r="B647" s="58">
        <f>'DATA HISTORICAL'!$B1292</f>
        <v>44964</v>
      </c>
      <c r="C647" s="60">
        <f>'DATA HISTORICAL'!$C1292</f>
        <v>7071.8</v>
      </c>
      <c r="D647" s="53">
        <f t="shared" si="18"/>
        <v>-7.8104213849434969E-3</v>
      </c>
      <c r="E647" s="53">
        <v>2.1811567433260962E-2</v>
      </c>
      <c r="G647" s="90">
        <v>639</v>
      </c>
      <c r="H647" s="90">
        <f t="shared" ca="1" si="19"/>
        <v>-7.6478038325850962E-4</v>
      </c>
    </row>
    <row r="648" spans="2:8" x14ac:dyDescent="0.3">
      <c r="B648" s="58">
        <f>'DATA HISTORICAL'!$B1293</f>
        <v>44963</v>
      </c>
      <c r="C648" s="60">
        <f>'DATA HISTORICAL'!$C1293</f>
        <v>7127.25</v>
      </c>
      <c r="D648" s="53">
        <f t="shared" si="18"/>
        <v>-8.6544341183451747E-3</v>
      </c>
      <c r="E648" s="53">
        <v>2.1781653881790271E-2</v>
      </c>
      <c r="G648" s="90">
        <v>640</v>
      </c>
      <c r="H648" s="90">
        <f t="shared" ca="1" si="19"/>
        <v>1.8859556706941297E-2</v>
      </c>
    </row>
    <row r="649" spans="2:8" x14ac:dyDescent="0.3">
      <c r="B649" s="58">
        <f>'DATA HISTORICAL'!$B1294</f>
        <v>44960</v>
      </c>
      <c r="C649" s="60">
        <f>'DATA HISTORICAL'!$C1294</f>
        <v>7189.2</v>
      </c>
      <c r="D649" s="53">
        <f t="shared" ref="D649:D712" si="20">LN(C649/C650)</f>
        <v>3.0020535402448425E-3</v>
      </c>
      <c r="E649" s="53">
        <v>2.1773422691106728E-2</v>
      </c>
      <c r="G649" s="90">
        <v>641</v>
      </c>
      <c r="H649" s="90">
        <f t="shared" ref="H649:H712" ca="1" si="21">_xlfn.NORM.INV(RAND(),N$10,N$11)</f>
        <v>3.2883615994036986E-4</v>
      </c>
    </row>
    <row r="650" spans="2:8" x14ac:dyDescent="0.3">
      <c r="B650" s="58">
        <f>'DATA HISTORICAL'!$B1295</f>
        <v>44959</v>
      </c>
      <c r="C650" s="60">
        <f>'DATA HISTORICAL'!$C1295</f>
        <v>7167.65</v>
      </c>
      <c r="D650" s="53">
        <f t="shared" si="20"/>
        <v>3.6690107934952408E-3</v>
      </c>
      <c r="E650" s="53">
        <v>2.1723651777479109E-2</v>
      </c>
      <c r="G650" s="90">
        <v>642</v>
      </c>
      <c r="H650" s="90">
        <f t="shared" ca="1" si="21"/>
        <v>-1.8577886384428401E-2</v>
      </c>
    </row>
    <row r="651" spans="2:8" x14ac:dyDescent="0.3">
      <c r="B651" s="58">
        <f>'DATA HISTORICAL'!$B1296</f>
        <v>44958</v>
      </c>
      <c r="C651" s="60">
        <f>'DATA HISTORICAL'!$C1296</f>
        <v>7141.4</v>
      </c>
      <c r="D651" s="53">
        <f t="shared" si="20"/>
        <v>7.8513366390922813E-3</v>
      </c>
      <c r="E651" s="53">
        <v>2.171473495675625E-2</v>
      </c>
      <c r="G651" s="90">
        <v>643</v>
      </c>
      <c r="H651" s="90">
        <f t="shared" ca="1" si="21"/>
        <v>2.2292946722195769E-2</v>
      </c>
    </row>
    <row r="652" spans="2:8" x14ac:dyDescent="0.3">
      <c r="B652" s="58">
        <f>'DATA HISTORICAL'!$B1297</f>
        <v>44957</v>
      </c>
      <c r="C652" s="60">
        <f>'DATA HISTORICAL'!$C1297</f>
        <v>7085.55</v>
      </c>
      <c r="D652" s="53">
        <f t="shared" si="20"/>
        <v>2.8320286752952412E-2</v>
      </c>
      <c r="E652" s="53">
        <v>2.1680826874492319E-2</v>
      </c>
      <c r="G652" s="90">
        <v>644</v>
      </c>
      <c r="H652" s="90">
        <f t="shared" ca="1" si="21"/>
        <v>1.1872784720404157E-2</v>
      </c>
    </row>
    <row r="653" spans="2:8" x14ac:dyDescent="0.3">
      <c r="B653" s="58">
        <f>'DATA HISTORICAL'!$B1298</f>
        <v>44956</v>
      </c>
      <c r="C653" s="60">
        <f>'DATA HISTORICAL'!$C1298</f>
        <v>6887.7</v>
      </c>
      <c r="D653" s="53">
        <f t="shared" si="20"/>
        <v>2.5304033989851704E-2</v>
      </c>
      <c r="E653" s="53">
        <v>2.1634815597541296E-2</v>
      </c>
      <c r="G653" s="90">
        <v>645</v>
      </c>
      <c r="H653" s="90">
        <f t="shared" ca="1" si="21"/>
        <v>-2.5289740379248783E-2</v>
      </c>
    </row>
    <row r="654" spans="2:8" x14ac:dyDescent="0.3">
      <c r="B654" s="58">
        <f>'DATA HISTORICAL'!$B1299</f>
        <v>44953</v>
      </c>
      <c r="C654" s="60">
        <f>'DATA HISTORICAL'!$C1299</f>
        <v>6715.6</v>
      </c>
      <c r="D654" s="53">
        <f t="shared" si="20"/>
        <v>1.5647473145782922E-3</v>
      </c>
      <c r="E654" s="53">
        <v>2.1591848463621319E-2</v>
      </c>
      <c r="G654" s="90">
        <v>646</v>
      </c>
      <c r="H654" s="90">
        <f t="shared" ca="1" si="21"/>
        <v>-2.4761483787797932E-2</v>
      </c>
    </row>
    <row r="655" spans="2:8" x14ac:dyDescent="0.3">
      <c r="B655" s="58">
        <f>'DATA HISTORICAL'!$B1300</f>
        <v>44951</v>
      </c>
      <c r="C655" s="60">
        <f>'DATA HISTORICAL'!$C1300</f>
        <v>6705.1</v>
      </c>
      <c r="D655" s="53">
        <f t="shared" si="20"/>
        <v>-1.5479635462101115E-2</v>
      </c>
      <c r="E655" s="53">
        <v>2.1549281087505166E-2</v>
      </c>
      <c r="G655" s="90">
        <v>647</v>
      </c>
      <c r="H655" s="90">
        <f t="shared" ca="1" si="21"/>
        <v>3.2215418541661496E-2</v>
      </c>
    </row>
    <row r="656" spans="2:8" x14ac:dyDescent="0.3">
      <c r="B656" s="58">
        <f>'DATA HISTORICAL'!$B1301</f>
        <v>44950</v>
      </c>
      <c r="C656" s="60">
        <f>'DATA HISTORICAL'!$C1301</f>
        <v>6809.7</v>
      </c>
      <c r="D656" s="53">
        <f t="shared" si="20"/>
        <v>-5.8640889301320373E-3</v>
      </c>
      <c r="E656" s="53">
        <v>2.1461555809759034E-2</v>
      </c>
      <c r="G656" s="90">
        <v>648</v>
      </c>
      <c r="H656" s="90">
        <f t="shared" ca="1" si="21"/>
        <v>2.4822154275755841E-2</v>
      </c>
    </row>
    <row r="657" spans="2:8" x14ac:dyDescent="0.3">
      <c r="B657" s="58">
        <f>'DATA HISTORICAL'!$B1302</f>
        <v>44949</v>
      </c>
      <c r="C657" s="60">
        <f>'DATA HISTORICAL'!$C1302</f>
        <v>6849.75</v>
      </c>
      <c r="D657" s="53">
        <f t="shared" si="20"/>
        <v>-4.6690213069303627E-2</v>
      </c>
      <c r="E657" s="53">
        <v>2.1460787927416621E-2</v>
      </c>
      <c r="G657" s="90">
        <v>649</v>
      </c>
      <c r="H657" s="90">
        <f t="shared" ca="1" si="21"/>
        <v>1.8413935514087531E-3</v>
      </c>
    </row>
    <row r="658" spans="2:8" x14ac:dyDescent="0.3">
      <c r="B658" s="58">
        <f>'DATA HISTORICAL'!$B1303</f>
        <v>44946</v>
      </c>
      <c r="C658" s="60">
        <f>'DATA HISTORICAL'!$C1303</f>
        <v>7177.15</v>
      </c>
      <c r="D658" s="53">
        <f t="shared" si="20"/>
        <v>-4.8924660638517206E-3</v>
      </c>
      <c r="E658" s="53">
        <v>2.1454827548040949E-2</v>
      </c>
      <c r="G658" s="90">
        <v>650</v>
      </c>
      <c r="H658" s="90">
        <f t="shared" ca="1" si="21"/>
        <v>-4.2758450460914687E-3</v>
      </c>
    </row>
    <row r="659" spans="2:8" x14ac:dyDescent="0.3">
      <c r="B659" s="58">
        <f>'DATA HISTORICAL'!$B1304</f>
        <v>44945</v>
      </c>
      <c r="C659" s="60">
        <f>'DATA HISTORICAL'!$C1304</f>
        <v>7212.35</v>
      </c>
      <c r="D659" s="53">
        <f t="shared" si="20"/>
        <v>-9.8098166609175662E-3</v>
      </c>
      <c r="E659" s="53">
        <v>2.144948271976085E-2</v>
      </c>
      <c r="G659" s="90">
        <v>651</v>
      </c>
      <c r="H659" s="90">
        <f t="shared" ca="1" si="21"/>
        <v>-5.6077519353091151E-3</v>
      </c>
    </row>
    <row r="660" spans="2:8" x14ac:dyDescent="0.3">
      <c r="B660" s="58">
        <f>'DATA HISTORICAL'!$B1305</f>
        <v>44944</v>
      </c>
      <c r="C660" s="60">
        <f>'DATA HISTORICAL'!$C1305</f>
        <v>7283.45</v>
      </c>
      <c r="D660" s="53">
        <f t="shared" si="20"/>
        <v>-1.2850508667245996E-2</v>
      </c>
      <c r="E660" s="53">
        <v>2.144580531868312E-2</v>
      </c>
      <c r="G660" s="90">
        <v>652</v>
      </c>
      <c r="H660" s="90">
        <f t="shared" ca="1" si="21"/>
        <v>1.1428030302558352E-2</v>
      </c>
    </row>
    <row r="661" spans="2:8" x14ac:dyDescent="0.3">
      <c r="B661" s="58">
        <f>'DATA HISTORICAL'!$B1306</f>
        <v>44943</v>
      </c>
      <c r="C661" s="60">
        <f>'DATA HISTORICAL'!$C1306</f>
        <v>7377.65</v>
      </c>
      <c r="D661" s="53">
        <f t="shared" si="20"/>
        <v>1.2658310537840344E-2</v>
      </c>
      <c r="E661" s="53">
        <v>2.1398264327283971E-2</v>
      </c>
      <c r="G661" s="90">
        <v>653</v>
      </c>
      <c r="H661" s="90">
        <f t="shared" ca="1" si="21"/>
        <v>2.9991688164695302E-2</v>
      </c>
    </row>
    <row r="662" spans="2:8" x14ac:dyDescent="0.3">
      <c r="B662" s="58">
        <f>'DATA HISTORICAL'!$B1307</f>
        <v>44942</v>
      </c>
      <c r="C662" s="60">
        <f>'DATA HISTORICAL'!$C1307</f>
        <v>7284.85</v>
      </c>
      <c r="D662" s="53">
        <f t="shared" si="20"/>
        <v>4.9471159638585322E-3</v>
      </c>
      <c r="E662" s="53">
        <v>2.1353242476720574E-2</v>
      </c>
      <c r="G662" s="90">
        <v>654</v>
      </c>
      <c r="H662" s="90">
        <f t="shared" ca="1" si="21"/>
        <v>-2.8592349490101778E-2</v>
      </c>
    </row>
    <row r="663" spans="2:8" x14ac:dyDescent="0.3">
      <c r="B663" s="58">
        <f>'DATA HISTORICAL'!$B1308</f>
        <v>44939</v>
      </c>
      <c r="C663" s="60">
        <f>'DATA HISTORICAL'!$C1308</f>
        <v>7248.9</v>
      </c>
      <c r="D663" s="53">
        <f t="shared" si="20"/>
        <v>1.3268954769529356E-2</v>
      </c>
      <c r="E663" s="53">
        <v>2.1292975058732243E-2</v>
      </c>
      <c r="G663" s="90">
        <v>655</v>
      </c>
      <c r="H663" s="90">
        <f t="shared" ca="1" si="21"/>
        <v>3.2918016941191133E-2</v>
      </c>
    </row>
    <row r="664" spans="2:8" x14ac:dyDescent="0.3">
      <c r="B664" s="58">
        <f>'DATA HISTORICAL'!$B1309</f>
        <v>44938</v>
      </c>
      <c r="C664" s="60">
        <f>'DATA HISTORICAL'!$C1309</f>
        <v>7153.35</v>
      </c>
      <c r="D664" s="53">
        <f t="shared" si="20"/>
        <v>1.8539821205457972E-2</v>
      </c>
      <c r="E664" s="53">
        <v>2.1292704882110363E-2</v>
      </c>
      <c r="G664" s="90">
        <v>656</v>
      </c>
      <c r="H664" s="90">
        <f t="shared" ca="1" si="21"/>
        <v>1.3068869538396402E-3</v>
      </c>
    </row>
    <row r="665" spans="2:8" x14ac:dyDescent="0.3">
      <c r="B665" s="58">
        <f>'DATA HISTORICAL'!$B1310</f>
        <v>44937</v>
      </c>
      <c r="C665" s="60">
        <f>'DATA HISTORICAL'!$C1310</f>
        <v>7021.95</v>
      </c>
      <c r="D665" s="53">
        <f t="shared" si="20"/>
        <v>1.4581835951356105E-2</v>
      </c>
      <c r="E665" s="53">
        <v>2.1287174406734412E-2</v>
      </c>
      <c r="G665" s="90">
        <v>657</v>
      </c>
      <c r="H665" s="90">
        <f t="shared" ca="1" si="21"/>
        <v>8.0715290029147874E-3</v>
      </c>
    </row>
    <row r="666" spans="2:8" x14ac:dyDescent="0.3">
      <c r="B666" s="58">
        <f>'DATA HISTORICAL'!$B1311</f>
        <v>44936</v>
      </c>
      <c r="C666" s="60">
        <f>'DATA HISTORICAL'!$C1311</f>
        <v>6920.3</v>
      </c>
      <c r="D666" s="53">
        <f t="shared" si="20"/>
        <v>-1.6417247086378216E-2</v>
      </c>
      <c r="E666" s="53">
        <v>2.1232220105774118E-2</v>
      </c>
      <c r="G666" s="90">
        <v>658</v>
      </c>
      <c r="H666" s="90">
        <f t="shared" ca="1" si="21"/>
        <v>-3.3757953441876307E-2</v>
      </c>
    </row>
    <row r="667" spans="2:8" x14ac:dyDescent="0.3">
      <c r="B667" s="58">
        <f>'DATA HISTORICAL'!$B1312</f>
        <v>44935</v>
      </c>
      <c r="C667" s="60">
        <f>'DATA HISTORICAL'!$C1312</f>
        <v>7034.85</v>
      </c>
      <c r="D667" s="53">
        <f t="shared" si="20"/>
        <v>7.5123150174665589E-3</v>
      </c>
      <c r="E667" s="53">
        <v>2.1228613478653454E-2</v>
      </c>
      <c r="G667" s="90">
        <v>659</v>
      </c>
      <c r="H667" s="90">
        <f t="shared" ca="1" si="21"/>
        <v>1.623999415536994E-2</v>
      </c>
    </row>
    <row r="668" spans="2:8" x14ac:dyDescent="0.3">
      <c r="B668" s="58">
        <f>'DATA HISTORICAL'!$B1313</f>
        <v>44932</v>
      </c>
      <c r="C668" s="60">
        <f>'DATA HISTORICAL'!$C1313</f>
        <v>6982.2</v>
      </c>
      <c r="D668" s="53">
        <f t="shared" si="20"/>
        <v>-3.5455960284477409E-3</v>
      </c>
      <c r="E668" s="53">
        <v>2.122731307447984E-2</v>
      </c>
      <c r="G668" s="90">
        <v>660</v>
      </c>
      <c r="H668" s="90">
        <f t="shared" ca="1" si="21"/>
        <v>-9.170195456069289E-3</v>
      </c>
    </row>
    <row r="669" spans="2:8" x14ac:dyDescent="0.3">
      <c r="B669" s="58">
        <f>'DATA HISTORICAL'!$B1314</f>
        <v>44931</v>
      </c>
      <c r="C669" s="60">
        <f>'DATA HISTORICAL'!$C1314</f>
        <v>7007</v>
      </c>
      <c r="D669" s="53">
        <f t="shared" si="20"/>
        <v>2.3550653639479291E-4</v>
      </c>
      <c r="E669" s="53">
        <v>2.1203729675444063E-2</v>
      </c>
      <c r="G669" s="90">
        <v>661</v>
      </c>
      <c r="H669" s="90">
        <f t="shared" ca="1" si="21"/>
        <v>-1.1605722741235582E-2</v>
      </c>
    </row>
    <row r="670" spans="2:8" x14ac:dyDescent="0.3">
      <c r="B670" s="58">
        <f>'DATA HISTORICAL'!$B1315</f>
        <v>44930</v>
      </c>
      <c r="C670" s="60">
        <f>'DATA HISTORICAL'!$C1315</f>
        <v>7005.35</v>
      </c>
      <c r="D670" s="53">
        <f t="shared" si="20"/>
        <v>1.6786977250889859E-3</v>
      </c>
      <c r="E670" s="53">
        <v>2.1161093377857838E-2</v>
      </c>
      <c r="G670" s="90">
        <v>662</v>
      </c>
      <c r="H670" s="90">
        <f t="shared" ca="1" si="21"/>
        <v>2.2533723071081729E-2</v>
      </c>
    </row>
    <row r="671" spans="2:8" x14ac:dyDescent="0.3">
      <c r="B671" s="58">
        <f>'DATA HISTORICAL'!$B1316</f>
        <v>44929</v>
      </c>
      <c r="C671" s="60">
        <f>'DATA HISTORICAL'!$C1316</f>
        <v>6993.6</v>
      </c>
      <c r="D671" s="53">
        <f t="shared" si="20"/>
        <v>-3.4757074718255294E-3</v>
      </c>
      <c r="E671" s="53">
        <v>2.1143129649669332E-2</v>
      </c>
      <c r="G671" s="90">
        <v>663</v>
      </c>
      <c r="H671" s="90">
        <f t="shared" ca="1" si="21"/>
        <v>1.2402312474756486E-2</v>
      </c>
    </row>
    <row r="672" spans="2:8" x14ac:dyDescent="0.3">
      <c r="B672" s="58">
        <f>'DATA HISTORICAL'!$B1317</f>
        <v>44928</v>
      </c>
      <c r="C672" s="60">
        <f>'DATA HISTORICAL'!$C1317</f>
        <v>7017.95</v>
      </c>
      <c r="D672" s="53">
        <f t="shared" si="20"/>
        <v>8.4281818214721228E-3</v>
      </c>
      <c r="E672" s="53">
        <v>2.113915894067275E-2</v>
      </c>
      <c r="G672" s="90">
        <v>664</v>
      </c>
      <c r="H672" s="90">
        <f t="shared" ca="1" si="21"/>
        <v>5.4170922579958912E-3</v>
      </c>
    </row>
    <row r="673" spans="2:8" x14ac:dyDescent="0.3">
      <c r="B673" s="58">
        <f>'DATA HISTORICAL'!$B1318</f>
        <v>44925</v>
      </c>
      <c r="C673" s="60">
        <f>'DATA HISTORICAL'!$C1318</f>
        <v>6959.05</v>
      </c>
      <c r="D673" s="53">
        <f t="shared" si="20"/>
        <v>-3.321082582682633E-3</v>
      </c>
      <c r="E673" s="53">
        <v>2.1116030042868161E-2</v>
      </c>
      <c r="G673" s="90">
        <v>665</v>
      </c>
      <c r="H673" s="90">
        <f t="shared" ca="1" si="21"/>
        <v>-2.0544439217126771E-3</v>
      </c>
    </row>
    <row r="674" spans="2:8" x14ac:dyDescent="0.3">
      <c r="B674" s="58">
        <f>'DATA HISTORICAL'!$B1319</f>
        <v>44924</v>
      </c>
      <c r="C674" s="60">
        <f>'DATA HISTORICAL'!$C1319</f>
        <v>6982.2</v>
      </c>
      <c r="D674" s="53">
        <f t="shared" si="20"/>
        <v>-1.0202425344281925E-2</v>
      </c>
      <c r="E674" s="53">
        <v>2.1102388941874033E-2</v>
      </c>
      <c r="G674" s="90">
        <v>666</v>
      </c>
      <c r="H674" s="90">
        <f t="shared" ca="1" si="21"/>
        <v>2.2074266660671187E-2</v>
      </c>
    </row>
    <row r="675" spans="2:8" x14ac:dyDescent="0.3">
      <c r="B675" s="58">
        <f>'DATA HISTORICAL'!$B1320</f>
        <v>44923</v>
      </c>
      <c r="C675" s="60">
        <f>'DATA HISTORICAL'!$C1320</f>
        <v>7053.8</v>
      </c>
      <c r="D675" s="53">
        <f t="shared" si="20"/>
        <v>-7.5418760137401664E-3</v>
      </c>
      <c r="E675" s="53">
        <v>2.1097434412475986E-2</v>
      </c>
      <c r="G675" s="90">
        <v>667</v>
      </c>
      <c r="H675" s="90">
        <f t="shared" ca="1" si="21"/>
        <v>-2.1711037848517255E-2</v>
      </c>
    </row>
    <row r="676" spans="2:8" x14ac:dyDescent="0.3">
      <c r="B676" s="58">
        <f>'DATA HISTORICAL'!$B1321</f>
        <v>44922</v>
      </c>
      <c r="C676" s="60">
        <f>'DATA HISTORICAL'!$C1321</f>
        <v>7107.2</v>
      </c>
      <c r="D676" s="53">
        <f t="shared" si="20"/>
        <v>4.6822639346822542E-3</v>
      </c>
      <c r="E676" s="53">
        <v>2.1016616618598525E-2</v>
      </c>
      <c r="G676" s="90">
        <v>668</v>
      </c>
      <c r="H676" s="90">
        <f t="shared" ca="1" si="21"/>
        <v>-8.7939293500518094E-3</v>
      </c>
    </row>
    <row r="677" spans="2:8" x14ac:dyDescent="0.3">
      <c r="B677" s="58">
        <f>'DATA HISTORICAL'!$B1322</f>
        <v>44921</v>
      </c>
      <c r="C677" s="60">
        <f>'DATA HISTORICAL'!$C1322</f>
        <v>7074</v>
      </c>
      <c r="D677" s="53">
        <f t="shared" si="20"/>
        <v>2.3543287453885873E-2</v>
      </c>
      <c r="E677" s="53">
        <v>2.1015215590908631E-2</v>
      </c>
      <c r="G677" s="90">
        <v>669</v>
      </c>
      <c r="H677" s="90">
        <f t="shared" ca="1" si="21"/>
        <v>-1.8570918844991969E-3</v>
      </c>
    </row>
    <row r="678" spans="2:8" x14ac:dyDescent="0.3">
      <c r="B678" s="58">
        <f>'DATA HISTORICAL'!$B1323</f>
        <v>44918</v>
      </c>
      <c r="C678" s="60">
        <f>'DATA HISTORICAL'!$C1323</f>
        <v>6909.4</v>
      </c>
      <c r="D678" s="53">
        <f t="shared" si="20"/>
        <v>-1.4797207168178943E-2</v>
      </c>
      <c r="E678" s="53">
        <v>2.1001973690895164E-2</v>
      </c>
      <c r="G678" s="90">
        <v>670</v>
      </c>
      <c r="H678" s="90">
        <f t="shared" ca="1" si="21"/>
        <v>1.3322062300672961E-2</v>
      </c>
    </row>
    <row r="679" spans="2:8" x14ac:dyDescent="0.3">
      <c r="B679" s="58">
        <f>'DATA HISTORICAL'!$B1324</f>
        <v>44917</v>
      </c>
      <c r="C679" s="60">
        <f>'DATA HISTORICAL'!$C1324</f>
        <v>7012.4</v>
      </c>
      <c r="D679" s="53">
        <f t="shared" si="20"/>
        <v>8.8376365682813623E-3</v>
      </c>
      <c r="E679" s="53">
        <v>2.0978100747383849E-2</v>
      </c>
      <c r="G679" s="90">
        <v>671</v>
      </c>
      <c r="H679" s="90">
        <f t="shared" ca="1" si="21"/>
        <v>4.9255344899106464E-3</v>
      </c>
    </row>
    <row r="680" spans="2:8" x14ac:dyDescent="0.3">
      <c r="B680" s="58">
        <f>'DATA HISTORICAL'!$B1325</f>
        <v>44916</v>
      </c>
      <c r="C680" s="60">
        <f>'DATA HISTORICAL'!$C1325</f>
        <v>6950.7</v>
      </c>
      <c r="D680" s="53">
        <f t="shared" si="20"/>
        <v>-2.0970680295004186E-2</v>
      </c>
      <c r="E680" s="53">
        <v>2.097039564416919E-2</v>
      </c>
      <c r="G680" s="90">
        <v>672</v>
      </c>
      <c r="H680" s="90">
        <f t="shared" ca="1" si="21"/>
        <v>-4.5234084428006589E-2</v>
      </c>
    </row>
    <row r="681" spans="2:8" x14ac:dyDescent="0.3">
      <c r="B681" s="58">
        <f>'DATA HISTORICAL'!$B1326</f>
        <v>44915</v>
      </c>
      <c r="C681" s="60">
        <f>'DATA HISTORICAL'!$C1326</f>
        <v>7098</v>
      </c>
      <c r="D681" s="53">
        <f t="shared" si="20"/>
        <v>3.1042779267659057E-3</v>
      </c>
      <c r="E681" s="53">
        <v>2.0952118862228756E-2</v>
      </c>
      <c r="G681" s="90">
        <v>673</v>
      </c>
      <c r="H681" s="90">
        <f t="shared" ca="1" si="21"/>
        <v>9.1539765048569352E-3</v>
      </c>
    </row>
    <row r="682" spans="2:8" x14ac:dyDescent="0.3">
      <c r="B682" s="58">
        <f>'DATA HISTORICAL'!$B1327</f>
        <v>44914</v>
      </c>
      <c r="C682" s="60">
        <f>'DATA HISTORICAL'!$C1327</f>
        <v>7076</v>
      </c>
      <c r="D682" s="53">
        <f t="shared" si="20"/>
        <v>8.7863674812994185E-3</v>
      </c>
      <c r="E682" s="53">
        <v>2.0944885820251599E-2</v>
      </c>
      <c r="G682" s="90">
        <v>674</v>
      </c>
      <c r="H682" s="90">
        <f t="shared" ca="1" si="21"/>
        <v>3.2636039809724765E-2</v>
      </c>
    </row>
    <row r="683" spans="2:8" x14ac:dyDescent="0.3">
      <c r="B683" s="58">
        <f>'DATA HISTORICAL'!$B1328</f>
        <v>44911</v>
      </c>
      <c r="C683" s="60">
        <f>'DATA HISTORICAL'!$C1328</f>
        <v>7014.1</v>
      </c>
      <c r="D683" s="53">
        <f t="shared" si="20"/>
        <v>-1.4128207821797033E-2</v>
      </c>
      <c r="E683" s="53">
        <v>2.0907408289220074E-2</v>
      </c>
      <c r="G683" s="90">
        <v>675</v>
      </c>
      <c r="H683" s="90">
        <f t="shared" ca="1" si="21"/>
        <v>3.9881655970005384E-2</v>
      </c>
    </row>
    <row r="684" spans="2:8" x14ac:dyDescent="0.3">
      <c r="B684" s="58">
        <f>'DATA HISTORICAL'!$B1329</f>
        <v>44910</v>
      </c>
      <c r="C684" s="60">
        <f>'DATA HISTORICAL'!$C1329</f>
        <v>7113.9</v>
      </c>
      <c r="D684" s="53">
        <f t="shared" si="20"/>
        <v>-1.1690073698575523E-2</v>
      </c>
      <c r="E684" s="53">
        <v>2.0893114136302762E-2</v>
      </c>
      <c r="G684" s="90">
        <v>676</v>
      </c>
      <c r="H684" s="90">
        <f t="shared" ca="1" si="21"/>
        <v>3.0142334412712701E-2</v>
      </c>
    </row>
    <row r="685" spans="2:8" x14ac:dyDescent="0.3">
      <c r="B685" s="58">
        <f>'DATA HISTORICAL'!$B1330</f>
        <v>44909</v>
      </c>
      <c r="C685" s="60">
        <f>'DATA HISTORICAL'!$C1330</f>
        <v>7197.55</v>
      </c>
      <c r="D685" s="53">
        <f t="shared" si="20"/>
        <v>-3.8480652911985183E-3</v>
      </c>
      <c r="E685" s="53">
        <v>2.0875766606235965E-2</v>
      </c>
      <c r="G685" s="90">
        <v>677</v>
      </c>
      <c r="H685" s="90">
        <f t="shared" ca="1" si="21"/>
        <v>-1.4045710005118336E-2</v>
      </c>
    </row>
    <row r="686" spans="2:8" x14ac:dyDescent="0.3">
      <c r="B686" s="58">
        <f>'DATA HISTORICAL'!$B1331</f>
        <v>44908</v>
      </c>
      <c r="C686" s="60">
        <f>'DATA HISTORICAL'!$C1331</f>
        <v>7225.3</v>
      </c>
      <c r="D686" s="53">
        <f t="shared" si="20"/>
        <v>1.0917055437276568E-2</v>
      </c>
      <c r="E686" s="53">
        <v>2.0873086963370788E-2</v>
      </c>
      <c r="G686" s="90">
        <v>678</v>
      </c>
      <c r="H686" s="90">
        <f t="shared" ca="1" si="21"/>
        <v>3.2249699003488445E-2</v>
      </c>
    </row>
    <row r="687" spans="2:8" x14ac:dyDescent="0.3">
      <c r="B687" s="58">
        <f>'DATA HISTORICAL'!$B1332</f>
        <v>44907</v>
      </c>
      <c r="C687" s="60">
        <f>'DATA HISTORICAL'!$C1332</f>
        <v>7146.85</v>
      </c>
      <c r="D687" s="53">
        <f t="shared" si="20"/>
        <v>9.7650915693745597E-3</v>
      </c>
      <c r="E687" s="53">
        <v>2.0859815237359358E-2</v>
      </c>
      <c r="G687" s="90">
        <v>679</v>
      </c>
      <c r="H687" s="90">
        <f t="shared" ca="1" si="21"/>
        <v>2.2267487396535307E-2</v>
      </c>
    </row>
    <row r="688" spans="2:8" x14ac:dyDescent="0.3">
      <c r="B688" s="58">
        <f>'DATA HISTORICAL'!$B1333</f>
        <v>44904</v>
      </c>
      <c r="C688" s="60">
        <f>'DATA HISTORICAL'!$C1333</f>
        <v>7077.4</v>
      </c>
      <c r="D688" s="53">
        <f t="shared" si="20"/>
        <v>-1.4260453707255641E-2</v>
      </c>
      <c r="E688" s="53">
        <v>2.0845238582411763E-2</v>
      </c>
      <c r="G688" s="90">
        <v>680</v>
      </c>
      <c r="H688" s="90">
        <f t="shared" ca="1" si="21"/>
        <v>1.3056760762403224E-2</v>
      </c>
    </row>
    <row r="689" spans="2:8" x14ac:dyDescent="0.3">
      <c r="B689" s="58">
        <f>'DATA HISTORICAL'!$B1334</f>
        <v>44903</v>
      </c>
      <c r="C689" s="60">
        <f>'DATA HISTORICAL'!$C1334</f>
        <v>7179.05</v>
      </c>
      <c r="D689" s="53">
        <f t="shared" si="20"/>
        <v>2.3498659815043834E-3</v>
      </c>
      <c r="E689" s="53">
        <v>2.0795245763179548E-2</v>
      </c>
      <c r="G689" s="90">
        <v>681</v>
      </c>
      <c r="H689" s="90">
        <f t="shared" ca="1" si="21"/>
        <v>-5.7661958371089525E-3</v>
      </c>
    </row>
    <row r="690" spans="2:8" x14ac:dyDescent="0.3">
      <c r="B690" s="58">
        <f>'DATA HISTORICAL'!$B1335</f>
        <v>44902</v>
      </c>
      <c r="C690" s="60">
        <f>'DATA HISTORICAL'!$C1335</f>
        <v>7162.2</v>
      </c>
      <c r="D690" s="53">
        <f t="shared" si="20"/>
        <v>-1.108711914282404E-2</v>
      </c>
      <c r="E690" s="53">
        <v>2.0763450922128283E-2</v>
      </c>
      <c r="G690" s="90">
        <v>682</v>
      </c>
      <c r="H690" s="90">
        <f t="shared" ca="1" si="21"/>
        <v>1.3829769720249636E-2</v>
      </c>
    </row>
    <row r="691" spans="2:8" x14ac:dyDescent="0.3">
      <c r="B691" s="58">
        <f>'DATA HISTORICAL'!$B1336</f>
        <v>44901</v>
      </c>
      <c r="C691" s="60">
        <f>'DATA HISTORICAL'!$C1336</f>
        <v>7242.05</v>
      </c>
      <c r="D691" s="53">
        <f t="shared" si="20"/>
        <v>6.0177528189411886E-3</v>
      </c>
      <c r="E691" s="53">
        <v>2.0741651775897148E-2</v>
      </c>
      <c r="G691" s="90">
        <v>683</v>
      </c>
      <c r="H691" s="90">
        <f t="shared" ca="1" si="21"/>
        <v>-1.0414684288499121E-2</v>
      </c>
    </row>
    <row r="692" spans="2:8" x14ac:dyDescent="0.3">
      <c r="B692" s="58">
        <f>'DATA HISTORICAL'!$B1337</f>
        <v>44900</v>
      </c>
      <c r="C692" s="60">
        <f>'DATA HISTORICAL'!$C1337</f>
        <v>7198.6</v>
      </c>
      <c r="D692" s="53">
        <f t="shared" si="20"/>
        <v>-5.3271021294992804E-3</v>
      </c>
      <c r="E692" s="53">
        <v>2.072426291210331E-2</v>
      </c>
      <c r="G692" s="90">
        <v>684</v>
      </c>
      <c r="H692" s="90">
        <f t="shared" ca="1" si="21"/>
        <v>4.1782237447365603E-2</v>
      </c>
    </row>
    <row r="693" spans="2:8" x14ac:dyDescent="0.3">
      <c r="B693" s="58">
        <f>'DATA HISTORICAL'!$B1338</f>
        <v>44897</v>
      </c>
      <c r="C693" s="60">
        <f>'DATA HISTORICAL'!$C1338</f>
        <v>7237.05</v>
      </c>
      <c r="D693" s="53">
        <f t="shared" si="20"/>
        <v>-5.0926817645047164E-3</v>
      </c>
      <c r="E693" s="53">
        <v>2.0660665665018757E-2</v>
      </c>
      <c r="G693" s="90">
        <v>685</v>
      </c>
      <c r="H693" s="90">
        <f t="shared" ca="1" si="21"/>
        <v>-9.348738531817509E-3</v>
      </c>
    </row>
    <row r="694" spans="2:8" x14ac:dyDescent="0.3">
      <c r="B694" s="58">
        <f>'DATA HISTORICAL'!$B1339</f>
        <v>44896</v>
      </c>
      <c r="C694" s="60">
        <f>'DATA HISTORICAL'!$C1339</f>
        <v>7274</v>
      </c>
      <c r="D694" s="53">
        <f t="shared" si="20"/>
        <v>2.7456257471149732E-2</v>
      </c>
      <c r="E694" s="53">
        <v>2.0645342128458519E-2</v>
      </c>
      <c r="G694" s="90">
        <v>686</v>
      </c>
      <c r="H694" s="90">
        <f t="shared" ca="1" si="21"/>
        <v>1.1571077507014143E-2</v>
      </c>
    </row>
    <row r="695" spans="2:8" x14ac:dyDescent="0.3">
      <c r="B695" s="58">
        <f>'DATA HISTORICAL'!$B1340</f>
        <v>44895</v>
      </c>
      <c r="C695" s="60">
        <f>'DATA HISTORICAL'!$C1340</f>
        <v>7077</v>
      </c>
      <c r="D695" s="53">
        <f t="shared" si="20"/>
        <v>2.1149018649530841E-2</v>
      </c>
      <c r="E695" s="53">
        <v>2.0627665914597505E-2</v>
      </c>
      <c r="G695" s="90">
        <v>687</v>
      </c>
      <c r="H695" s="90">
        <f t="shared" ca="1" si="21"/>
        <v>-1.5593919863076799E-3</v>
      </c>
    </row>
    <row r="696" spans="2:8" x14ac:dyDescent="0.3">
      <c r="B696" s="58">
        <f>'DATA HISTORICAL'!$B1341</f>
        <v>44894</v>
      </c>
      <c r="C696" s="60">
        <f>'DATA HISTORICAL'!$C1341</f>
        <v>6928.9</v>
      </c>
      <c r="D696" s="53">
        <f t="shared" si="20"/>
        <v>5.2962239968200094E-3</v>
      </c>
      <c r="E696" s="53">
        <v>2.0624655403127044E-2</v>
      </c>
      <c r="G696" s="90">
        <v>688</v>
      </c>
      <c r="H696" s="90">
        <f t="shared" ca="1" si="21"/>
        <v>1.4417349476950891E-2</v>
      </c>
    </row>
    <row r="697" spans="2:8" x14ac:dyDescent="0.3">
      <c r="B697" s="58">
        <f>'DATA HISTORICAL'!$B1342</f>
        <v>44893</v>
      </c>
      <c r="C697" s="60">
        <f>'DATA HISTORICAL'!$C1342</f>
        <v>6892.3</v>
      </c>
      <c r="D697" s="53">
        <f t="shared" si="20"/>
        <v>2.6586680196545448E-3</v>
      </c>
      <c r="E697" s="53">
        <v>2.056689963953115E-2</v>
      </c>
      <c r="G697" s="90">
        <v>689</v>
      </c>
      <c r="H697" s="90">
        <f t="shared" ca="1" si="21"/>
        <v>1.6703655174494587E-2</v>
      </c>
    </row>
    <row r="698" spans="2:8" x14ac:dyDescent="0.3">
      <c r="B698" s="58">
        <f>'DATA HISTORICAL'!$B1343</f>
        <v>44890</v>
      </c>
      <c r="C698" s="60">
        <f>'DATA HISTORICAL'!$C1343</f>
        <v>6874</v>
      </c>
      <c r="D698" s="53">
        <f t="shared" si="20"/>
        <v>2.0095825958825805E-3</v>
      </c>
      <c r="E698" s="53">
        <v>2.0564767025713335E-2</v>
      </c>
      <c r="G698" s="90">
        <v>690</v>
      </c>
      <c r="H698" s="90">
        <f t="shared" ca="1" si="21"/>
        <v>7.976058444315615E-3</v>
      </c>
    </row>
    <row r="699" spans="2:8" x14ac:dyDescent="0.3">
      <c r="B699" s="58">
        <f>'DATA HISTORICAL'!$B1344</f>
        <v>44889</v>
      </c>
      <c r="C699" s="60">
        <f>'DATA HISTORICAL'!$C1344</f>
        <v>6860.2</v>
      </c>
      <c r="D699" s="53">
        <f t="shared" si="20"/>
        <v>5.2834585883334007E-3</v>
      </c>
      <c r="E699" s="53">
        <v>2.0563658305985447E-2</v>
      </c>
      <c r="G699" s="90">
        <v>691</v>
      </c>
      <c r="H699" s="90">
        <f t="shared" ca="1" si="21"/>
        <v>-2.8840810935567692E-3</v>
      </c>
    </row>
    <row r="700" spans="2:8" x14ac:dyDescent="0.3">
      <c r="B700" s="58">
        <f>'DATA HISTORICAL'!$B1345</f>
        <v>44888</v>
      </c>
      <c r="C700" s="60">
        <f>'DATA HISTORICAL'!$C1345</f>
        <v>6824.05</v>
      </c>
      <c r="D700" s="53">
        <f t="shared" si="20"/>
        <v>-2.7804014370518501E-3</v>
      </c>
      <c r="E700" s="53">
        <v>2.0552310209307666E-2</v>
      </c>
      <c r="G700" s="90">
        <v>692</v>
      </c>
      <c r="H700" s="90">
        <f t="shared" ca="1" si="21"/>
        <v>1.9079703549383202E-2</v>
      </c>
    </row>
    <row r="701" spans="2:8" x14ac:dyDescent="0.3">
      <c r="B701" s="58">
        <f>'DATA HISTORICAL'!$B1346</f>
        <v>44887</v>
      </c>
      <c r="C701" s="60">
        <f>'DATA HISTORICAL'!$C1346</f>
        <v>6843.05</v>
      </c>
      <c r="D701" s="53">
        <f t="shared" si="20"/>
        <v>1.2972773288368657E-2</v>
      </c>
      <c r="E701" s="53">
        <v>2.0510397632594501E-2</v>
      </c>
      <c r="G701" s="90">
        <v>693</v>
      </c>
      <c r="H701" s="90">
        <f t="shared" ca="1" si="21"/>
        <v>-5.4288526430156759E-3</v>
      </c>
    </row>
    <row r="702" spans="2:8" x14ac:dyDescent="0.3">
      <c r="B702" s="58">
        <f>'DATA HISTORICAL'!$B1347</f>
        <v>44886</v>
      </c>
      <c r="C702" s="60">
        <f>'DATA HISTORICAL'!$C1347</f>
        <v>6754.85</v>
      </c>
      <c r="D702" s="53">
        <f t="shared" si="20"/>
        <v>-8.7845921709303054E-3</v>
      </c>
      <c r="E702" s="53">
        <v>2.0478838252569243E-2</v>
      </c>
      <c r="G702" s="90">
        <v>694</v>
      </c>
      <c r="H702" s="90">
        <f t="shared" ca="1" si="21"/>
        <v>2.3716208489630949E-2</v>
      </c>
    </row>
    <row r="703" spans="2:8" x14ac:dyDescent="0.3">
      <c r="B703" s="58">
        <f>'DATA HISTORICAL'!$B1348</f>
        <v>44883</v>
      </c>
      <c r="C703" s="60">
        <f>'DATA HISTORICAL'!$C1348</f>
        <v>6814.45</v>
      </c>
      <c r="D703" s="53">
        <f t="shared" si="20"/>
        <v>-8.3879991740512388E-3</v>
      </c>
      <c r="E703" s="53">
        <v>2.0471217953821098E-2</v>
      </c>
      <c r="G703" s="90">
        <v>695</v>
      </c>
      <c r="H703" s="90">
        <f t="shared" ca="1" si="21"/>
        <v>1.4671892270869413E-2</v>
      </c>
    </row>
    <row r="704" spans="2:8" x14ac:dyDescent="0.3">
      <c r="B704" s="58">
        <f>'DATA HISTORICAL'!$B1349</f>
        <v>44882</v>
      </c>
      <c r="C704" s="60">
        <f>'DATA HISTORICAL'!$C1349</f>
        <v>6871.85</v>
      </c>
      <c r="D704" s="53">
        <f t="shared" si="20"/>
        <v>-5.8256747646636877E-3</v>
      </c>
      <c r="E704" s="53">
        <v>2.0468279469391424E-2</v>
      </c>
      <c r="G704" s="90">
        <v>696</v>
      </c>
      <c r="H704" s="90">
        <f t="shared" ca="1" si="21"/>
        <v>1.9977976749338291E-2</v>
      </c>
    </row>
    <row r="705" spans="2:8" x14ac:dyDescent="0.3">
      <c r="B705" s="58">
        <f>'DATA HISTORICAL'!$B1350</f>
        <v>44881</v>
      </c>
      <c r="C705" s="60">
        <f>'DATA HISTORICAL'!$C1350</f>
        <v>6912</v>
      </c>
      <c r="D705" s="53">
        <f t="shared" si="20"/>
        <v>-7.5739648847027233E-3</v>
      </c>
      <c r="E705" s="53">
        <v>2.0466615748639252E-2</v>
      </c>
      <c r="G705" s="90">
        <v>697</v>
      </c>
      <c r="H705" s="90">
        <f t="shared" ca="1" si="21"/>
        <v>7.7880475995324213E-3</v>
      </c>
    </row>
    <row r="706" spans="2:8" x14ac:dyDescent="0.3">
      <c r="B706" s="58">
        <f>'DATA HISTORICAL'!$B1351</f>
        <v>44880</v>
      </c>
      <c r="C706" s="60">
        <f>'DATA HISTORICAL'!$C1351</f>
        <v>6964.55</v>
      </c>
      <c r="D706" s="53">
        <f t="shared" si="20"/>
        <v>1.5942214555219408E-2</v>
      </c>
      <c r="E706" s="53">
        <v>2.0452280792248541E-2</v>
      </c>
      <c r="G706" s="90">
        <v>698</v>
      </c>
      <c r="H706" s="90">
        <f t="shared" ca="1" si="21"/>
        <v>-7.8209540184555754E-3</v>
      </c>
    </row>
    <row r="707" spans="2:8" x14ac:dyDescent="0.3">
      <c r="B707" s="58">
        <f>'DATA HISTORICAL'!$B1352</f>
        <v>44879</v>
      </c>
      <c r="C707" s="60">
        <f>'DATA HISTORICAL'!$C1352</f>
        <v>6854.4</v>
      </c>
      <c r="D707" s="53">
        <f t="shared" si="20"/>
        <v>6.0288748269527832E-3</v>
      </c>
      <c r="E707" s="53">
        <v>2.0435232411900168E-2</v>
      </c>
      <c r="G707" s="90">
        <v>699</v>
      </c>
      <c r="H707" s="90">
        <f t="shared" ca="1" si="21"/>
        <v>3.7693629468599207E-2</v>
      </c>
    </row>
    <row r="708" spans="2:8" x14ac:dyDescent="0.3">
      <c r="B708" s="58">
        <f>'DATA HISTORICAL'!$B1353</f>
        <v>44876</v>
      </c>
      <c r="C708" s="60">
        <f>'DATA HISTORICAL'!$C1353</f>
        <v>6813.2</v>
      </c>
      <c r="D708" s="53">
        <f t="shared" si="20"/>
        <v>1.7481366235284671E-3</v>
      </c>
      <c r="E708" s="53">
        <v>2.039913544702621E-2</v>
      </c>
      <c r="G708" s="90">
        <v>700</v>
      </c>
      <c r="H708" s="90">
        <f t="shared" ca="1" si="21"/>
        <v>-6.7008332165421616E-3</v>
      </c>
    </row>
    <row r="709" spans="2:8" x14ac:dyDescent="0.3">
      <c r="B709" s="58">
        <f>'DATA HISTORICAL'!$B1354</f>
        <v>44875</v>
      </c>
      <c r="C709" s="60">
        <f>'DATA HISTORICAL'!$C1354</f>
        <v>6801.3</v>
      </c>
      <c r="D709" s="53">
        <f t="shared" si="20"/>
        <v>-1.4914758993313397E-2</v>
      </c>
      <c r="E709" s="53">
        <v>2.0389451758295613E-2</v>
      </c>
      <c r="G709" s="90">
        <v>701</v>
      </c>
      <c r="H709" s="90">
        <f t="shared" ca="1" si="21"/>
        <v>5.59801969532891E-4</v>
      </c>
    </row>
    <row r="710" spans="2:8" x14ac:dyDescent="0.3">
      <c r="B710" s="58">
        <f>'DATA HISTORICAL'!$B1355</f>
        <v>44874</v>
      </c>
      <c r="C710" s="60">
        <f>'DATA HISTORICAL'!$C1355</f>
        <v>6903.5</v>
      </c>
      <c r="D710" s="53">
        <f t="shared" si="20"/>
        <v>-1.0088721442542118E-2</v>
      </c>
      <c r="E710" s="53">
        <v>2.0377379677398784E-2</v>
      </c>
      <c r="G710" s="90">
        <v>702</v>
      </c>
      <c r="H710" s="90">
        <f t="shared" ca="1" si="21"/>
        <v>-6.883935421020111E-3</v>
      </c>
    </row>
    <row r="711" spans="2:8" x14ac:dyDescent="0.3">
      <c r="B711" s="58">
        <f>'DATA HISTORICAL'!$B1356</f>
        <v>44872</v>
      </c>
      <c r="C711" s="60">
        <f>'DATA HISTORICAL'!$C1356</f>
        <v>6973.5</v>
      </c>
      <c r="D711" s="53">
        <f t="shared" si="20"/>
        <v>1.1603593203731709E-2</v>
      </c>
      <c r="E711" s="53">
        <v>2.0375619841921093E-2</v>
      </c>
      <c r="G711" s="90">
        <v>703</v>
      </c>
      <c r="H711" s="90">
        <f t="shared" ca="1" si="21"/>
        <v>2.6270429856464127E-2</v>
      </c>
    </row>
    <row r="712" spans="2:8" x14ac:dyDescent="0.3">
      <c r="B712" s="58">
        <f>'DATA HISTORICAL'!$B1357</f>
        <v>44869</v>
      </c>
      <c r="C712" s="60">
        <f>'DATA HISTORICAL'!$C1357</f>
        <v>6893.05</v>
      </c>
      <c r="D712" s="53">
        <f t="shared" si="20"/>
        <v>2.4198577487514878E-2</v>
      </c>
      <c r="E712" s="53">
        <v>2.0325543058263007E-2</v>
      </c>
      <c r="G712" s="90">
        <v>704</v>
      </c>
      <c r="H712" s="90">
        <f t="shared" ca="1" si="21"/>
        <v>1.6602736363052203E-2</v>
      </c>
    </row>
    <row r="713" spans="2:8" x14ac:dyDescent="0.3">
      <c r="B713" s="58">
        <f>'DATA HISTORICAL'!$B1358</f>
        <v>44868</v>
      </c>
      <c r="C713" s="60">
        <f>'DATA HISTORICAL'!$C1358</f>
        <v>6728.25</v>
      </c>
      <c r="D713" s="53">
        <f t="shared" ref="D713:D776" si="22">LN(C713/C714)</f>
        <v>-7.647272455630314E-3</v>
      </c>
      <c r="E713" s="53">
        <v>2.0298957131894304E-2</v>
      </c>
      <c r="G713" s="90">
        <v>705</v>
      </c>
      <c r="H713" s="90">
        <f t="shared" ref="H713:H776" ca="1" si="23">_xlfn.NORM.INV(RAND(),N$10,N$11)</f>
        <v>-9.5870227755188719E-3</v>
      </c>
    </row>
    <row r="714" spans="2:8" x14ac:dyDescent="0.3">
      <c r="B714" s="58">
        <f>'DATA HISTORICAL'!$B1359</f>
        <v>44867</v>
      </c>
      <c r="C714" s="60">
        <f>'DATA HISTORICAL'!$C1359</f>
        <v>6779.9</v>
      </c>
      <c r="D714" s="53">
        <f t="shared" si="22"/>
        <v>-6.0290753771695179E-3</v>
      </c>
      <c r="E714" s="53">
        <v>2.024517058679803E-2</v>
      </c>
      <c r="G714" s="90">
        <v>706</v>
      </c>
      <c r="H714" s="90">
        <f t="shared" ca="1" si="23"/>
        <v>-3.4308317627762874E-2</v>
      </c>
    </row>
    <row r="715" spans="2:8" x14ac:dyDescent="0.3">
      <c r="B715" s="58">
        <f>'DATA HISTORICAL'!$B1360</f>
        <v>44866</v>
      </c>
      <c r="C715" s="60">
        <f>'DATA HISTORICAL'!$C1360</f>
        <v>6820.9</v>
      </c>
      <c r="D715" s="53">
        <f t="shared" si="22"/>
        <v>1.5655044027067397E-2</v>
      </c>
      <c r="E715" s="53">
        <v>2.0243840843807089E-2</v>
      </c>
      <c r="G715" s="90">
        <v>707</v>
      </c>
      <c r="H715" s="90">
        <f t="shared" ca="1" si="23"/>
        <v>5.2905817974854335E-3</v>
      </c>
    </row>
    <row r="716" spans="2:8" x14ac:dyDescent="0.3">
      <c r="B716" s="58">
        <f>'DATA HISTORICAL'!$B1361</f>
        <v>44865</v>
      </c>
      <c r="C716" s="60">
        <f>'DATA HISTORICAL'!$C1361</f>
        <v>6714.95</v>
      </c>
      <c r="D716" s="53">
        <f t="shared" si="22"/>
        <v>4.0899871053721421E-2</v>
      </c>
      <c r="E716" s="53">
        <v>2.0221277247232858E-2</v>
      </c>
      <c r="G716" s="90">
        <v>708</v>
      </c>
      <c r="H716" s="90">
        <f t="shared" ca="1" si="23"/>
        <v>-2.0601136541327218E-2</v>
      </c>
    </row>
    <row r="717" spans="2:8" x14ac:dyDescent="0.3">
      <c r="B717" s="58">
        <f>'DATA HISTORICAL'!$B1362</f>
        <v>44862</v>
      </c>
      <c r="C717" s="60">
        <f>'DATA HISTORICAL'!$C1362</f>
        <v>6445.85</v>
      </c>
      <c r="D717" s="53">
        <f t="shared" si="22"/>
        <v>1.404990663989923E-3</v>
      </c>
      <c r="E717" s="53">
        <v>2.0131211152314112E-2</v>
      </c>
      <c r="G717" s="90">
        <v>709</v>
      </c>
      <c r="H717" s="90">
        <f t="shared" ca="1" si="23"/>
        <v>1.830912206018652E-2</v>
      </c>
    </row>
    <row r="718" spans="2:8" x14ac:dyDescent="0.3">
      <c r="B718" s="58">
        <f>'DATA HISTORICAL'!$B1363</f>
        <v>44861</v>
      </c>
      <c r="C718" s="60">
        <f>'DATA HISTORICAL'!$C1363</f>
        <v>6436.8</v>
      </c>
      <c r="D718" s="53">
        <f t="shared" si="22"/>
        <v>3.2834108471058612E-3</v>
      </c>
      <c r="E718" s="53">
        <v>2.0079160347542729E-2</v>
      </c>
      <c r="G718" s="90">
        <v>710</v>
      </c>
      <c r="H718" s="90">
        <f t="shared" ca="1" si="23"/>
        <v>-3.1940859621212092E-3</v>
      </c>
    </row>
    <row r="719" spans="2:8" x14ac:dyDescent="0.3">
      <c r="B719" s="58">
        <f>'DATA HISTORICAL'!$B1364</f>
        <v>44859</v>
      </c>
      <c r="C719" s="60">
        <f>'DATA HISTORICAL'!$C1364</f>
        <v>6415.7</v>
      </c>
      <c r="D719" s="53">
        <f t="shared" si="22"/>
        <v>3.2942271580385595E-3</v>
      </c>
      <c r="E719" s="53">
        <v>2.0078855082052479E-2</v>
      </c>
      <c r="G719" s="90">
        <v>711</v>
      </c>
      <c r="H719" s="90">
        <f t="shared" ca="1" si="23"/>
        <v>2.480954115366895E-2</v>
      </c>
    </row>
    <row r="720" spans="2:8" x14ac:dyDescent="0.3">
      <c r="B720" s="58">
        <f>'DATA HISTORICAL'!$B1365</f>
        <v>44858</v>
      </c>
      <c r="C720" s="60">
        <f>'DATA HISTORICAL'!$C1365</f>
        <v>6394.6</v>
      </c>
      <c r="D720" s="53">
        <f t="shared" si="22"/>
        <v>4.9696359383827968E-3</v>
      </c>
      <c r="E720" s="53">
        <v>2.0071512068984613E-2</v>
      </c>
      <c r="G720" s="90">
        <v>712</v>
      </c>
      <c r="H720" s="90">
        <f t="shared" ca="1" si="23"/>
        <v>-6.5397667297990699E-3</v>
      </c>
    </row>
    <row r="721" spans="2:8" x14ac:dyDescent="0.3">
      <c r="B721" s="58">
        <f>'DATA HISTORICAL'!$B1366</f>
        <v>44855</v>
      </c>
      <c r="C721" s="60">
        <f>'DATA HISTORICAL'!$C1366</f>
        <v>6362.9</v>
      </c>
      <c r="D721" s="53">
        <f t="shared" si="22"/>
        <v>9.5696021325494766E-3</v>
      </c>
      <c r="E721" s="53">
        <v>2.0065430599942011E-2</v>
      </c>
      <c r="G721" s="90">
        <v>713</v>
      </c>
      <c r="H721" s="90">
        <f t="shared" ca="1" si="23"/>
        <v>1.0722217123041833E-2</v>
      </c>
    </row>
    <row r="722" spans="2:8" x14ac:dyDescent="0.3">
      <c r="B722" s="58">
        <f>'DATA HISTORICAL'!$B1367</f>
        <v>44854</v>
      </c>
      <c r="C722" s="60">
        <f>'DATA HISTORICAL'!$C1367</f>
        <v>6302.3</v>
      </c>
      <c r="D722" s="53">
        <f t="shared" si="22"/>
        <v>-1.5133312973106633E-2</v>
      </c>
      <c r="E722" s="53">
        <v>2.0064818738054335E-2</v>
      </c>
      <c r="G722" s="90">
        <v>714</v>
      </c>
      <c r="H722" s="90">
        <f t="shared" ca="1" si="23"/>
        <v>1.3997808663953736E-2</v>
      </c>
    </row>
    <row r="723" spans="2:8" x14ac:dyDescent="0.3">
      <c r="B723" s="58">
        <f>'DATA HISTORICAL'!$B1368</f>
        <v>44853</v>
      </c>
      <c r="C723" s="60">
        <f>'DATA HISTORICAL'!$C1368</f>
        <v>6398.4</v>
      </c>
      <c r="D723" s="53">
        <f t="shared" si="22"/>
        <v>8.1050882494073367E-3</v>
      </c>
      <c r="E723" s="53">
        <v>2.0028173383335849E-2</v>
      </c>
      <c r="G723" s="90">
        <v>715</v>
      </c>
      <c r="H723" s="90">
        <f t="shared" ca="1" si="23"/>
        <v>4.67178656589003E-3</v>
      </c>
    </row>
    <row r="724" spans="2:8" x14ac:dyDescent="0.3">
      <c r="B724" s="58">
        <f>'DATA HISTORICAL'!$B1369</f>
        <v>44852</v>
      </c>
      <c r="C724" s="60">
        <f>'DATA HISTORICAL'!$C1369</f>
        <v>6346.75</v>
      </c>
      <c r="D724" s="53">
        <f t="shared" si="22"/>
        <v>1.1927310378417145E-2</v>
      </c>
      <c r="E724" s="53">
        <v>2.0011173643430535E-2</v>
      </c>
      <c r="G724" s="90">
        <v>716</v>
      </c>
      <c r="H724" s="90">
        <f t="shared" ca="1" si="23"/>
        <v>-1.3674641122051384E-2</v>
      </c>
    </row>
    <row r="725" spans="2:8" x14ac:dyDescent="0.3">
      <c r="B725" s="58">
        <f>'DATA HISTORICAL'!$B1370</f>
        <v>44851</v>
      </c>
      <c r="C725" s="60">
        <f>'DATA HISTORICAL'!$C1370</f>
        <v>6271.5</v>
      </c>
      <c r="D725" s="53">
        <f t="shared" si="22"/>
        <v>1.2757424195166319E-2</v>
      </c>
      <c r="E725" s="53">
        <v>1.9971869700750162E-2</v>
      </c>
      <c r="G725" s="90">
        <v>717</v>
      </c>
      <c r="H725" s="90">
        <f t="shared" ca="1" si="23"/>
        <v>-3.7451636236561052E-2</v>
      </c>
    </row>
    <row r="726" spans="2:8" x14ac:dyDescent="0.3">
      <c r="B726" s="58">
        <f>'DATA HISTORICAL'!$B1371</f>
        <v>44848</v>
      </c>
      <c r="C726" s="60">
        <f>'DATA HISTORICAL'!$C1371</f>
        <v>6192</v>
      </c>
      <c r="D726" s="53">
        <f t="shared" si="22"/>
        <v>1.6567333822789664E-3</v>
      </c>
      <c r="E726" s="53">
        <v>1.9945812071438945E-2</v>
      </c>
      <c r="G726" s="90">
        <v>718</v>
      </c>
      <c r="H726" s="90">
        <f t="shared" ca="1" si="23"/>
        <v>6.5884690820537297E-3</v>
      </c>
    </row>
    <row r="727" spans="2:8" x14ac:dyDescent="0.3">
      <c r="B727" s="58">
        <f>'DATA HISTORICAL'!$B1372</f>
        <v>44847</v>
      </c>
      <c r="C727" s="60">
        <f>'DATA HISTORICAL'!$C1372</f>
        <v>6181.75</v>
      </c>
      <c r="D727" s="53">
        <f t="shared" si="22"/>
        <v>6.5536899214104589E-4</v>
      </c>
      <c r="E727" s="53">
        <v>1.9917432703981604E-2</v>
      </c>
      <c r="G727" s="90">
        <v>719</v>
      </c>
      <c r="H727" s="90">
        <f t="shared" ca="1" si="23"/>
        <v>-3.7486729925274498E-3</v>
      </c>
    </row>
    <row r="728" spans="2:8" x14ac:dyDescent="0.3">
      <c r="B728" s="58">
        <f>'DATA HISTORICAL'!$B1373</f>
        <v>44846</v>
      </c>
      <c r="C728" s="60">
        <f>'DATA HISTORICAL'!$C1373</f>
        <v>6177.7</v>
      </c>
      <c r="D728" s="53">
        <f t="shared" si="22"/>
        <v>1.6476020325771067E-2</v>
      </c>
      <c r="E728" s="53">
        <v>1.9911967382341491E-2</v>
      </c>
      <c r="G728" s="90">
        <v>720</v>
      </c>
      <c r="H728" s="90">
        <f t="shared" ca="1" si="23"/>
        <v>1.4938803221969093E-2</v>
      </c>
    </row>
    <row r="729" spans="2:8" x14ac:dyDescent="0.3">
      <c r="B729" s="58">
        <f>'DATA HISTORICAL'!$B1374</f>
        <v>44845</v>
      </c>
      <c r="C729" s="60">
        <f>'DATA HISTORICAL'!$C1374</f>
        <v>6076.75</v>
      </c>
      <c r="D729" s="53">
        <f t="shared" si="22"/>
        <v>-1.1965807936392139E-2</v>
      </c>
      <c r="E729" s="53">
        <v>1.9895049926831627E-2</v>
      </c>
      <c r="G729" s="90">
        <v>721</v>
      </c>
      <c r="H729" s="90">
        <f t="shared" ca="1" si="23"/>
        <v>-2.8306056968291953E-2</v>
      </c>
    </row>
    <row r="730" spans="2:8" x14ac:dyDescent="0.3">
      <c r="B730" s="58">
        <f>'DATA HISTORICAL'!$B1375</f>
        <v>44844</v>
      </c>
      <c r="C730" s="60">
        <f>'DATA HISTORICAL'!$C1375</f>
        <v>6149.9</v>
      </c>
      <c r="D730" s="53">
        <f t="shared" si="22"/>
        <v>-8.6778273771622415E-3</v>
      </c>
      <c r="E730" s="53">
        <v>1.9890444978171249E-2</v>
      </c>
      <c r="G730" s="90">
        <v>722</v>
      </c>
      <c r="H730" s="90">
        <f t="shared" ca="1" si="23"/>
        <v>-1.4491810866209412E-3</v>
      </c>
    </row>
    <row r="731" spans="2:8" x14ac:dyDescent="0.3">
      <c r="B731" s="58">
        <f>'DATA HISTORICAL'!$B1376</f>
        <v>44841</v>
      </c>
      <c r="C731" s="60">
        <f>'DATA HISTORICAL'!$C1376</f>
        <v>6203.5</v>
      </c>
      <c r="D731" s="53">
        <f t="shared" si="22"/>
        <v>-1.3410124303150191E-2</v>
      </c>
      <c r="E731" s="53">
        <v>1.9881559234338098E-2</v>
      </c>
      <c r="G731" s="90">
        <v>723</v>
      </c>
      <c r="H731" s="90">
        <f t="shared" ca="1" si="23"/>
        <v>1.669474913153441E-2</v>
      </c>
    </row>
    <row r="732" spans="2:8" x14ac:dyDescent="0.3">
      <c r="B732" s="58">
        <f>'DATA HISTORICAL'!$B1377</f>
        <v>44840</v>
      </c>
      <c r="C732" s="60">
        <f>'DATA HISTORICAL'!$C1377</f>
        <v>6287.25</v>
      </c>
      <c r="D732" s="53">
        <f t="shared" si="22"/>
        <v>-3.22355536866462E-3</v>
      </c>
      <c r="E732" s="53">
        <v>1.9821836567409636E-2</v>
      </c>
      <c r="G732" s="90">
        <v>724</v>
      </c>
      <c r="H732" s="90">
        <f t="shared" ca="1" si="23"/>
        <v>1.1455347794255123E-2</v>
      </c>
    </row>
    <row r="733" spans="2:8" x14ac:dyDescent="0.3">
      <c r="B733" s="58">
        <f>'DATA HISTORICAL'!$B1378</f>
        <v>44838</v>
      </c>
      <c r="C733" s="60">
        <f>'DATA HISTORICAL'!$C1378</f>
        <v>6307.55</v>
      </c>
      <c r="D733" s="53">
        <f t="shared" si="22"/>
        <v>1.0358575821355586E-2</v>
      </c>
      <c r="E733" s="53">
        <v>1.9814109278079941E-2</v>
      </c>
      <c r="G733" s="90">
        <v>725</v>
      </c>
      <c r="H733" s="90">
        <f t="shared" ca="1" si="23"/>
        <v>3.6838755726154686E-3</v>
      </c>
    </row>
    <row r="734" spans="2:8" x14ac:dyDescent="0.3">
      <c r="B734" s="58">
        <f>'DATA HISTORICAL'!$B1379</f>
        <v>44837</v>
      </c>
      <c r="C734" s="60">
        <f>'DATA HISTORICAL'!$C1379</f>
        <v>6242.55</v>
      </c>
      <c r="D734" s="53">
        <f t="shared" si="22"/>
        <v>-2.0083782500639213E-3</v>
      </c>
      <c r="E734" s="53">
        <v>1.9780994531075971E-2</v>
      </c>
      <c r="G734" s="90">
        <v>726</v>
      </c>
      <c r="H734" s="90">
        <f t="shared" ca="1" si="23"/>
        <v>1.3240436495544954E-2</v>
      </c>
    </row>
    <row r="735" spans="2:8" x14ac:dyDescent="0.3">
      <c r="B735" s="58">
        <f>'DATA HISTORICAL'!$B1380</f>
        <v>44834</v>
      </c>
      <c r="C735" s="60">
        <f>'DATA HISTORICAL'!$C1380</f>
        <v>6255.1</v>
      </c>
      <c r="D735" s="53">
        <f t="shared" si="22"/>
        <v>1.2742510119768964E-2</v>
      </c>
      <c r="E735" s="53">
        <v>1.9765257462393788E-2</v>
      </c>
      <c r="G735" s="90">
        <v>727</v>
      </c>
      <c r="H735" s="90">
        <f t="shared" ca="1" si="23"/>
        <v>3.1951299642220668E-2</v>
      </c>
    </row>
    <row r="736" spans="2:8" x14ac:dyDescent="0.3">
      <c r="B736" s="58">
        <f>'DATA HISTORICAL'!$B1381</f>
        <v>44833</v>
      </c>
      <c r="C736" s="60">
        <f>'DATA HISTORICAL'!$C1381</f>
        <v>6175.9</v>
      </c>
      <c r="D736" s="53">
        <f t="shared" si="22"/>
        <v>4.7777729199339011E-4</v>
      </c>
      <c r="E736" s="53">
        <v>1.9755999332553804E-2</v>
      </c>
      <c r="G736" s="90">
        <v>728</v>
      </c>
      <c r="H736" s="90">
        <f t="shared" ca="1" si="23"/>
        <v>-3.0399319212802169E-2</v>
      </c>
    </row>
    <row r="737" spans="2:8" x14ac:dyDescent="0.3">
      <c r="B737" s="58">
        <f>'DATA HISTORICAL'!$B1382</f>
        <v>44832</v>
      </c>
      <c r="C737" s="60">
        <f>'DATA HISTORICAL'!$C1382</f>
        <v>6172.95</v>
      </c>
      <c r="D737" s="53">
        <f t="shared" si="22"/>
        <v>-3.2185571784851233E-3</v>
      </c>
      <c r="E737" s="53">
        <v>1.9746762934834499E-2</v>
      </c>
      <c r="G737" s="90">
        <v>729</v>
      </c>
      <c r="H737" s="90">
        <f t="shared" ca="1" si="23"/>
        <v>1.0976947238050176E-2</v>
      </c>
    </row>
    <row r="738" spans="2:8" x14ac:dyDescent="0.3">
      <c r="B738" s="58">
        <f>'DATA HISTORICAL'!$B1383</f>
        <v>44831</v>
      </c>
      <c r="C738" s="60">
        <f>'DATA HISTORICAL'!$C1383</f>
        <v>6192.85</v>
      </c>
      <c r="D738" s="53">
        <f t="shared" si="22"/>
        <v>2.54649509676032E-3</v>
      </c>
      <c r="E738" s="53">
        <v>1.9746416457958549E-2</v>
      </c>
      <c r="G738" s="90">
        <v>730</v>
      </c>
      <c r="H738" s="90">
        <f t="shared" ca="1" si="23"/>
        <v>-1.6321205989141135E-2</v>
      </c>
    </row>
    <row r="739" spans="2:8" x14ac:dyDescent="0.3">
      <c r="B739" s="58">
        <f>'DATA HISTORICAL'!$B1384</f>
        <v>44830</v>
      </c>
      <c r="C739" s="60">
        <f>'DATA HISTORICAL'!$C1384</f>
        <v>6177.1</v>
      </c>
      <c r="D739" s="53">
        <f t="shared" si="22"/>
        <v>6.0323068678562238E-3</v>
      </c>
      <c r="E739" s="53">
        <v>1.9740729879725534E-2</v>
      </c>
      <c r="G739" s="90">
        <v>731</v>
      </c>
      <c r="H739" s="90">
        <f t="shared" ca="1" si="23"/>
        <v>3.8648909433302036E-3</v>
      </c>
    </row>
    <row r="740" spans="2:8" x14ac:dyDescent="0.3">
      <c r="B740" s="58">
        <f>'DATA HISTORICAL'!$B1385</f>
        <v>44827</v>
      </c>
      <c r="C740" s="60">
        <f>'DATA HISTORICAL'!$C1385</f>
        <v>6139.95</v>
      </c>
      <c r="D740" s="53">
        <f t="shared" si="22"/>
        <v>-1.6067425108686563E-2</v>
      </c>
      <c r="E740" s="53">
        <v>1.9715713401395527E-2</v>
      </c>
      <c r="G740" s="90">
        <v>732</v>
      </c>
      <c r="H740" s="90">
        <f t="shared" ca="1" si="23"/>
        <v>2.6040834664567983E-2</v>
      </c>
    </row>
    <row r="741" spans="2:8" x14ac:dyDescent="0.3">
      <c r="B741" s="58">
        <f>'DATA HISTORICAL'!$B1386</f>
        <v>44826</v>
      </c>
      <c r="C741" s="60">
        <f>'DATA HISTORICAL'!$C1386</f>
        <v>6239.4</v>
      </c>
      <c r="D741" s="53">
        <f t="shared" si="22"/>
        <v>-1.1845770888020331E-2</v>
      </c>
      <c r="E741" s="53">
        <v>1.9650025434141006E-2</v>
      </c>
      <c r="G741" s="90">
        <v>733</v>
      </c>
      <c r="H741" s="90">
        <f t="shared" ca="1" si="23"/>
        <v>3.1183325334222727E-2</v>
      </c>
    </row>
    <row r="742" spans="2:8" x14ac:dyDescent="0.3">
      <c r="B742" s="58">
        <f>'DATA HISTORICAL'!$B1387</f>
        <v>44825</v>
      </c>
      <c r="C742" s="60">
        <f>'DATA HISTORICAL'!$C1387</f>
        <v>6313.75</v>
      </c>
      <c r="D742" s="53">
        <f t="shared" si="22"/>
        <v>-2.6708050810191973E-2</v>
      </c>
      <c r="E742" s="53">
        <v>1.9648717118154496E-2</v>
      </c>
      <c r="G742" s="90">
        <v>734</v>
      </c>
      <c r="H742" s="90">
        <f t="shared" ca="1" si="23"/>
        <v>1.3995483589715916E-3</v>
      </c>
    </row>
    <row r="743" spans="2:8" x14ac:dyDescent="0.3">
      <c r="B743" s="58">
        <f>'DATA HISTORICAL'!$B1388</f>
        <v>44824</v>
      </c>
      <c r="C743" s="60">
        <f>'DATA HISTORICAL'!$C1388</f>
        <v>6484.65</v>
      </c>
      <c r="D743" s="53">
        <f t="shared" si="22"/>
        <v>3.8317478996324084E-3</v>
      </c>
      <c r="E743" s="53">
        <v>1.9648663785227598E-2</v>
      </c>
      <c r="G743" s="90">
        <v>735</v>
      </c>
      <c r="H743" s="90">
        <f t="shared" ca="1" si="23"/>
        <v>9.0054819504505577E-3</v>
      </c>
    </row>
    <row r="744" spans="2:8" x14ac:dyDescent="0.3">
      <c r="B744" s="58">
        <f>'DATA HISTORICAL'!$B1389</f>
        <v>44823</v>
      </c>
      <c r="C744" s="60">
        <f>'DATA HISTORICAL'!$C1389</f>
        <v>6459.85</v>
      </c>
      <c r="D744" s="53">
        <f t="shared" si="22"/>
        <v>-3.3304387009074577E-3</v>
      </c>
      <c r="E744" s="53">
        <v>1.9588918428948627E-2</v>
      </c>
      <c r="G744" s="90">
        <v>736</v>
      </c>
      <c r="H744" s="90">
        <f t="shared" ca="1" si="23"/>
        <v>-1.1520272749649712E-2</v>
      </c>
    </row>
    <row r="745" spans="2:8" x14ac:dyDescent="0.3">
      <c r="B745" s="58">
        <f>'DATA HISTORICAL'!$B1390</f>
        <v>44820</v>
      </c>
      <c r="C745" s="60">
        <f>'DATA HISTORICAL'!$C1390</f>
        <v>6481.4</v>
      </c>
      <c r="D745" s="53">
        <f t="shared" si="22"/>
        <v>-4.6521768902150297E-2</v>
      </c>
      <c r="E745" s="53">
        <v>1.9557454794778488E-2</v>
      </c>
      <c r="G745" s="90">
        <v>737</v>
      </c>
      <c r="H745" s="90">
        <f t="shared" ca="1" si="23"/>
        <v>1.6127713998217504E-2</v>
      </c>
    </row>
    <row r="746" spans="2:8" x14ac:dyDescent="0.3">
      <c r="B746" s="58">
        <f>'DATA HISTORICAL'!$B1391</f>
        <v>44819</v>
      </c>
      <c r="C746" s="60">
        <f>'DATA HISTORICAL'!$C1391</f>
        <v>6790.05</v>
      </c>
      <c r="D746" s="53">
        <f t="shared" si="22"/>
        <v>-1.254242319800267E-2</v>
      </c>
      <c r="E746" s="53">
        <v>1.9526993336330813E-2</v>
      </c>
      <c r="G746" s="90">
        <v>738</v>
      </c>
      <c r="H746" s="90">
        <f t="shared" ca="1" si="23"/>
        <v>4.794572463931614E-3</v>
      </c>
    </row>
    <row r="747" spans="2:8" x14ac:dyDescent="0.3">
      <c r="B747" s="58">
        <f>'DATA HISTORICAL'!$B1392</f>
        <v>44818</v>
      </c>
      <c r="C747" s="60">
        <f>'DATA HISTORICAL'!$C1392</f>
        <v>6875.75</v>
      </c>
      <c r="D747" s="53">
        <f t="shared" si="22"/>
        <v>-2.9843073836760929E-3</v>
      </c>
      <c r="E747" s="53">
        <v>1.9515822414438257E-2</v>
      </c>
      <c r="G747" s="90">
        <v>739</v>
      </c>
      <c r="H747" s="90">
        <f t="shared" ca="1" si="23"/>
        <v>-2.4486111446624433E-2</v>
      </c>
    </row>
    <row r="748" spans="2:8" x14ac:dyDescent="0.3">
      <c r="B748" s="58">
        <f>'DATA HISTORICAL'!$B1393</f>
        <v>44817</v>
      </c>
      <c r="C748" s="60">
        <f>'DATA HISTORICAL'!$C1393</f>
        <v>6896.3</v>
      </c>
      <c r="D748" s="53">
        <f t="shared" si="22"/>
        <v>3.8791555192834153E-3</v>
      </c>
      <c r="E748" s="53">
        <v>1.950651444810254E-2</v>
      </c>
      <c r="G748" s="90">
        <v>740</v>
      </c>
      <c r="H748" s="90">
        <f t="shared" ca="1" si="23"/>
        <v>-1.7513862082909781E-2</v>
      </c>
    </row>
    <row r="749" spans="2:8" x14ac:dyDescent="0.3">
      <c r="B749" s="58">
        <f>'DATA HISTORICAL'!$B1394</f>
        <v>44816</v>
      </c>
      <c r="C749" s="60">
        <f>'DATA HISTORICAL'!$C1394</f>
        <v>6869.6</v>
      </c>
      <c r="D749" s="53">
        <f t="shared" si="22"/>
        <v>1.2590575198580208E-2</v>
      </c>
      <c r="E749" s="53">
        <v>1.9505071235051394E-2</v>
      </c>
      <c r="G749" s="90">
        <v>741</v>
      </c>
      <c r="H749" s="90">
        <f t="shared" ca="1" si="23"/>
        <v>9.8296200499199873E-3</v>
      </c>
    </row>
    <row r="750" spans="2:8" x14ac:dyDescent="0.3">
      <c r="B750" s="58">
        <f>'DATA HISTORICAL'!$B1395</f>
        <v>44813</v>
      </c>
      <c r="C750" s="60">
        <f>'DATA HISTORICAL'!$C1395</f>
        <v>6783.65</v>
      </c>
      <c r="D750" s="53">
        <f t="shared" si="22"/>
        <v>-1.9849885138226345E-2</v>
      </c>
      <c r="E750" s="53">
        <v>1.9493419668414794E-2</v>
      </c>
      <c r="G750" s="90">
        <v>742</v>
      </c>
      <c r="H750" s="90">
        <f t="shared" ca="1" si="23"/>
        <v>1.8598572974237861E-2</v>
      </c>
    </row>
    <row r="751" spans="2:8" x14ac:dyDescent="0.3">
      <c r="B751" s="58">
        <f>'DATA HISTORICAL'!$B1396</f>
        <v>44812</v>
      </c>
      <c r="C751" s="60">
        <f>'DATA HISTORICAL'!$C1396</f>
        <v>6919.65</v>
      </c>
      <c r="D751" s="53">
        <f t="shared" si="22"/>
        <v>2.1745941982979043E-2</v>
      </c>
      <c r="E751" s="53">
        <v>1.9492260916463125E-2</v>
      </c>
      <c r="G751" s="90">
        <v>743</v>
      </c>
      <c r="H751" s="90">
        <f t="shared" ca="1" si="23"/>
        <v>2.3202314955961052E-2</v>
      </c>
    </row>
    <row r="752" spans="2:8" x14ac:dyDescent="0.3">
      <c r="B752" s="58">
        <f>'DATA HISTORICAL'!$B1397</f>
        <v>44811</v>
      </c>
      <c r="C752" s="60">
        <f>'DATA HISTORICAL'!$C1397</f>
        <v>6770.8</v>
      </c>
      <c r="D752" s="53">
        <f t="shared" si="22"/>
        <v>4.150961887915465E-2</v>
      </c>
      <c r="E752" s="53">
        <v>1.9484776795665192E-2</v>
      </c>
      <c r="G752" s="90">
        <v>744</v>
      </c>
      <c r="H752" s="90">
        <f t="shared" ca="1" si="23"/>
        <v>3.2197258692703351E-3</v>
      </c>
    </row>
    <row r="753" spans="2:8" x14ac:dyDescent="0.3">
      <c r="B753" s="58">
        <f>'DATA HISTORICAL'!$B1398</f>
        <v>44810</v>
      </c>
      <c r="C753" s="60">
        <f>'DATA HISTORICAL'!$C1398</f>
        <v>6495.5</v>
      </c>
      <c r="D753" s="53">
        <f t="shared" si="22"/>
        <v>-4.0637815240778981E-3</v>
      </c>
      <c r="E753" s="53">
        <v>1.9309130768629407E-2</v>
      </c>
      <c r="G753" s="90">
        <v>745</v>
      </c>
      <c r="H753" s="90">
        <f t="shared" ca="1" si="23"/>
        <v>3.2942813716013174E-2</v>
      </c>
    </row>
    <row r="754" spans="2:8" x14ac:dyDescent="0.3">
      <c r="B754" s="58">
        <f>'DATA HISTORICAL'!$B1399</f>
        <v>44809</v>
      </c>
      <c r="C754" s="60">
        <f>'DATA HISTORICAL'!$C1399</f>
        <v>6521.95</v>
      </c>
      <c r="D754" s="53">
        <f t="shared" si="22"/>
        <v>-8.4813229545823831E-3</v>
      </c>
      <c r="E754" s="53">
        <v>1.929844716580632E-2</v>
      </c>
      <c r="G754" s="90">
        <v>746</v>
      </c>
      <c r="H754" s="90">
        <f t="shared" ca="1" si="23"/>
        <v>-4.6201007500482226E-3</v>
      </c>
    </row>
    <row r="755" spans="2:8" x14ac:dyDescent="0.3">
      <c r="B755" s="58">
        <f>'DATA HISTORICAL'!$B1400</f>
        <v>44806</v>
      </c>
      <c r="C755" s="60">
        <f>'DATA HISTORICAL'!$C1400</f>
        <v>6577.5</v>
      </c>
      <c r="D755" s="53">
        <f t="shared" si="22"/>
        <v>-8.3270730974469593E-3</v>
      </c>
      <c r="E755" s="53">
        <v>1.9261315318764842E-2</v>
      </c>
      <c r="G755" s="90">
        <v>747</v>
      </c>
      <c r="H755" s="90">
        <f t="shared" ca="1" si="23"/>
        <v>1.029909400477374E-2</v>
      </c>
    </row>
    <row r="756" spans="2:8" x14ac:dyDescent="0.3">
      <c r="B756" s="58">
        <f>'DATA HISTORICAL'!$B1401</f>
        <v>44805</v>
      </c>
      <c r="C756" s="60">
        <f>'DATA HISTORICAL'!$C1401</f>
        <v>6632.5</v>
      </c>
      <c r="D756" s="53">
        <f t="shared" si="22"/>
        <v>-6.8142724245202008E-3</v>
      </c>
      <c r="E756" s="53">
        <v>1.9248026567023568E-2</v>
      </c>
      <c r="G756" s="90">
        <v>748</v>
      </c>
      <c r="H756" s="90">
        <f t="shared" ca="1" si="23"/>
        <v>-3.3240801824066586E-2</v>
      </c>
    </row>
    <row r="757" spans="2:8" x14ac:dyDescent="0.3">
      <c r="B757" s="58">
        <f>'DATA HISTORICAL'!$B1402</f>
        <v>44803</v>
      </c>
      <c r="C757" s="60">
        <f>'DATA HISTORICAL'!$C1402</f>
        <v>6677.85</v>
      </c>
      <c r="D757" s="53">
        <f t="shared" si="22"/>
        <v>2.6025141184316966E-2</v>
      </c>
      <c r="E757" s="53">
        <v>1.9239464391644069E-2</v>
      </c>
      <c r="G757" s="90">
        <v>749</v>
      </c>
      <c r="H757" s="90">
        <f t="shared" ca="1" si="23"/>
        <v>-1.9953584324938428E-3</v>
      </c>
    </row>
    <row r="758" spans="2:8" x14ac:dyDescent="0.3">
      <c r="B758" s="58">
        <f>'DATA HISTORICAL'!$B1403</f>
        <v>44802</v>
      </c>
      <c r="C758" s="60">
        <f>'DATA HISTORICAL'!$C1403</f>
        <v>6506.3</v>
      </c>
      <c r="D758" s="53">
        <f t="shared" si="22"/>
        <v>-1.6662255408888054E-3</v>
      </c>
      <c r="E758" s="53">
        <v>1.9210317197312241E-2</v>
      </c>
      <c r="G758" s="90">
        <v>750</v>
      </c>
      <c r="H758" s="90">
        <f t="shared" ca="1" si="23"/>
        <v>-6.1497833719137166E-3</v>
      </c>
    </row>
    <row r="759" spans="2:8" x14ac:dyDescent="0.3">
      <c r="B759" s="58">
        <f>'DATA HISTORICAL'!$B1404</f>
        <v>44799</v>
      </c>
      <c r="C759" s="60">
        <f>'DATA HISTORICAL'!$C1404</f>
        <v>6517.15</v>
      </c>
      <c r="D759" s="53">
        <f t="shared" si="22"/>
        <v>6.4808342473407889E-3</v>
      </c>
      <c r="E759" s="53">
        <v>1.9208441965070946E-2</v>
      </c>
      <c r="G759" s="90">
        <v>751</v>
      </c>
      <c r="H759" s="90">
        <f t="shared" ca="1" si="23"/>
        <v>4.11788617551022E-2</v>
      </c>
    </row>
    <row r="760" spans="2:8" x14ac:dyDescent="0.3">
      <c r="B760" s="58">
        <f>'DATA HISTORICAL'!$B1405</f>
        <v>44798</v>
      </c>
      <c r="C760" s="60">
        <f>'DATA HISTORICAL'!$C1405</f>
        <v>6475.05</v>
      </c>
      <c r="D760" s="53">
        <f t="shared" si="22"/>
        <v>-5.129638310314477E-3</v>
      </c>
      <c r="E760" s="53">
        <v>1.9184115689148351E-2</v>
      </c>
      <c r="G760" s="90">
        <v>752</v>
      </c>
      <c r="H760" s="90">
        <f t="shared" ca="1" si="23"/>
        <v>3.4640304401447365E-2</v>
      </c>
    </row>
    <row r="761" spans="2:8" x14ac:dyDescent="0.3">
      <c r="B761" s="58">
        <f>'DATA HISTORICAL'!$B1406</f>
        <v>44797</v>
      </c>
      <c r="C761" s="60">
        <f>'DATA HISTORICAL'!$C1406</f>
        <v>6508.35</v>
      </c>
      <c r="D761" s="53">
        <f t="shared" si="22"/>
        <v>1.9917338123324499E-3</v>
      </c>
      <c r="E761" s="53">
        <v>1.9176043014336959E-2</v>
      </c>
      <c r="G761" s="90">
        <v>753</v>
      </c>
      <c r="H761" s="90">
        <f t="shared" ca="1" si="23"/>
        <v>3.3998201675197265E-2</v>
      </c>
    </row>
    <row r="762" spans="2:8" x14ac:dyDescent="0.3">
      <c r="B762" s="58">
        <f>'DATA HISTORICAL'!$B1407</f>
        <v>44796</v>
      </c>
      <c r="C762" s="60">
        <f>'DATA HISTORICAL'!$C1407</f>
        <v>6495.4</v>
      </c>
      <c r="D762" s="53">
        <f t="shared" si="22"/>
        <v>4.3045989834437776E-3</v>
      </c>
      <c r="E762" s="53">
        <v>1.914229490489406E-2</v>
      </c>
      <c r="G762" s="90">
        <v>754</v>
      </c>
      <c r="H762" s="90">
        <f t="shared" ca="1" si="23"/>
        <v>4.449098695583753E-2</v>
      </c>
    </row>
    <row r="763" spans="2:8" x14ac:dyDescent="0.3">
      <c r="B763" s="58">
        <f>'DATA HISTORICAL'!$B1408</f>
        <v>44795</v>
      </c>
      <c r="C763" s="60">
        <f>'DATA HISTORICAL'!$C1408</f>
        <v>6467.5</v>
      </c>
      <c r="D763" s="53">
        <f t="shared" si="22"/>
        <v>-2.7458730653374418E-2</v>
      </c>
      <c r="E763" s="53">
        <v>1.9135525080463178E-2</v>
      </c>
      <c r="G763" s="90">
        <v>755</v>
      </c>
      <c r="H763" s="90">
        <f t="shared" ca="1" si="23"/>
        <v>3.3907520591413545E-3</v>
      </c>
    </row>
    <row r="764" spans="2:8" x14ac:dyDescent="0.3">
      <c r="B764" s="58">
        <f>'DATA HISTORICAL'!$B1409</f>
        <v>44792</v>
      </c>
      <c r="C764" s="60">
        <f>'DATA HISTORICAL'!$C1409</f>
        <v>6647.55</v>
      </c>
      <c r="D764" s="53">
        <f t="shared" si="22"/>
        <v>-8.4485391866574149E-3</v>
      </c>
      <c r="E764" s="53">
        <v>1.9111799645634687E-2</v>
      </c>
      <c r="G764" s="90">
        <v>756</v>
      </c>
      <c r="H764" s="90">
        <f t="shared" ca="1" si="23"/>
        <v>4.8566997535602775E-3</v>
      </c>
    </row>
    <row r="765" spans="2:8" x14ac:dyDescent="0.3">
      <c r="B765" s="58">
        <f>'DATA HISTORICAL'!$B1410</f>
        <v>44791</v>
      </c>
      <c r="C765" s="60">
        <f>'DATA HISTORICAL'!$C1410</f>
        <v>6703.95</v>
      </c>
      <c r="D765" s="53">
        <f t="shared" si="22"/>
        <v>1.4135944201532712E-2</v>
      </c>
      <c r="E765" s="53">
        <v>1.9108265500097147E-2</v>
      </c>
      <c r="G765" s="90">
        <v>757</v>
      </c>
      <c r="H765" s="90">
        <f t="shared" ca="1" si="23"/>
        <v>1.1839756411247812E-2</v>
      </c>
    </row>
    <row r="766" spans="2:8" x14ac:dyDescent="0.3">
      <c r="B766" s="58">
        <f>'DATA HISTORICAL'!$B1411</f>
        <v>44790</v>
      </c>
      <c r="C766" s="60">
        <f>'DATA HISTORICAL'!$C1411</f>
        <v>6609.85</v>
      </c>
      <c r="D766" s="53">
        <f t="shared" si="22"/>
        <v>-6.9577428023612463E-3</v>
      </c>
      <c r="E766" s="53">
        <v>1.9096233479260746E-2</v>
      </c>
      <c r="G766" s="90">
        <v>758</v>
      </c>
      <c r="H766" s="90">
        <f t="shared" ca="1" si="23"/>
        <v>-4.8540957553335285E-3</v>
      </c>
    </row>
    <row r="767" spans="2:8" x14ac:dyDescent="0.3">
      <c r="B767" s="58">
        <f>'DATA HISTORICAL'!$B1412</f>
        <v>44789</v>
      </c>
      <c r="C767" s="60">
        <f>'DATA HISTORICAL'!$C1412</f>
        <v>6656</v>
      </c>
      <c r="D767" s="53">
        <f t="shared" si="22"/>
        <v>1.4634813573613787E-2</v>
      </c>
      <c r="E767" s="53">
        <v>1.9054603694015626E-2</v>
      </c>
      <c r="G767" s="90">
        <v>759</v>
      </c>
      <c r="H767" s="90">
        <f t="shared" ca="1" si="23"/>
        <v>5.9572991456653152E-2</v>
      </c>
    </row>
    <row r="768" spans="2:8" x14ac:dyDescent="0.3">
      <c r="B768" s="58">
        <f>'DATA HISTORICAL'!$B1413</f>
        <v>44785</v>
      </c>
      <c r="C768" s="60">
        <f>'DATA HISTORICAL'!$C1413</f>
        <v>6559.3</v>
      </c>
      <c r="D768" s="53">
        <f t="shared" si="22"/>
        <v>-5.7462685858884746E-3</v>
      </c>
      <c r="E768" s="53">
        <v>1.902982195122456E-2</v>
      </c>
      <c r="G768" s="90">
        <v>760</v>
      </c>
      <c r="H768" s="90">
        <f t="shared" ca="1" si="23"/>
        <v>-1.1020739067471003E-2</v>
      </c>
    </row>
    <row r="769" spans="2:8" x14ac:dyDescent="0.3">
      <c r="B769" s="58">
        <f>'DATA HISTORICAL'!$B1414</f>
        <v>44784</v>
      </c>
      <c r="C769" s="60">
        <f>'DATA HISTORICAL'!$C1414</f>
        <v>6597.1</v>
      </c>
      <c r="D769" s="53">
        <f t="shared" si="22"/>
        <v>2.1981770379016444E-4</v>
      </c>
      <c r="E769" s="53">
        <v>1.9010485028907322E-2</v>
      </c>
      <c r="G769" s="90">
        <v>761</v>
      </c>
      <c r="H769" s="90">
        <f t="shared" ca="1" si="23"/>
        <v>1.5823940436597982E-2</v>
      </c>
    </row>
    <row r="770" spans="2:8" x14ac:dyDescent="0.3">
      <c r="B770" s="58">
        <f>'DATA HISTORICAL'!$B1415</f>
        <v>44783</v>
      </c>
      <c r="C770" s="60">
        <f>'DATA HISTORICAL'!$C1415</f>
        <v>6595.65</v>
      </c>
      <c r="D770" s="53">
        <f t="shared" si="22"/>
        <v>-1.2385738626885976E-2</v>
      </c>
      <c r="E770" s="53">
        <v>1.8988970260344986E-2</v>
      </c>
      <c r="G770" s="90">
        <v>762</v>
      </c>
      <c r="H770" s="90">
        <f t="shared" ca="1" si="23"/>
        <v>2.4855327516450566E-2</v>
      </c>
    </row>
    <row r="771" spans="2:8" x14ac:dyDescent="0.3">
      <c r="B771" s="58">
        <f>'DATA HISTORICAL'!$B1416</f>
        <v>44781</v>
      </c>
      <c r="C771" s="60">
        <f>'DATA HISTORICAL'!$C1416</f>
        <v>6677.85</v>
      </c>
      <c r="D771" s="53">
        <f t="shared" si="22"/>
        <v>-1.4472807170974301E-2</v>
      </c>
      <c r="E771" s="53">
        <v>1.8957802402870871E-2</v>
      </c>
      <c r="G771" s="90">
        <v>763</v>
      </c>
      <c r="H771" s="90">
        <f t="shared" ca="1" si="23"/>
        <v>-1.6448932711224325E-2</v>
      </c>
    </row>
    <row r="772" spans="2:8" x14ac:dyDescent="0.3">
      <c r="B772" s="58">
        <f>'DATA HISTORICAL'!$B1417</f>
        <v>44778</v>
      </c>
      <c r="C772" s="60">
        <f>'DATA HISTORICAL'!$C1417</f>
        <v>6775.2</v>
      </c>
      <c r="D772" s="53">
        <f t="shared" si="22"/>
        <v>2.8011484781888869E-2</v>
      </c>
      <c r="E772" s="53">
        <v>1.8954560284933492E-2</v>
      </c>
      <c r="G772" s="90">
        <v>764</v>
      </c>
      <c r="H772" s="90">
        <f t="shared" ca="1" si="23"/>
        <v>-5.7878295931755941E-3</v>
      </c>
    </row>
    <row r="773" spans="2:8" x14ac:dyDescent="0.3">
      <c r="B773" s="58">
        <f>'DATA HISTORICAL'!$B1418</f>
        <v>44777</v>
      </c>
      <c r="C773" s="60">
        <f>'DATA HISTORICAL'!$C1418</f>
        <v>6588.05</v>
      </c>
      <c r="D773" s="53">
        <f t="shared" si="22"/>
        <v>-2.2212544432357218E-3</v>
      </c>
      <c r="E773" s="53">
        <v>1.8952936372105017E-2</v>
      </c>
      <c r="G773" s="90">
        <v>765</v>
      </c>
      <c r="H773" s="90">
        <f t="shared" ca="1" si="23"/>
        <v>1.2043953685434363E-2</v>
      </c>
    </row>
    <row r="774" spans="2:8" x14ac:dyDescent="0.3">
      <c r="B774" s="58">
        <f>'DATA HISTORICAL'!$B1419</f>
        <v>44776</v>
      </c>
      <c r="C774" s="60">
        <f>'DATA HISTORICAL'!$C1419</f>
        <v>6602.7</v>
      </c>
      <c r="D774" s="53">
        <f t="shared" si="22"/>
        <v>-7.3336679975380742E-3</v>
      </c>
      <c r="E774" s="53">
        <v>1.8925375838500298E-2</v>
      </c>
      <c r="G774" s="90">
        <v>766</v>
      </c>
      <c r="H774" s="90">
        <f t="shared" ca="1" si="23"/>
        <v>1.3686603357983051E-2</v>
      </c>
    </row>
    <row r="775" spans="2:8" x14ac:dyDescent="0.3">
      <c r="B775" s="58">
        <f>'DATA HISTORICAL'!$B1420</f>
        <v>44775</v>
      </c>
      <c r="C775" s="60">
        <f>'DATA HISTORICAL'!$C1420</f>
        <v>6651.3</v>
      </c>
      <c r="D775" s="53">
        <f t="shared" si="22"/>
        <v>-9.5424514809212574E-4</v>
      </c>
      <c r="E775" s="53">
        <v>1.8910088081123412E-2</v>
      </c>
      <c r="G775" s="90">
        <v>767</v>
      </c>
      <c r="H775" s="90">
        <f t="shared" ca="1" si="23"/>
        <v>-1.1394072204471261E-2</v>
      </c>
    </row>
    <row r="776" spans="2:8" x14ac:dyDescent="0.3">
      <c r="B776" s="58">
        <f>'DATA HISTORICAL'!$B1421</f>
        <v>44774</v>
      </c>
      <c r="C776" s="60">
        <f>'DATA HISTORICAL'!$C1421</f>
        <v>6657.65</v>
      </c>
      <c r="D776" s="53">
        <f t="shared" si="22"/>
        <v>1.709572821487761E-2</v>
      </c>
      <c r="E776" s="53">
        <v>1.8884192111991414E-2</v>
      </c>
      <c r="G776" s="90">
        <v>768</v>
      </c>
      <c r="H776" s="90">
        <f t="shared" ca="1" si="23"/>
        <v>3.1809784514035079E-2</v>
      </c>
    </row>
    <row r="777" spans="2:8" x14ac:dyDescent="0.3">
      <c r="B777" s="58">
        <f>'DATA HISTORICAL'!$B1422</f>
        <v>44771</v>
      </c>
      <c r="C777" s="60">
        <f>'DATA HISTORICAL'!$C1422</f>
        <v>6544.8</v>
      </c>
      <c r="D777" s="53">
        <f t="shared" ref="D777:D840" si="24">LN(C777/C778)</f>
        <v>1.1301551983377331E-2</v>
      </c>
      <c r="E777" s="53">
        <v>1.8845937931272552E-2</v>
      </c>
      <c r="G777" s="90">
        <v>769</v>
      </c>
      <c r="H777" s="90">
        <f t="shared" ref="H777:H840" ca="1" si="25">_xlfn.NORM.INV(RAND(),N$10,N$11)</f>
        <v>3.6000836803385922E-2</v>
      </c>
    </row>
    <row r="778" spans="2:8" x14ac:dyDescent="0.3">
      <c r="B778" s="58">
        <f>'DATA HISTORICAL'!$B1423</f>
        <v>44770</v>
      </c>
      <c r="C778" s="60">
        <f>'DATA HISTORICAL'!$C1423</f>
        <v>6471.25</v>
      </c>
      <c r="D778" s="53">
        <f t="shared" si="24"/>
        <v>-9.8566141739213648E-3</v>
      </c>
      <c r="E778" s="53">
        <v>1.8825632167647561E-2</v>
      </c>
      <c r="G778" s="90">
        <v>770</v>
      </c>
      <c r="H778" s="90">
        <f t="shared" ca="1" si="25"/>
        <v>-1.4577358905174635E-2</v>
      </c>
    </row>
    <row r="779" spans="2:8" x14ac:dyDescent="0.3">
      <c r="B779" s="58">
        <f>'DATA HISTORICAL'!$B1424</f>
        <v>44769</v>
      </c>
      <c r="C779" s="60">
        <f>'DATA HISTORICAL'!$C1424</f>
        <v>6535.35</v>
      </c>
      <c r="D779" s="53">
        <f t="shared" si="24"/>
        <v>2.0982602037685268E-2</v>
      </c>
      <c r="E779" s="53">
        <v>1.880515026730321E-2</v>
      </c>
      <c r="G779" s="90">
        <v>771</v>
      </c>
      <c r="H779" s="90">
        <f t="shared" ca="1" si="25"/>
        <v>4.8618426329474799E-3</v>
      </c>
    </row>
    <row r="780" spans="2:8" x14ac:dyDescent="0.3">
      <c r="B780" s="58">
        <f>'DATA HISTORICAL'!$B1425</f>
        <v>44768</v>
      </c>
      <c r="C780" s="60">
        <f>'DATA HISTORICAL'!$C1425</f>
        <v>6399.65</v>
      </c>
      <c r="D780" s="53">
        <f t="shared" si="24"/>
        <v>2.6207618334574277E-3</v>
      </c>
      <c r="E780" s="53">
        <v>1.8767507055880012E-2</v>
      </c>
      <c r="G780" s="90">
        <v>772</v>
      </c>
      <c r="H780" s="90">
        <f t="shared" ca="1" si="25"/>
        <v>2.4084836394619585E-2</v>
      </c>
    </row>
    <row r="781" spans="2:8" x14ac:dyDescent="0.3">
      <c r="B781" s="58">
        <f>'DATA HISTORICAL'!$B1426</f>
        <v>44767</v>
      </c>
      <c r="C781" s="60">
        <f>'DATA HISTORICAL'!$C1426</f>
        <v>6382.9</v>
      </c>
      <c r="D781" s="53">
        <f t="shared" si="24"/>
        <v>-1.1805519616502955E-2</v>
      </c>
      <c r="E781" s="53">
        <v>1.8741417038470404E-2</v>
      </c>
      <c r="G781" s="90">
        <v>773</v>
      </c>
      <c r="H781" s="90">
        <f t="shared" ca="1" si="25"/>
        <v>9.4768647142760738E-3</v>
      </c>
    </row>
    <row r="782" spans="2:8" x14ac:dyDescent="0.3">
      <c r="B782" s="58">
        <f>'DATA HISTORICAL'!$B1427</f>
        <v>44764</v>
      </c>
      <c r="C782" s="60">
        <f>'DATA HISTORICAL'!$C1427</f>
        <v>6458.7</v>
      </c>
      <c r="D782" s="53">
        <f t="shared" si="24"/>
        <v>5.2119123228680959E-2</v>
      </c>
      <c r="E782" s="53">
        <v>1.8737172884336521E-2</v>
      </c>
      <c r="G782" s="90">
        <v>774</v>
      </c>
      <c r="H782" s="90">
        <f t="shared" ca="1" si="25"/>
        <v>-5.7660605163077682E-3</v>
      </c>
    </row>
    <row r="783" spans="2:8" x14ac:dyDescent="0.3">
      <c r="B783" s="58">
        <f>'DATA HISTORICAL'!$B1428</f>
        <v>44763</v>
      </c>
      <c r="C783" s="60">
        <f>'DATA HISTORICAL'!$C1428</f>
        <v>6130.7</v>
      </c>
      <c r="D783" s="53">
        <f t="shared" si="24"/>
        <v>6.8250712981379148E-3</v>
      </c>
      <c r="E783" s="53">
        <v>1.8726814319304223E-2</v>
      </c>
      <c r="G783" s="90">
        <v>775</v>
      </c>
      <c r="H783" s="90">
        <f t="shared" ca="1" si="25"/>
        <v>-6.1868038695880008E-3</v>
      </c>
    </row>
    <row r="784" spans="2:8" x14ac:dyDescent="0.3">
      <c r="B784" s="58">
        <f>'DATA HISTORICAL'!$B1429</f>
        <v>44762</v>
      </c>
      <c r="C784" s="60">
        <f>'DATA HISTORICAL'!$C1429</f>
        <v>6089</v>
      </c>
      <c r="D784" s="53">
        <f t="shared" si="24"/>
        <v>5.1746018559365413E-4</v>
      </c>
      <c r="E784" s="53">
        <v>1.8725818456016473E-2</v>
      </c>
      <c r="G784" s="90">
        <v>776</v>
      </c>
      <c r="H784" s="90">
        <f t="shared" ca="1" si="25"/>
        <v>-9.7054219482974741E-3</v>
      </c>
    </row>
    <row r="785" spans="2:8" x14ac:dyDescent="0.3">
      <c r="B785" s="58">
        <f>'DATA HISTORICAL'!$B1430</f>
        <v>44761</v>
      </c>
      <c r="C785" s="60">
        <f>'DATA HISTORICAL'!$C1430</f>
        <v>6085.85</v>
      </c>
      <c r="D785" s="53">
        <f t="shared" si="24"/>
        <v>1.714457920013121E-2</v>
      </c>
      <c r="E785" s="53">
        <v>1.8719823697912776E-2</v>
      </c>
      <c r="G785" s="90">
        <v>777</v>
      </c>
      <c r="H785" s="90">
        <f t="shared" ca="1" si="25"/>
        <v>3.7683920700951244E-2</v>
      </c>
    </row>
    <row r="786" spans="2:8" x14ac:dyDescent="0.3">
      <c r="B786" s="58">
        <f>'DATA HISTORICAL'!$B1431</f>
        <v>44760</v>
      </c>
      <c r="C786" s="60">
        <f>'DATA HISTORICAL'!$C1431</f>
        <v>5982.4</v>
      </c>
      <c r="D786" s="53">
        <f t="shared" si="24"/>
        <v>2.9749128589951421E-2</v>
      </c>
      <c r="E786" s="53">
        <v>1.8704570745748803E-2</v>
      </c>
      <c r="G786" s="90">
        <v>778</v>
      </c>
      <c r="H786" s="90">
        <f t="shared" ca="1" si="25"/>
        <v>-1.5839670146750053E-2</v>
      </c>
    </row>
    <row r="787" spans="2:8" x14ac:dyDescent="0.3">
      <c r="B787" s="58">
        <f>'DATA HISTORICAL'!$B1432</f>
        <v>44757</v>
      </c>
      <c r="C787" s="60">
        <f>'DATA HISTORICAL'!$C1432</f>
        <v>5807.05</v>
      </c>
      <c r="D787" s="53">
        <f t="shared" si="24"/>
        <v>1.2476227711616607E-2</v>
      </c>
      <c r="E787" s="53">
        <v>1.8688263653027015E-2</v>
      </c>
      <c r="G787" s="90">
        <v>779</v>
      </c>
      <c r="H787" s="90">
        <f t="shared" ca="1" si="25"/>
        <v>-1.1070349768945539E-2</v>
      </c>
    </row>
    <row r="788" spans="2:8" x14ac:dyDescent="0.3">
      <c r="B788" s="58">
        <f>'DATA HISTORICAL'!$B1433</f>
        <v>44756</v>
      </c>
      <c r="C788" s="60">
        <f>'DATA HISTORICAL'!$C1433</f>
        <v>5735.05</v>
      </c>
      <c r="D788" s="53">
        <f t="shared" si="24"/>
        <v>-1.1080397741750868E-2</v>
      </c>
      <c r="E788" s="53">
        <v>1.8670077646697567E-2</v>
      </c>
      <c r="G788" s="90">
        <v>780</v>
      </c>
      <c r="H788" s="90">
        <f t="shared" ca="1" si="25"/>
        <v>2.0861154561086399E-2</v>
      </c>
    </row>
    <row r="789" spans="2:8" x14ac:dyDescent="0.3">
      <c r="B789" s="58">
        <f>'DATA HISTORICAL'!$B1434</f>
        <v>44755</v>
      </c>
      <c r="C789" s="60">
        <f>'DATA HISTORICAL'!$C1434</f>
        <v>5798.95</v>
      </c>
      <c r="D789" s="53">
        <f t="shared" si="24"/>
        <v>3.4721657298772092E-3</v>
      </c>
      <c r="E789" s="53">
        <v>1.8669128984733583E-2</v>
      </c>
      <c r="G789" s="90">
        <v>781</v>
      </c>
      <c r="H789" s="90">
        <f t="shared" ca="1" si="25"/>
        <v>2.3722490681069758E-2</v>
      </c>
    </row>
    <row r="790" spans="2:8" x14ac:dyDescent="0.3">
      <c r="B790" s="58">
        <f>'DATA HISTORICAL'!$B1435</f>
        <v>44754</v>
      </c>
      <c r="C790" s="60">
        <f>'DATA HISTORICAL'!$C1435</f>
        <v>5778.85</v>
      </c>
      <c r="D790" s="53">
        <f t="shared" si="24"/>
        <v>-1.2963192248966977E-2</v>
      </c>
      <c r="E790" s="53">
        <v>1.8658709435158256E-2</v>
      </c>
      <c r="G790" s="90">
        <v>782</v>
      </c>
      <c r="H790" s="90">
        <f t="shared" ca="1" si="25"/>
        <v>2.5680208498083121E-3</v>
      </c>
    </row>
    <row r="791" spans="2:8" x14ac:dyDescent="0.3">
      <c r="B791" s="58">
        <f>'DATA HISTORICAL'!$B1436</f>
        <v>44753</v>
      </c>
      <c r="C791" s="60">
        <f>'DATA HISTORICAL'!$C1436</f>
        <v>5854.25</v>
      </c>
      <c r="D791" s="53">
        <f t="shared" si="24"/>
        <v>2.5912178249929362E-3</v>
      </c>
      <c r="E791" s="53">
        <v>1.8651874218789319E-2</v>
      </c>
      <c r="G791" s="90">
        <v>783</v>
      </c>
      <c r="H791" s="90">
        <f t="shared" ca="1" si="25"/>
        <v>-1.2527288322024259E-2</v>
      </c>
    </row>
    <row r="792" spans="2:8" x14ac:dyDescent="0.3">
      <c r="B792" s="58">
        <f>'DATA HISTORICAL'!$B1437</f>
        <v>44750</v>
      </c>
      <c r="C792" s="60">
        <f>'DATA HISTORICAL'!$C1437</f>
        <v>5839.1</v>
      </c>
      <c r="D792" s="53">
        <f t="shared" si="24"/>
        <v>4.2815733932450366E-5</v>
      </c>
      <c r="E792" s="53">
        <v>1.8633680428191329E-2</v>
      </c>
      <c r="G792" s="90">
        <v>784</v>
      </c>
      <c r="H792" s="90">
        <f t="shared" ca="1" si="25"/>
        <v>-2.6976269419923097E-2</v>
      </c>
    </row>
    <row r="793" spans="2:8" x14ac:dyDescent="0.3">
      <c r="B793" s="58">
        <f>'DATA HISTORICAL'!$B1438</f>
        <v>44749</v>
      </c>
      <c r="C793" s="60">
        <f>'DATA HISTORICAL'!$C1438</f>
        <v>5838.85</v>
      </c>
      <c r="D793" s="53">
        <f t="shared" si="24"/>
        <v>1.8513920724249084E-3</v>
      </c>
      <c r="E793" s="53">
        <v>1.8596961370024222E-2</v>
      </c>
      <c r="G793" s="90">
        <v>785</v>
      </c>
      <c r="H793" s="90">
        <f t="shared" ca="1" si="25"/>
        <v>3.4823507128794506E-2</v>
      </c>
    </row>
    <row r="794" spans="2:8" x14ac:dyDescent="0.3">
      <c r="B794" s="58">
        <f>'DATA HISTORICAL'!$B1439</f>
        <v>44748</v>
      </c>
      <c r="C794" s="60">
        <f>'DATA HISTORICAL'!$C1439</f>
        <v>5828.05</v>
      </c>
      <c r="D794" s="53">
        <f t="shared" si="24"/>
        <v>1.6975662883548459E-2</v>
      </c>
      <c r="E794" s="53">
        <v>1.8593518492477982E-2</v>
      </c>
      <c r="G794" s="90">
        <v>786</v>
      </c>
      <c r="H794" s="90">
        <f t="shared" ca="1" si="25"/>
        <v>-1.1283295081293113E-2</v>
      </c>
    </row>
    <row r="795" spans="2:8" x14ac:dyDescent="0.3">
      <c r="B795" s="58">
        <f>'DATA HISTORICAL'!$B1440</f>
        <v>44747</v>
      </c>
      <c r="C795" s="60">
        <f>'DATA HISTORICAL'!$C1440</f>
        <v>5729.95</v>
      </c>
      <c r="D795" s="53">
        <f t="shared" si="24"/>
        <v>3.6541696400722136E-3</v>
      </c>
      <c r="E795" s="53">
        <v>1.8584520200057218E-2</v>
      </c>
      <c r="G795" s="90">
        <v>787</v>
      </c>
      <c r="H795" s="90">
        <f t="shared" ca="1" si="25"/>
        <v>-2.7805472658387403E-3</v>
      </c>
    </row>
    <row r="796" spans="2:8" x14ac:dyDescent="0.3">
      <c r="B796" s="58">
        <f>'DATA HISTORICAL'!$B1441</f>
        <v>44746</v>
      </c>
      <c r="C796" s="60">
        <f>'DATA HISTORICAL'!$C1441</f>
        <v>5709.05</v>
      </c>
      <c r="D796" s="53">
        <f t="shared" si="24"/>
        <v>3.0436617580457872E-3</v>
      </c>
      <c r="E796" s="53">
        <v>1.8580688078194147E-2</v>
      </c>
      <c r="G796" s="90">
        <v>788</v>
      </c>
      <c r="H796" s="90">
        <f t="shared" ca="1" si="25"/>
        <v>2.6318189226387761E-2</v>
      </c>
    </row>
    <row r="797" spans="2:8" x14ac:dyDescent="0.3">
      <c r="B797" s="58">
        <f>'DATA HISTORICAL'!$B1442</f>
        <v>44743</v>
      </c>
      <c r="C797" s="60">
        <f>'DATA HISTORICAL'!$C1442</f>
        <v>5691.7</v>
      </c>
      <c r="D797" s="53">
        <f t="shared" si="24"/>
        <v>1.493965302886319E-2</v>
      </c>
      <c r="E797" s="53">
        <v>1.854948528071311E-2</v>
      </c>
      <c r="G797" s="90">
        <v>789</v>
      </c>
      <c r="H797" s="90">
        <f t="shared" ca="1" si="25"/>
        <v>-8.4047236176364171E-3</v>
      </c>
    </row>
    <row r="798" spans="2:8" x14ac:dyDescent="0.3">
      <c r="B798" s="58">
        <f>'DATA HISTORICAL'!$B1443</f>
        <v>44742</v>
      </c>
      <c r="C798" s="60">
        <f>'DATA HISTORICAL'!$C1443</f>
        <v>5607.3</v>
      </c>
      <c r="D798" s="53">
        <f t="shared" si="24"/>
        <v>-1.9598067846301926E-3</v>
      </c>
      <c r="E798" s="53">
        <v>1.8529759448413514E-2</v>
      </c>
      <c r="G798" s="90">
        <v>790</v>
      </c>
      <c r="H798" s="90">
        <f t="shared" ca="1" si="25"/>
        <v>5.3937540612259589E-3</v>
      </c>
    </row>
    <row r="799" spans="2:8" x14ac:dyDescent="0.3">
      <c r="B799" s="58">
        <f>'DATA HISTORICAL'!$B1444</f>
        <v>44741</v>
      </c>
      <c r="C799" s="60">
        <f>'DATA HISTORICAL'!$C1444</f>
        <v>5618.3</v>
      </c>
      <c r="D799" s="53">
        <f t="shared" si="24"/>
        <v>8.1404786038301973E-3</v>
      </c>
      <c r="E799" s="53">
        <v>1.8527956500569327E-2</v>
      </c>
      <c r="G799" s="90">
        <v>791</v>
      </c>
      <c r="H799" s="90">
        <f t="shared" ca="1" si="25"/>
        <v>3.3720498044375762E-2</v>
      </c>
    </row>
    <row r="800" spans="2:8" x14ac:dyDescent="0.3">
      <c r="B800" s="58">
        <f>'DATA HISTORICAL'!$B1445</f>
        <v>44740</v>
      </c>
      <c r="C800" s="60">
        <f>'DATA HISTORICAL'!$C1445</f>
        <v>5572.75</v>
      </c>
      <c r="D800" s="53">
        <f t="shared" si="24"/>
        <v>2.2455771584884432E-3</v>
      </c>
      <c r="E800" s="53">
        <v>1.8483261631404926E-2</v>
      </c>
      <c r="G800" s="90">
        <v>792</v>
      </c>
      <c r="H800" s="90">
        <f t="shared" ca="1" si="25"/>
        <v>8.4113464423239345E-3</v>
      </c>
    </row>
    <row r="801" spans="2:8" x14ac:dyDescent="0.3">
      <c r="B801" s="58">
        <f>'DATA HISTORICAL'!$B1446</f>
        <v>44739</v>
      </c>
      <c r="C801" s="60">
        <f>'DATA HISTORICAL'!$C1446</f>
        <v>5560.25</v>
      </c>
      <c r="D801" s="53">
        <f t="shared" si="24"/>
        <v>1.667528925656972E-2</v>
      </c>
      <c r="E801" s="53">
        <v>1.8425066473783537E-2</v>
      </c>
      <c r="G801" s="90">
        <v>793</v>
      </c>
      <c r="H801" s="90">
        <f t="shared" ca="1" si="25"/>
        <v>1.2727819771617067E-2</v>
      </c>
    </row>
    <row r="802" spans="2:8" x14ac:dyDescent="0.3">
      <c r="B802" s="58">
        <f>'DATA HISTORICAL'!$B1447</f>
        <v>44736</v>
      </c>
      <c r="C802" s="60">
        <f>'DATA HISTORICAL'!$C1447</f>
        <v>5468.3</v>
      </c>
      <c r="D802" s="53">
        <f t="shared" si="24"/>
        <v>1.0663237837845169E-2</v>
      </c>
      <c r="E802" s="53">
        <v>1.8362241920892142E-2</v>
      </c>
      <c r="G802" s="90">
        <v>794</v>
      </c>
      <c r="H802" s="90">
        <f t="shared" ca="1" si="25"/>
        <v>-1.005591077647525E-2</v>
      </c>
    </row>
    <row r="803" spans="2:8" x14ac:dyDescent="0.3">
      <c r="B803" s="58">
        <f>'DATA HISTORICAL'!$B1448</f>
        <v>44735</v>
      </c>
      <c r="C803" s="60">
        <f>'DATA HISTORICAL'!$C1448</f>
        <v>5410.3</v>
      </c>
      <c r="D803" s="53">
        <f t="shared" si="24"/>
        <v>6.4693514497838429E-5</v>
      </c>
      <c r="E803" s="53">
        <v>1.8349138668196398E-2</v>
      </c>
      <c r="G803" s="90">
        <v>795</v>
      </c>
      <c r="H803" s="90">
        <f t="shared" ca="1" si="25"/>
        <v>8.701662159174367E-3</v>
      </c>
    </row>
    <row r="804" spans="2:8" x14ac:dyDescent="0.3">
      <c r="B804" s="58">
        <f>'DATA HISTORICAL'!$B1449</f>
        <v>44734</v>
      </c>
      <c r="C804" s="60">
        <f>'DATA HISTORICAL'!$C1449</f>
        <v>5409.95</v>
      </c>
      <c r="D804" s="53">
        <f t="shared" si="24"/>
        <v>-1.6529921529806529E-3</v>
      </c>
      <c r="E804" s="53">
        <v>1.8336219009096502E-2</v>
      </c>
      <c r="G804" s="90">
        <v>796</v>
      </c>
      <c r="H804" s="90">
        <f t="shared" ca="1" si="25"/>
        <v>1.4628972328549648E-3</v>
      </c>
    </row>
    <row r="805" spans="2:8" x14ac:dyDescent="0.3">
      <c r="B805" s="58">
        <f>'DATA HISTORICAL'!$B1450</f>
        <v>44733</v>
      </c>
      <c r="C805" s="60">
        <f>'DATA HISTORICAL'!$C1450</f>
        <v>5418.9</v>
      </c>
      <c r="D805" s="53">
        <f t="shared" si="24"/>
        <v>1.5922659272344125E-2</v>
      </c>
      <c r="E805" s="53">
        <v>1.8313603937895214E-2</v>
      </c>
      <c r="G805" s="90">
        <v>797</v>
      </c>
      <c r="H805" s="90">
        <f t="shared" ca="1" si="25"/>
        <v>1.3743025087683925E-2</v>
      </c>
    </row>
    <row r="806" spans="2:8" x14ac:dyDescent="0.3">
      <c r="B806" s="58">
        <f>'DATA HISTORICAL'!$B1451</f>
        <v>44732</v>
      </c>
      <c r="C806" s="60">
        <f>'DATA HISTORICAL'!$C1451</f>
        <v>5333.3</v>
      </c>
      <c r="D806" s="53">
        <f t="shared" si="24"/>
        <v>2.9686498692440937E-2</v>
      </c>
      <c r="E806" s="53">
        <v>1.8306682352296627E-2</v>
      </c>
      <c r="G806" s="90">
        <v>798</v>
      </c>
      <c r="H806" s="90">
        <f t="shared" ca="1" si="25"/>
        <v>2.0614135859169321E-2</v>
      </c>
    </row>
    <row r="807" spans="2:8" x14ac:dyDescent="0.3">
      <c r="B807" s="58">
        <f>'DATA HISTORICAL'!$B1452</f>
        <v>44729</v>
      </c>
      <c r="C807" s="60">
        <f>'DATA HISTORICAL'!$C1452</f>
        <v>5177.3</v>
      </c>
      <c r="D807" s="53">
        <f t="shared" si="24"/>
        <v>-2.4413211449322798E-2</v>
      </c>
      <c r="E807" s="53">
        <v>1.8278634836147108E-2</v>
      </c>
      <c r="G807" s="90">
        <v>799</v>
      </c>
      <c r="H807" s="90">
        <f t="shared" ca="1" si="25"/>
        <v>-2.1407925679363178E-2</v>
      </c>
    </row>
    <row r="808" spans="2:8" x14ac:dyDescent="0.3">
      <c r="B808" s="58">
        <f>'DATA HISTORICAL'!$B1453</f>
        <v>44728</v>
      </c>
      <c r="C808" s="60">
        <f>'DATA HISTORICAL'!$C1453</f>
        <v>5305.25</v>
      </c>
      <c r="D808" s="53">
        <f t="shared" si="24"/>
        <v>-2.7679890486456003E-2</v>
      </c>
      <c r="E808" s="53">
        <v>1.8263487135287727E-2</v>
      </c>
      <c r="G808" s="90">
        <v>800</v>
      </c>
      <c r="H808" s="90">
        <f t="shared" ca="1" si="25"/>
        <v>1.8703683058932156E-2</v>
      </c>
    </row>
    <row r="809" spans="2:8" x14ac:dyDescent="0.3">
      <c r="B809" s="58">
        <f>'DATA HISTORICAL'!$B1454</f>
        <v>44727</v>
      </c>
      <c r="C809" s="60">
        <f>'DATA HISTORICAL'!$C1454</f>
        <v>5454.15</v>
      </c>
      <c r="D809" s="53">
        <f t="shared" si="24"/>
        <v>4.6955129803611193E-3</v>
      </c>
      <c r="E809" s="53">
        <v>1.8254548464925042E-2</v>
      </c>
      <c r="G809" s="90">
        <v>801</v>
      </c>
      <c r="H809" s="90">
        <f t="shared" ca="1" si="25"/>
        <v>2.4033665154893333E-2</v>
      </c>
    </row>
    <row r="810" spans="2:8" x14ac:dyDescent="0.3">
      <c r="B810" s="58">
        <f>'DATA HISTORICAL'!$B1455</f>
        <v>44726</v>
      </c>
      <c r="C810" s="60">
        <f>'DATA HISTORICAL'!$C1455</f>
        <v>5428.6</v>
      </c>
      <c r="D810" s="53">
        <f t="shared" si="24"/>
        <v>1.3435840403743056E-2</v>
      </c>
      <c r="E810" s="53">
        <v>1.8250804292363355E-2</v>
      </c>
      <c r="G810" s="90">
        <v>802</v>
      </c>
      <c r="H810" s="90">
        <f t="shared" ca="1" si="25"/>
        <v>4.2966857076683421E-3</v>
      </c>
    </row>
    <row r="811" spans="2:8" x14ac:dyDescent="0.3">
      <c r="B811" s="58">
        <f>'DATA HISTORICAL'!$B1456</f>
        <v>44725</v>
      </c>
      <c r="C811" s="60">
        <f>'DATA HISTORICAL'!$C1456</f>
        <v>5356.15</v>
      </c>
      <c r="D811" s="53">
        <f t="shared" si="24"/>
        <v>-2.8509734212130874E-2</v>
      </c>
      <c r="E811" s="53">
        <v>1.823875850084504E-2</v>
      </c>
      <c r="G811" s="90">
        <v>803</v>
      </c>
      <c r="H811" s="90">
        <f t="shared" ca="1" si="25"/>
        <v>2.691541978801627E-2</v>
      </c>
    </row>
    <row r="812" spans="2:8" x14ac:dyDescent="0.3">
      <c r="B812" s="58">
        <f>'DATA HISTORICAL'!$B1457</f>
        <v>44722</v>
      </c>
      <c r="C812" s="60">
        <f>'DATA HISTORICAL'!$C1457</f>
        <v>5511.05</v>
      </c>
      <c r="D812" s="53">
        <f t="shared" si="24"/>
        <v>5.3034114269835527E-3</v>
      </c>
      <c r="E812" s="53">
        <v>1.8233359045007284E-2</v>
      </c>
      <c r="G812" s="90">
        <v>804</v>
      </c>
      <c r="H812" s="90">
        <f t="shared" ca="1" si="25"/>
        <v>1.245445818974111E-2</v>
      </c>
    </row>
    <row r="813" spans="2:8" x14ac:dyDescent="0.3">
      <c r="B813" s="58">
        <f>'DATA HISTORICAL'!$B1458</f>
        <v>44721</v>
      </c>
      <c r="C813" s="60">
        <f>'DATA HISTORICAL'!$C1458</f>
        <v>5481.9</v>
      </c>
      <c r="D813" s="53">
        <f t="shared" si="24"/>
        <v>-9.0705422709111711E-3</v>
      </c>
      <c r="E813" s="53">
        <v>1.8221762302708739E-2</v>
      </c>
      <c r="G813" s="90">
        <v>805</v>
      </c>
      <c r="H813" s="90">
        <f t="shared" ca="1" si="25"/>
        <v>-4.2755104897551277E-3</v>
      </c>
    </row>
    <row r="814" spans="2:8" x14ac:dyDescent="0.3">
      <c r="B814" s="58">
        <f>'DATA HISTORICAL'!$B1459</f>
        <v>44720</v>
      </c>
      <c r="C814" s="60">
        <f>'DATA HISTORICAL'!$C1459</f>
        <v>5531.85</v>
      </c>
      <c r="D814" s="53">
        <f t="shared" si="24"/>
        <v>-4.2121275764068645E-3</v>
      </c>
      <c r="E814" s="53">
        <v>1.8193830134664812E-2</v>
      </c>
      <c r="G814" s="90">
        <v>806</v>
      </c>
      <c r="H814" s="90">
        <f t="shared" ca="1" si="25"/>
        <v>2.1448354465541122E-2</v>
      </c>
    </row>
    <row r="815" spans="2:8" x14ac:dyDescent="0.3">
      <c r="B815" s="58">
        <f>'DATA HISTORICAL'!$B1460</f>
        <v>44719</v>
      </c>
      <c r="C815" s="60">
        <f>'DATA HISTORICAL'!$C1460</f>
        <v>5555.2</v>
      </c>
      <c r="D815" s="53">
        <f t="shared" si="24"/>
        <v>-4.6962565715817214E-3</v>
      </c>
      <c r="E815" s="53">
        <v>1.8179351831119461E-2</v>
      </c>
      <c r="G815" s="90">
        <v>807</v>
      </c>
      <c r="H815" s="90">
        <f t="shared" ca="1" si="25"/>
        <v>1.8815410129399791E-2</v>
      </c>
    </row>
    <row r="816" spans="2:8" x14ac:dyDescent="0.3">
      <c r="B816" s="58">
        <f>'DATA HISTORICAL'!$B1461</f>
        <v>44718</v>
      </c>
      <c r="C816" s="60">
        <f>'DATA HISTORICAL'!$C1461</f>
        <v>5581.35</v>
      </c>
      <c r="D816" s="53">
        <f t="shared" si="24"/>
        <v>-1.7318064830144461E-2</v>
      </c>
      <c r="E816" s="53">
        <v>1.8161881135622251E-2</v>
      </c>
      <c r="G816" s="90">
        <v>808</v>
      </c>
      <c r="H816" s="90">
        <f t="shared" ca="1" si="25"/>
        <v>-1.2210769691387586E-2</v>
      </c>
    </row>
    <row r="817" spans="2:8" x14ac:dyDescent="0.3">
      <c r="B817" s="58">
        <f>'DATA HISTORICAL'!$B1462</f>
        <v>44715</v>
      </c>
      <c r="C817" s="60">
        <f>'DATA HISTORICAL'!$C1462</f>
        <v>5678.85</v>
      </c>
      <c r="D817" s="53">
        <f t="shared" si="24"/>
        <v>-5.6318199993542803E-2</v>
      </c>
      <c r="E817" s="53">
        <v>1.8119407424788705E-2</v>
      </c>
      <c r="G817" s="90">
        <v>809</v>
      </c>
      <c r="H817" s="90">
        <f t="shared" ca="1" si="25"/>
        <v>2.7395700295545368E-2</v>
      </c>
    </row>
    <row r="818" spans="2:8" x14ac:dyDescent="0.3">
      <c r="B818" s="58">
        <f>'DATA HISTORICAL'!$B1463</f>
        <v>44714</v>
      </c>
      <c r="C818" s="60">
        <f>'DATA HISTORICAL'!$C1463</f>
        <v>6007.85</v>
      </c>
      <c r="D818" s="53">
        <f t="shared" si="24"/>
        <v>5.3740689274894109E-3</v>
      </c>
      <c r="E818" s="53">
        <v>1.8113595150442835E-2</v>
      </c>
      <c r="G818" s="90">
        <v>810</v>
      </c>
      <c r="H818" s="90">
        <f t="shared" ca="1" si="25"/>
        <v>2.4236680082955965E-2</v>
      </c>
    </row>
    <row r="819" spans="2:8" x14ac:dyDescent="0.3">
      <c r="B819" s="58">
        <f>'DATA HISTORICAL'!$B1464</f>
        <v>44713</v>
      </c>
      <c r="C819" s="60">
        <f>'DATA HISTORICAL'!$C1464</f>
        <v>5975.65</v>
      </c>
      <c r="D819" s="53">
        <f t="shared" si="24"/>
        <v>-1.7739357637079189E-2</v>
      </c>
      <c r="E819" s="53">
        <v>1.8078122353379439E-2</v>
      </c>
      <c r="G819" s="90">
        <v>811</v>
      </c>
      <c r="H819" s="90">
        <f t="shared" ca="1" si="25"/>
        <v>2.1417364298972081E-2</v>
      </c>
    </row>
    <row r="820" spans="2:8" x14ac:dyDescent="0.3">
      <c r="B820" s="58">
        <f>'DATA HISTORICAL'!$B1465</f>
        <v>44712</v>
      </c>
      <c r="C820" s="60">
        <f>'DATA HISTORICAL'!$C1465</f>
        <v>6082.6</v>
      </c>
      <c r="D820" s="53">
        <f t="shared" si="24"/>
        <v>-3.290866924321676E-3</v>
      </c>
      <c r="E820" s="53">
        <v>1.8070143429025274E-2</v>
      </c>
      <c r="G820" s="90">
        <v>812</v>
      </c>
      <c r="H820" s="90">
        <f t="shared" ca="1" si="25"/>
        <v>-5.5237075967647384E-3</v>
      </c>
    </row>
    <row r="821" spans="2:8" x14ac:dyDescent="0.3">
      <c r="B821" s="58">
        <f>'DATA HISTORICAL'!$B1466</f>
        <v>44711</v>
      </c>
      <c r="C821" s="60">
        <f>'DATA HISTORICAL'!$C1466</f>
        <v>6102.65</v>
      </c>
      <c r="D821" s="53">
        <f t="shared" si="24"/>
        <v>2.5668074475110939E-2</v>
      </c>
      <c r="E821" s="53">
        <v>1.8058665504248894E-2</v>
      </c>
      <c r="G821" s="90">
        <v>813</v>
      </c>
      <c r="H821" s="90">
        <f t="shared" ca="1" si="25"/>
        <v>4.3702670876140035E-3</v>
      </c>
    </row>
    <row r="822" spans="2:8" x14ac:dyDescent="0.3">
      <c r="B822" s="58">
        <f>'DATA HISTORICAL'!$B1467</f>
        <v>44708</v>
      </c>
      <c r="C822" s="60">
        <f>'DATA HISTORICAL'!$C1467</f>
        <v>5948</v>
      </c>
      <c r="D822" s="53">
        <f t="shared" si="24"/>
        <v>1.2476636291331063E-2</v>
      </c>
      <c r="E822" s="53">
        <v>1.8055806486392198E-2</v>
      </c>
      <c r="G822" s="90">
        <v>814</v>
      </c>
      <c r="H822" s="90">
        <f t="shared" ca="1" si="25"/>
        <v>-4.2029571934500349E-3</v>
      </c>
    </row>
    <row r="823" spans="2:8" x14ac:dyDescent="0.3">
      <c r="B823" s="58">
        <f>'DATA HISTORICAL'!$B1468</f>
        <v>44707</v>
      </c>
      <c r="C823" s="60">
        <f>'DATA HISTORICAL'!$C1468</f>
        <v>5874.25</v>
      </c>
      <c r="D823" s="53">
        <f t="shared" si="24"/>
        <v>1.4066207432582167E-2</v>
      </c>
      <c r="E823" s="53">
        <v>1.8030314622806947E-2</v>
      </c>
      <c r="G823" s="90">
        <v>815</v>
      </c>
      <c r="H823" s="90">
        <f t="shared" ca="1" si="25"/>
        <v>-1.2976753084888253E-2</v>
      </c>
    </row>
    <row r="824" spans="2:8" x14ac:dyDescent="0.3">
      <c r="B824" s="58">
        <f>'DATA HISTORICAL'!$B1469</f>
        <v>44706</v>
      </c>
      <c r="C824" s="60">
        <f>'DATA HISTORICAL'!$C1469</f>
        <v>5792.2</v>
      </c>
      <c r="D824" s="53">
        <f t="shared" si="24"/>
        <v>-1.3010196161167449E-2</v>
      </c>
      <c r="E824" s="53">
        <v>1.8030193958574997E-2</v>
      </c>
      <c r="G824" s="90">
        <v>816</v>
      </c>
      <c r="H824" s="90">
        <f t="shared" ca="1" si="25"/>
        <v>-3.0895465357625208E-2</v>
      </c>
    </row>
    <row r="825" spans="2:8" x14ac:dyDescent="0.3">
      <c r="B825" s="58">
        <f>'DATA HISTORICAL'!$B1470</f>
        <v>44705</v>
      </c>
      <c r="C825" s="60">
        <f>'DATA HISTORICAL'!$C1470</f>
        <v>5868.05</v>
      </c>
      <c r="D825" s="53">
        <f t="shared" si="24"/>
        <v>-8.1888724668330096E-3</v>
      </c>
      <c r="E825" s="53">
        <v>1.8019563139104206E-2</v>
      </c>
      <c r="G825" s="90">
        <v>817</v>
      </c>
      <c r="H825" s="90">
        <f t="shared" ca="1" si="25"/>
        <v>-5.7861208339235011E-3</v>
      </c>
    </row>
    <row r="826" spans="2:8" x14ac:dyDescent="0.3">
      <c r="B826" s="58">
        <f>'DATA HISTORICAL'!$B1471</f>
        <v>44704</v>
      </c>
      <c r="C826" s="60">
        <f>'DATA HISTORICAL'!$C1471</f>
        <v>5916.3</v>
      </c>
      <c r="D826" s="53">
        <f t="shared" si="24"/>
        <v>-3.5263243807300393E-2</v>
      </c>
      <c r="E826" s="53">
        <v>1.8016008346315102E-2</v>
      </c>
      <c r="G826" s="90">
        <v>818</v>
      </c>
      <c r="H826" s="90">
        <f t="shared" ca="1" si="25"/>
        <v>-1.7397607724502839E-2</v>
      </c>
    </row>
    <row r="827" spans="2:8" x14ac:dyDescent="0.3">
      <c r="B827" s="58">
        <f>'DATA HISTORICAL'!$B1472</f>
        <v>44701</v>
      </c>
      <c r="C827" s="60">
        <f>'DATA HISTORICAL'!$C1472</f>
        <v>6128.65</v>
      </c>
      <c r="D827" s="53">
        <f t="shared" si="24"/>
        <v>9.1876478685229274E-3</v>
      </c>
      <c r="E827" s="53">
        <v>1.8008452326963902E-2</v>
      </c>
      <c r="G827" s="90">
        <v>819</v>
      </c>
      <c r="H827" s="90">
        <f t="shared" ca="1" si="25"/>
        <v>-1.2762732051884766E-2</v>
      </c>
    </row>
    <row r="828" spans="2:8" x14ac:dyDescent="0.3">
      <c r="B828" s="58">
        <f>'DATA HISTORICAL'!$B1473</f>
        <v>44700</v>
      </c>
      <c r="C828" s="60">
        <f>'DATA HISTORICAL'!$C1473</f>
        <v>6072.6</v>
      </c>
      <c r="D828" s="53">
        <f t="shared" si="24"/>
        <v>-2.6191228437421787E-2</v>
      </c>
      <c r="E828" s="53">
        <v>1.8006488510651581E-2</v>
      </c>
      <c r="G828" s="90">
        <v>820</v>
      </c>
      <c r="H828" s="90">
        <f t="shared" ca="1" si="25"/>
        <v>-1.354280418899078E-2</v>
      </c>
    </row>
    <row r="829" spans="2:8" x14ac:dyDescent="0.3">
      <c r="B829" s="58">
        <f>'DATA HISTORICAL'!$B1474</f>
        <v>44699</v>
      </c>
      <c r="C829" s="60">
        <f>'DATA HISTORICAL'!$C1474</f>
        <v>6233.75</v>
      </c>
      <c r="D829" s="53">
        <f t="shared" si="24"/>
        <v>2.0419621287424836E-2</v>
      </c>
      <c r="E829" s="53">
        <v>1.7981164390245725E-2</v>
      </c>
      <c r="G829" s="90">
        <v>821</v>
      </c>
      <c r="H829" s="90">
        <f t="shared" ca="1" si="25"/>
        <v>1.1083258788538292E-2</v>
      </c>
    </row>
    <row r="830" spans="2:8" x14ac:dyDescent="0.3">
      <c r="B830" s="58">
        <f>'DATA HISTORICAL'!$B1475</f>
        <v>44698</v>
      </c>
      <c r="C830" s="60">
        <f>'DATA HISTORICAL'!$C1475</f>
        <v>6107.75</v>
      </c>
      <c r="D830" s="53">
        <f t="shared" si="24"/>
        <v>1.5667926353761144E-2</v>
      </c>
      <c r="E830" s="53">
        <v>1.7928290392647473E-2</v>
      </c>
      <c r="G830" s="90">
        <v>822</v>
      </c>
      <c r="H830" s="90">
        <f t="shared" ca="1" si="25"/>
        <v>1.7728643291721167E-2</v>
      </c>
    </row>
    <row r="831" spans="2:8" x14ac:dyDescent="0.3">
      <c r="B831" s="58">
        <f>'DATA HISTORICAL'!$B1476</f>
        <v>44697</v>
      </c>
      <c r="C831" s="60">
        <f>'DATA HISTORICAL'!$C1476</f>
        <v>6012.8</v>
      </c>
      <c r="D831" s="53">
        <f t="shared" si="24"/>
        <v>-3.0102155324477856E-2</v>
      </c>
      <c r="E831" s="53">
        <v>1.7877683966897092E-2</v>
      </c>
      <c r="G831" s="90">
        <v>823</v>
      </c>
      <c r="H831" s="90">
        <f t="shared" ca="1" si="25"/>
        <v>7.8955230339045838E-4</v>
      </c>
    </row>
    <row r="832" spans="2:8" x14ac:dyDescent="0.3">
      <c r="B832" s="58">
        <f>'DATA HISTORICAL'!$B1477</f>
        <v>44694</v>
      </c>
      <c r="C832" s="60">
        <f>'DATA HISTORICAL'!$C1477</f>
        <v>6196.55</v>
      </c>
      <c r="D832" s="53">
        <f t="shared" si="24"/>
        <v>1.7929256943125739E-3</v>
      </c>
      <c r="E832" s="53">
        <v>1.7786508865023351E-2</v>
      </c>
      <c r="G832" s="90">
        <v>824</v>
      </c>
      <c r="H832" s="90">
        <f t="shared" ca="1" si="25"/>
        <v>1.5113521941162125E-2</v>
      </c>
    </row>
    <row r="833" spans="2:8" x14ac:dyDescent="0.3">
      <c r="B833" s="58">
        <f>'DATA HISTORICAL'!$B1478</f>
        <v>44693</v>
      </c>
      <c r="C833" s="60">
        <f>'DATA HISTORICAL'!$C1478</f>
        <v>6185.45</v>
      </c>
      <c r="D833" s="53">
        <f t="shared" si="24"/>
        <v>-2.4710553825728527E-2</v>
      </c>
      <c r="E833" s="53">
        <v>1.7762087326278094E-2</v>
      </c>
      <c r="G833" s="90">
        <v>825</v>
      </c>
      <c r="H833" s="90">
        <f t="shared" ca="1" si="25"/>
        <v>3.1429052055776986E-2</v>
      </c>
    </row>
    <row r="834" spans="2:8" x14ac:dyDescent="0.3">
      <c r="B834" s="58">
        <f>'DATA HISTORICAL'!$B1479</f>
        <v>44692</v>
      </c>
      <c r="C834" s="60">
        <f>'DATA HISTORICAL'!$C1479</f>
        <v>6340.2</v>
      </c>
      <c r="D834" s="53">
        <f t="shared" si="24"/>
        <v>-4.131700698877242E-3</v>
      </c>
      <c r="E834" s="53">
        <v>1.7746140760418118E-2</v>
      </c>
      <c r="G834" s="90">
        <v>826</v>
      </c>
      <c r="H834" s="90">
        <f t="shared" ca="1" si="25"/>
        <v>2.5378649698785277E-3</v>
      </c>
    </row>
    <row r="835" spans="2:8" x14ac:dyDescent="0.3">
      <c r="B835" s="58">
        <f>'DATA HISTORICAL'!$B1480</f>
        <v>44691</v>
      </c>
      <c r="C835" s="60">
        <f>'DATA HISTORICAL'!$C1480</f>
        <v>6366.45</v>
      </c>
      <c r="D835" s="53">
        <f t="shared" si="24"/>
        <v>2.2532831133692581E-2</v>
      </c>
      <c r="E835" s="53">
        <v>1.7709510160502418E-2</v>
      </c>
      <c r="G835" s="90">
        <v>827</v>
      </c>
      <c r="H835" s="90">
        <f t="shared" ca="1" si="25"/>
        <v>-9.3976897678607653E-3</v>
      </c>
    </row>
    <row r="836" spans="2:8" x14ac:dyDescent="0.3">
      <c r="B836" s="58">
        <f>'DATA HISTORICAL'!$B1481</f>
        <v>44690</v>
      </c>
      <c r="C836" s="60">
        <f>'DATA HISTORICAL'!$C1481</f>
        <v>6224.6</v>
      </c>
      <c r="D836" s="53">
        <f t="shared" si="24"/>
        <v>3.9276336628057476E-3</v>
      </c>
      <c r="E836" s="53">
        <v>1.7681243445227843E-2</v>
      </c>
      <c r="G836" s="90">
        <v>828</v>
      </c>
      <c r="H836" s="90">
        <f t="shared" ca="1" si="25"/>
        <v>-4.5193459835339142E-3</v>
      </c>
    </row>
    <row r="837" spans="2:8" x14ac:dyDescent="0.3">
      <c r="B837" s="58">
        <f>'DATA HISTORICAL'!$B1482</f>
        <v>44687</v>
      </c>
      <c r="C837" s="60">
        <f>'DATA HISTORICAL'!$C1482</f>
        <v>6200.2</v>
      </c>
      <c r="D837" s="53">
        <f t="shared" si="24"/>
        <v>-2.4770498468717678E-2</v>
      </c>
      <c r="E837" s="53">
        <v>1.7646242399571157E-2</v>
      </c>
      <c r="G837" s="90">
        <v>829</v>
      </c>
      <c r="H837" s="90">
        <f t="shared" ca="1" si="25"/>
        <v>1.0870262402371187E-2</v>
      </c>
    </row>
    <row r="838" spans="2:8" x14ac:dyDescent="0.3">
      <c r="B838" s="58">
        <f>'DATA HISTORICAL'!$B1483</f>
        <v>44686</v>
      </c>
      <c r="C838" s="60">
        <f>'DATA HISTORICAL'!$C1483</f>
        <v>6355.7</v>
      </c>
      <c r="D838" s="53">
        <f t="shared" si="24"/>
        <v>-2.5821362913728853E-2</v>
      </c>
      <c r="E838" s="53">
        <v>1.7618067370906702E-2</v>
      </c>
      <c r="G838" s="90">
        <v>830</v>
      </c>
      <c r="H838" s="90">
        <f t="shared" ca="1" si="25"/>
        <v>2.4262233993504981E-2</v>
      </c>
    </row>
    <row r="839" spans="2:8" x14ac:dyDescent="0.3">
      <c r="B839" s="58">
        <f>'DATA HISTORICAL'!$B1484</f>
        <v>44685</v>
      </c>
      <c r="C839" s="60">
        <f>'DATA HISTORICAL'!$C1484</f>
        <v>6521.95</v>
      </c>
      <c r="D839" s="53">
        <f t="shared" si="24"/>
        <v>-2.3794864765770522E-2</v>
      </c>
      <c r="E839" s="53">
        <v>1.7575542121377952E-2</v>
      </c>
      <c r="G839" s="90">
        <v>831</v>
      </c>
      <c r="H839" s="90">
        <f t="shared" ca="1" si="25"/>
        <v>1.6223371305935937E-2</v>
      </c>
    </row>
    <row r="840" spans="2:8" x14ac:dyDescent="0.3">
      <c r="B840" s="58">
        <f>'DATA HISTORICAL'!$B1485</f>
        <v>44683</v>
      </c>
      <c r="C840" s="60">
        <f>'DATA HISTORICAL'!$C1485</f>
        <v>6679</v>
      </c>
      <c r="D840" s="53">
        <f t="shared" si="24"/>
        <v>7.3257648659850426E-3</v>
      </c>
      <c r="E840" s="53">
        <v>1.755025395574536E-2</v>
      </c>
      <c r="G840" s="90">
        <v>832</v>
      </c>
      <c r="H840" s="90">
        <f t="shared" ca="1" si="25"/>
        <v>-6.9290424335216845E-3</v>
      </c>
    </row>
    <row r="841" spans="2:8" x14ac:dyDescent="0.3">
      <c r="B841" s="58">
        <f>'DATA HISTORICAL'!$B1486</f>
        <v>44680</v>
      </c>
      <c r="C841" s="60">
        <f>'DATA HISTORICAL'!$C1486</f>
        <v>6630.25</v>
      </c>
      <c r="D841" s="53">
        <f t="shared" ref="D841:D904" si="26">LN(C841/C842)</f>
        <v>2.0079721705336508E-3</v>
      </c>
      <c r="E841" s="53">
        <v>1.7535542227149137E-2</v>
      </c>
      <c r="G841" s="90">
        <v>833</v>
      </c>
      <c r="H841" s="90">
        <f t="shared" ref="H841:H904" ca="1" si="27">_xlfn.NORM.INV(RAND(),N$10,N$11)</f>
        <v>2.252318785087069E-2</v>
      </c>
    </row>
    <row r="842" spans="2:8" x14ac:dyDescent="0.3">
      <c r="B842" s="58">
        <f>'DATA HISTORICAL'!$B1487</f>
        <v>44679</v>
      </c>
      <c r="C842" s="60">
        <f>'DATA HISTORICAL'!$C1487</f>
        <v>6616.95</v>
      </c>
      <c r="D842" s="53">
        <f t="shared" si="26"/>
        <v>1.0406158285145614E-2</v>
      </c>
      <c r="E842" s="53">
        <v>1.7478788362576447E-2</v>
      </c>
      <c r="G842" s="90">
        <v>834</v>
      </c>
      <c r="H842" s="90">
        <f t="shared" ca="1" si="27"/>
        <v>-2.2554097629009458E-2</v>
      </c>
    </row>
    <row r="843" spans="2:8" x14ac:dyDescent="0.3">
      <c r="B843" s="58">
        <f>'DATA HISTORICAL'!$B1488</f>
        <v>44678</v>
      </c>
      <c r="C843" s="60">
        <f>'DATA HISTORICAL'!$C1488</f>
        <v>6548.45</v>
      </c>
      <c r="D843" s="53">
        <f t="shared" si="26"/>
        <v>-1.6921133709600807E-2</v>
      </c>
      <c r="E843" s="53">
        <v>1.7450067384693461E-2</v>
      </c>
      <c r="G843" s="90">
        <v>835</v>
      </c>
      <c r="H843" s="90">
        <f t="shared" ca="1" si="27"/>
        <v>2.9826166153740764E-2</v>
      </c>
    </row>
    <row r="844" spans="2:8" x14ac:dyDescent="0.3">
      <c r="B844" s="58">
        <f>'DATA HISTORICAL'!$B1489</f>
        <v>44677</v>
      </c>
      <c r="C844" s="60">
        <f>'DATA HISTORICAL'!$C1489</f>
        <v>6660.2</v>
      </c>
      <c r="D844" s="53">
        <f t="shared" si="26"/>
        <v>9.8301464897597862E-3</v>
      </c>
      <c r="E844" s="53">
        <v>1.7422523657255454E-2</v>
      </c>
      <c r="G844" s="90">
        <v>836</v>
      </c>
      <c r="H844" s="90">
        <f t="shared" ca="1" si="27"/>
        <v>-1.893037173152385E-3</v>
      </c>
    </row>
    <row r="845" spans="2:8" x14ac:dyDescent="0.3">
      <c r="B845" s="58">
        <f>'DATA HISTORICAL'!$B1490</f>
        <v>44676</v>
      </c>
      <c r="C845" s="60">
        <f>'DATA HISTORICAL'!$C1490</f>
        <v>6595.05</v>
      </c>
      <c r="D845" s="53">
        <f t="shared" si="26"/>
        <v>-2.2348680943200083E-2</v>
      </c>
      <c r="E845" s="53">
        <v>1.7400895712392506E-2</v>
      </c>
      <c r="G845" s="90">
        <v>837</v>
      </c>
      <c r="H845" s="90">
        <f t="shared" ca="1" si="27"/>
        <v>2.5013398128410268E-2</v>
      </c>
    </row>
    <row r="846" spans="2:8" x14ac:dyDescent="0.3">
      <c r="B846" s="58">
        <f>'DATA HISTORICAL'!$B1491</f>
        <v>44673</v>
      </c>
      <c r="C846" s="60">
        <f>'DATA HISTORICAL'!$C1491</f>
        <v>6744.1</v>
      </c>
      <c r="D846" s="53">
        <f t="shared" si="26"/>
        <v>-1.5069524205275459E-2</v>
      </c>
      <c r="E846" s="53">
        <v>1.7385050552129893E-2</v>
      </c>
      <c r="G846" s="90">
        <v>838</v>
      </c>
      <c r="H846" s="90">
        <f t="shared" ca="1" si="27"/>
        <v>1.8365766375937051E-2</v>
      </c>
    </row>
    <row r="847" spans="2:8" x14ac:dyDescent="0.3">
      <c r="B847" s="58">
        <f>'DATA HISTORICAL'!$B1492</f>
        <v>44672</v>
      </c>
      <c r="C847" s="60">
        <f>'DATA HISTORICAL'!$C1492</f>
        <v>6846.5</v>
      </c>
      <c r="D847" s="53">
        <f t="shared" si="26"/>
        <v>5.7640424278607343E-3</v>
      </c>
      <c r="E847" s="53">
        <v>1.7377526173453915E-2</v>
      </c>
      <c r="G847" s="90">
        <v>839</v>
      </c>
      <c r="H847" s="90">
        <f t="shared" ca="1" si="27"/>
        <v>3.2725558800816457E-2</v>
      </c>
    </row>
    <row r="848" spans="2:8" x14ac:dyDescent="0.3">
      <c r="B848" s="58">
        <f>'DATA HISTORICAL'!$B1493</f>
        <v>44671</v>
      </c>
      <c r="C848" s="60">
        <f>'DATA HISTORICAL'!$C1493</f>
        <v>6807.15</v>
      </c>
      <c r="D848" s="53">
        <f t="shared" si="26"/>
        <v>3.3072898614750698E-2</v>
      </c>
      <c r="E848" s="53">
        <v>1.7377382584932162E-2</v>
      </c>
      <c r="G848" s="90">
        <v>840</v>
      </c>
      <c r="H848" s="90">
        <f t="shared" ca="1" si="27"/>
        <v>-1.0426853706087284E-3</v>
      </c>
    </row>
    <row r="849" spans="2:8" x14ac:dyDescent="0.3">
      <c r="B849" s="58">
        <f>'DATA HISTORICAL'!$B1494</f>
        <v>44670</v>
      </c>
      <c r="C849" s="60">
        <f>'DATA HISTORICAL'!$C1494</f>
        <v>6585.7</v>
      </c>
      <c r="D849" s="53">
        <f t="shared" si="26"/>
        <v>-8.1510889623876027E-3</v>
      </c>
      <c r="E849" s="53">
        <v>1.7369626672775435E-2</v>
      </c>
      <c r="G849" s="90">
        <v>841</v>
      </c>
      <c r="H849" s="90">
        <f t="shared" ca="1" si="27"/>
        <v>4.7883544771631564E-2</v>
      </c>
    </row>
    <row r="850" spans="2:8" x14ac:dyDescent="0.3">
      <c r="B850" s="58">
        <f>'DATA HISTORICAL'!$B1495</f>
        <v>44669</v>
      </c>
      <c r="C850" s="60">
        <f>'DATA HISTORICAL'!$C1495</f>
        <v>6639.6</v>
      </c>
      <c r="D850" s="53">
        <f t="shared" si="26"/>
        <v>-1.3530852339616253E-2</v>
      </c>
      <c r="E850" s="53">
        <v>1.7334973044040941E-2</v>
      </c>
      <c r="G850" s="90">
        <v>842</v>
      </c>
      <c r="H850" s="90">
        <f t="shared" ca="1" si="27"/>
        <v>3.4110820169520252E-2</v>
      </c>
    </row>
    <row r="851" spans="2:8" x14ac:dyDescent="0.3">
      <c r="B851" s="58">
        <f>'DATA HISTORICAL'!$B1496</f>
        <v>44664</v>
      </c>
      <c r="C851" s="60">
        <f>'DATA HISTORICAL'!$C1496</f>
        <v>6730.05</v>
      </c>
      <c r="D851" s="53">
        <f t="shared" si="26"/>
        <v>-6.7379712330452729E-3</v>
      </c>
      <c r="E851" s="53">
        <v>1.7256026204223437E-2</v>
      </c>
      <c r="G851" s="90">
        <v>843</v>
      </c>
      <c r="H851" s="90">
        <f t="shared" ca="1" si="27"/>
        <v>1.9822907254247062E-2</v>
      </c>
    </row>
    <row r="852" spans="2:8" x14ac:dyDescent="0.3">
      <c r="B852" s="58">
        <f>'DATA HISTORICAL'!$B1497</f>
        <v>44663</v>
      </c>
      <c r="C852" s="60">
        <f>'DATA HISTORICAL'!$C1497</f>
        <v>6775.55</v>
      </c>
      <c r="D852" s="53">
        <f t="shared" si="26"/>
        <v>-1.2204665108459137E-2</v>
      </c>
      <c r="E852" s="53">
        <v>1.7245887813709015E-2</v>
      </c>
      <c r="G852" s="90">
        <v>844</v>
      </c>
      <c r="H852" s="90">
        <f t="shared" ca="1" si="27"/>
        <v>4.85250845151277E-3</v>
      </c>
    </row>
    <row r="853" spans="2:8" x14ac:dyDescent="0.3">
      <c r="B853" s="58">
        <f>'DATA HISTORICAL'!$B1498</f>
        <v>44662</v>
      </c>
      <c r="C853" s="60">
        <f>'DATA HISTORICAL'!$C1498</f>
        <v>6858.75</v>
      </c>
      <c r="D853" s="53">
        <f t="shared" si="26"/>
        <v>3.1761704593911335E-3</v>
      </c>
      <c r="E853" s="53">
        <v>1.7200490929607799E-2</v>
      </c>
      <c r="G853" s="90">
        <v>845</v>
      </c>
      <c r="H853" s="90">
        <f t="shared" ca="1" si="27"/>
        <v>2.2910742392154494E-2</v>
      </c>
    </row>
    <row r="854" spans="2:8" x14ac:dyDescent="0.3">
      <c r="B854" s="58">
        <f>'DATA HISTORICAL'!$B1499</f>
        <v>44659</v>
      </c>
      <c r="C854" s="60">
        <f>'DATA HISTORICAL'!$C1499</f>
        <v>6837</v>
      </c>
      <c r="D854" s="53">
        <f t="shared" si="26"/>
        <v>1.4786270210058418E-2</v>
      </c>
      <c r="E854" s="53">
        <v>1.7112395963724322E-2</v>
      </c>
      <c r="G854" s="90">
        <v>846</v>
      </c>
      <c r="H854" s="90">
        <f t="shared" ca="1" si="27"/>
        <v>1.7543994646597443E-2</v>
      </c>
    </row>
    <row r="855" spans="2:8" x14ac:dyDescent="0.3">
      <c r="B855" s="58">
        <f>'DATA HISTORICAL'!$B1500</f>
        <v>44658</v>
      </c>
      <c r="C855" s="60">
        <f>'DATA HISTORICAL'!$C1500</f>
        <v>6736.65</v>
      </c>
      <c r="D855" s="53">
        <f t="shared" si="26"/>
        <v>7.4223620959287811E-5</v>
      </c>
      <c r="E855" s="53">
        <v>1.706922839935043E-2</v>
      </c>
      <c r="G855" s="90">
        <v>847</v>
      </c>
      <c r="H855" s="90">
        <f t="shared" ca="1" si="27"/>
        <v>-1.1145972095984603E-2</v>
      </c>
    </row>
    <row r="856" spans="2:8" x14ac:dyDescent="0.3">
      <c r="B856" s="58">
        <f>'DATA HISTORICAL'!$B1501</f>
        <v>44657</v>
      </c>
      <c r="C856" s="60">
        <f>'DATA HISTORICAL'!$C1501</f>
        <v>6736.15</v>
      </c>
      <c r="D856" s="53">
        <f t="shared" si="26"/>
        <v>1.4856305147334758E-3</v>
      </c>
      <c r="E856" s="53">
        <v>1.7063704504257003E-2</v>
      </c>
      <c r="G856" s="90">
        <v>848</v>
      </c>
      <c r="H856" s="90">
        <f t="shared" ca="1" si="27"/>
        <v>-8.5838007337323274E-3</v>
      </c>
    </row>
    <row r="857" spans="2:8" x14ac:dyDescent="0.3">
      <c r="B857" s="58">
        <f>'DATA HISTORICAL'!$B1502</f>
        <v>44656</v>
      </c>
      <c r="C857" s="60">
        <f>'DATA HISTORICAL'!$C1502</f>
        <v>6726.15</v>
      </c>
      <c r="D857" s="53">
        <f t="shared" si="26"/>
        <v>-2.6354780084576006E-3</v>
      </c>
      <c r="E857" s="53">
        <v>1.7035622229808312E-2</v>
      </c>
      <c r="G857" s="90">
        <v>849</v>
      </c>
      <c r="H857" s="90">
        <f t="shared" ca="1" si="27"/>
        <v>3.4188282890319746E-3</v>
      </c>
    </row>
    <row r="858" spans="2:8" x14ac:dyDescent="0.3">
      <c r="B858" s="58">
        <f>'DATA HISTORICAL'!$B1503</f>
        <v>44655</v>
      </c>
      <c r="C858" s="60">
        <f>'DATA HISTORICAL'!$C1503</f>
        <v>6743.9</v>
      </c>
      <c r="D858" s="53">
        <f t="shared" si="26"/>
        <v>1.0936077295753879E-2</v>
      </c>
      <c r="E858" s="53">
        <v>1.7008630668663042E-2</v>
      </c>
      <c r="G858" s="90">
        <v>850</v>
      </c>
      <c r="H858" s="90">
        <f t="shared" ca="1" si="27"/>
        <v>3.2167182170140023E-2</v>
      </c>
    </row>
    <row r="859" spans="2:8" x14ac:dyDescent="0.3">
      <c r="B859" s="58">
        <f>'DATA HISTORICAL'!$B1504</f>
        <v>44652</v>
      </c>
      <c r="C859" s="60">
        <f>'DATA HISTORICAL'!$C1504</f>
        <v>6670.55</v>
      </c>
      <c r="D859" s="53">
        <f t="shared" si="26"/>
        <v>1.0284242124486486E-2</v>
      </c>
      <c r="E859" s="53">
        <v>1.7007828099832218E-2</v>
      </c>
      <c r="G859" s="90">
        <v>851</v>
      </c>
      <c r="H859" s="90">
        <f t="shared" ca="1" si="27"/>
        <v>1.1207953463226211E-2</v>
      </c>
    </row>
    <row r="860" spans="2:8" x14ac:dyDescent="0.3">
      <c r="B860" s="58">
        <f>'DATA HISTORICAL'!$B1505</f>
        <v>44651</v>
      </c>
      <c r="C860" s="60">
        <f>'DATA HISTORICAL'!$C1505</f>
        <v>6602.3</v>
      </c>
      <c r="D860" s="53">
        <f t="shared" si="26"/>
        <v>-6.1004341700902041E-3</v>
      </c>
      <c r="E860" s="53">
        <v>1.6996857681152944E-2</v>
      </c>
      <c r="G860" s="90">
        <v>852</v>
      </c>
      <c r="H860" s="90">
        <f t="shared" ca="1" si="27"/>
        <v>2.9633142033371179E-2</v>
      </c>
    </row>
    <row r="861" spans="2:8" x14ac:dyDescent="0.3">
      <c r="B861" s="58">
        <f>'DATA HISTORICAL'!$B1506</f>
        <v>44650</v>
      </c>
      <c r="C861" s="60">
        <f>'DATA HISTORICAL'!$C1506</f>
        <v>6642.7</v>
      </c>
      <c r="D861" s="53">
        <f t="shared" si="26"/>
        <v>1.7632373466723417E-2</v>
      </c>
      <c r="E861" s="53">
        <v>1.6978265312768331E-2</v>
      </c>
      <c r="G861" s="90">
        <v>853</v>
      </c>
      <c r="H861" s="90">
        <f t="shared" ca="1" si="27"/>
        <v>2.2701603128004136E-2</v>
      </c>
    </row>
    <row r="862" spans="2:8" x14ac:dyDescent="0.3">
      <c r="B862" s="58">
        <f>'DATA HISTORICAL'!$B1507</f>
        <v>44649</v>
      </c>
      <c r="C862" s="60">
        <f>'DATA HISTORICAL'!$C1507</f>
        <v>6526.6</v>
      </c>
      <c r="D862" s="53">
        <f t="shared" si="26"/>
        <v>2.5865618191581955E-2</v>
      </c>
      <c r="E862" s="53">
        <v>1.6936884369413156E-2</v>
      </c>
      <c r="G862" s="90">
        <v>854</v>
      </c>
      <c r="H862" s="90">
        <f t="shared" ca="1" si="27"/>
        <v>4.7151598956104213E-2</v>
      </c>
    </row>
    <row r="863" spans="2:8" x14ac:dyDescent="0.3">
      <c r="B863" s="58">
        <f>'DATA HISTORICAL'!$B1508</f>
        <v>44648</v>
      </c>
      <c r="C863" s="60">
        <f>'DATA HISTORICAL'!$C1508</f>
        <v>6359.95</v>
      </c>
      <c r="D863" s="53">
        <f t="shared" si="26"/>
        <v>7.4570384180136689E-3</v>
      </c>
      <c r="E863" s="53">
        <v>1.6916287901843175E-2</v>
      </c>
      <c r="G863" s="90">
        <v>855</v>
      </c>
      <c r="H863" s="90">
        <f t="shared" ca="1" si="27"/>
        <v>1.4794816826453068E-2</v>
      </c>
    </row>
    <row r="864" spans="2:8" x14ac:dyDescent="0.3">
      <c r="B864" s="58">
        <f>'DATA HISTORICAL'!$B1509</f>
        <v>44645</v>
      </c>
      <c r="C864" s="60">
        <f>'DATA HISTORICAL'!$C1509</f>
        <v>6312.7</v>
      </c>
      <c r="D864" s="53">
        <f t="shared" si="26"/>
        <v>-6.1826317885395297E-3</v>
      </c>
      <c r="E864" s="53">
        <v>1.690795664970067E-2</v>
      </c>
      <c r="G864" s="90">
        <v>856</v>
      </c>
      <c r="H864" s="90">
        <f t="shared" ca="1" si="27"/>
        <v>2.4853945354631587E-2</v>
      </c>
    </row>
    <row r="865" spans="2:8" x14ac:dyDescent="0.3">
      <c r="B865" s="58">
        <f>'DATA HISTORICAL'!$B1510</f>
        <v>44644</v>
      </c>
      <c r="C865" s="60">
        <f>'DATA HISTORICAL'!$C1510</f>
        <v>6351.85</v>
      </c>
      <c r="D865" s="53">
        <f t="shared" si="26"/>
        <v>1.8727927711288304E-2</v>
      </c>
      <c r="E865" s="53">
        <v>1.6902118982989559E-2</v>
      </c>
      <c r="G865" s="90">
        <v>857</v>
      </c>
      <c r="H865" s="90">
        <f t="shared" ca="1" si="27"/>
        <v>1.2657651792586017E-2</v>
      </c>
    </row>
    <row r="866" spans="2:8" x14ac:dyDescent="0.3">
      <c r="B866" s="58">
        <f>'DATA HISTORICAL'!$B1511</f>
        <v>44643</v>
      </c>
      <c r="C866" s="60">
        <f>'DATA HISTORICAL'!$C1511</f>
        <v>6234</v>
      </c>
      <c r="D866" s="53">
        <f t="shared" si="26"/>
        <v>3.599669632248247E-3</v>
      </c>
      <c r="E866" s="53">
        <v>1.6860659491469705E-2</v>
      </c>
      <c r="G866" s="90">
        <v>858</v>
      </c>
      <c r="H866" s="90">
        <f t="shared" ca="1" si="27"/>
        <v>1.7162216142876829E-2</v>
      </c>
    </row>
    <row r="867" spans="2:8" x14ac:dyDescent="0.3">
      <c r="B867" s="58">
        <f>'DATA HISTORICAL'!$B1512</f>
        <v>44642</v>
      </c>
      <c r="C867" s="60">
        <f>'DATA HISTORICAL'!$C1512</f>
        <v>6211.6</v>
      </c>
      <c r="D867" s="53">
        <f t="shared" si="26"/>
        <v>3.281506792586702E-3</v>
      </c>
      <c r="E867" s="53">
        <v>1.6852119421563075E-2</v>
      </c>
      <c r="G867" s="90">
        <v>859</v>
      </c>
      <c r="H867" s="90">
        <f t="shared" ca="1" si="27"/>
        <v>2.28614134986794E-2</v>
      </c>
    </row>
    <row r="868" spans="2:8" x14ac:dyDescent="0.3">
      <c r="B868" s="58">
        <f>'DATA HISTORICAL'!$B1513</f>
        <v>44641</v>
      </c>
      <c r="C868" s="60">
        <f>'DATA HISTORICAL'!$C1513</f>
        <v>6191.25</v>
      </c>
      <c r="D868" s="53">
        <f t="shared" si="26"/>
        <v>-2.902745416370893E-2</v>
      </c>
      <c r="E868" s="53">
        <v>1.679127886872217E-2</v>
      </c>
      <c r="G868" s="90">
        <v>860</v>
      </c>
      <c r="H868" s="90">
        <f t="shared" ca="1" si="27"/>
        <v>2.468350842956404E-2</v>
      </c>
    </row>
    <row r="869" spans="2:8" x14ac:dyDescent="0.3">
      <c r="B869" s="58">
        <f>'DATA HISTORICAL'!$B1514</f>
        <v>44637</v>
      </c>
      <c r="C869" s="60">
        <f>'DATA HISTORICAL'!$C1514</f>
        <v>6373.6</v>
      </c>
      <c r="D869" s="53">
        <f t="shared" si="26"/>
        <v>1.0678755999987015E-2</v>
      </c>
      <c r="E869" s="53">
        <v>1.6777814791101315E-2</v>
      </c>
      <c r="G869" s="90">
        <v>861</v>
      </c>
      <c r="H869" s="90">
        <f t="shared" ca="1" si="27"/>
        <v>-1.2521025602289983E-3</v>
      </c>
    </row>
    <row r="870" spans="2:8" x14ac:dyDescent="0.3">
      <c r="B870" s="58">
        <f>'DATA HISTORICAL'!$B1515</f>
        <v>44636</v>
      </c>
      <c r="C870" s="60">
        <f>'DATA HISTORICAL'!$C1515</f>
        <v>6305.9</v>
      </c>
      <c r="D870" s="53">
        <f t="shared" si="26"/>
        <v>4.6190824121738749E-2</v>
      </c>
      <c r="E870" s="53">
        <v>1.6724686904594655E-2</v>
      </c>
      <c r="G870" s="90">
        <v>862</v>
      </c>
      <c r="H870" s="90">
        <f t="shared" ca="1" si="27"/>
        <v>1.7990098600316876E-2</v>
      </c>
    </row>
    <row r="871" spans="2:8" x14ac:dyDescent="0.3">
      <c r="B871" s="58">
        <f>'DATA HISTORICAL'!$B1516</f>
        <v>44635</v>
      </c>
      <c r="C871" s="60">
        <f>'DATA HISTORICAL'!$C1516</f>
        <v>6021.25</v>
      </c>
      <c r="D871" s="53">
        <f t="shared" si="26"/>
        <v>-2.4300945429821252E-3</v>
      </c>
      <c r="E871" s="53">
        <v>1.6698560663555954E-2</v>
      </c>
      <c r="G871" s="90">
        <v>863</v>
      </c>
      <c r="H871" s="90">
        <f t="shared" ca="1" si="27"/>
        <v>1.0009888505019972E-2</v>
      </c>
    </row>
    <row r="872" spans="2:8" x14ac:dyDescent="0.3">
      <c r="B872" s="58">
        <f>'DATA HISTORICAL'!$B1517</f>
        <v>44634</v>
      </c>
      <c r="C872" s="60">
        <f>'DATA HISTORICAL'!$C1517</f>
        <v>6035.9</v>
      </c>
      <c r="D872" s="53">
        <f t="shared" si="26"/>
        <v>2.4716150229648791E-3</v>
      </c>
      <c r="E872" s="53">
        <v>1.6693089415404247E-2</v>
      </c>
      <c r="G872" s="90">
        <v>864</v>
      </c>
      <c r="H872" s="90">
        <f t="shared" ca="1" si="27"/>
        <v>-2.9926974807635313E-3</v>
      </c>
    </row>
    <row r="873" spans="2:8" x14ac:dyDescent="0.3">
      <c r="B873" s="58">
        <f>'DATA HISTORICAL'!$B1518</f>
        <v>44631</v>
      </c>
      <c r="C873" s="60">
        <f>'DATA HISTORICAL'!$C1518</f>
        <v>6021</v>
      </c>
      <c r="D873" s="53">
        <f t="shared" si="26"/>
        <v>-5.2263123627967192E-3</v>
      </c>
      <c r="E873" s="53">
        <v>1.6684860251593658E-2</v>
      </c>
      <c r="G873" s="90">
        <v>865</v>
      </c>
      <c r="H873" s="90">
        <f t="shared" ca="1" si="27"/>
        <v>-2.6621677947756755E-2</v>
      </c>
    </row>
    <row r="874" spans="2:8" x14ac:dyDescent="0.3">
      <c r="B874" s="58">
        <f>'DATA HISTORICAL'!$B1519</f>
        <v>44630</v>
      </c>
      <c r="C874" s="60">
        <f>'DATA HISTORICAL'!$C1519</f>
        <v>6052.55</v>
      </c>
      <c r="D874" s="53">
        <f t="shared" si="26"/>
        <v>5.8327077760962015E-3</v>
      </c>
      <c r="E874" s="53">
        <v>1.6639944458095524E-2</v>
      </c>
      <c r="G874" s="90">
        <v>866</v>
      </c>
      <c r="H874" s="90">
        <f t="shared" ca="1" si="27"/>
        <v>-1.7042205904865968E-2</v>
      </c>
    </row>
    <row r="875" spans="2:8" x14ac:dyDescent="0.3">
      <c r="B875" s="58">
        <f>'DATA HISTORICAL'!$B1520</f>
        <v>44629</v>
      </c>
      <c r="C875" s="60">
        <f>'DATA HISTORICAL'!$C1520</f>
        <v>6017.35</v>
      </c>
      <c r="D875" s="53">
        <f t="shared" si="26"/>
        <v>3.1038371007649994E-2</v>
      </c>
      <c r="E875" s="53">
        <v>1.6621832599215416E-2</v>
      </c>
      <c r="G875" s="90">
        <v>867</v>
      </c>
      <c r="H875" s="90">
        <f t="shared" ca="1" si="27"/>
        <v>-1.6561708522974613E-2</v>
      </c>
    </row>
    <row r="876" spans="2:8" x14ac:dyDescent="0.3">
      <c r="B876" s="58">
        <f>'DATA HISTORICAL'!$B1521</f>
        <v>44628</v>
      </c>
      <c r="C876" s="60">
        <f>'DATA HISTORICAL'!$C1521</f>
        <v>5833.45</v>
      </c>
      <c r="D876" s="53">
        <f t="shared" si="26"/>
        <v>2.3475806122094517E-2</v>
      </c>
      <c r="E876" s="53">
        <v>1.6608259006571587E-2</v>
      </c>
      <c r="G876" s="90">
        <v>868</v>
      </c>
      <c r="H876" s="90">
        <f t="shared" ca="1" si="27"/>
        <v>-8.1196980498793314E-3</v>
      </c>
    </row>
    <row r="877" spans="2:8" x14ac:dyDescent="0.3">
      <c r="B877" s="58">
        <f>'DATA HISTORICAL'!$B1522</f>
        <v>44627</v>
      </c>
      <c r="C877" s="60">
        <f>'DATA HISTORICAL'!$C1522</f>
        <v>5698.1</v>
      </c>
      <c r="D877" s="53">
        <f t="shared" si="26"/>
        <v>-5.9975071650959215E-2</v>
      </c>
      <c r="E877" s="53">
        <v>1.6605384295753964E-2</v>
      </c>
      <c r="G877" s="90">
        <v>869</v>
      </c>
      <c r="H877" s="90">
        <f t="shared" ca="1" si="27"/>
        <v>2.8741659991433754E-2</v>
      </c>
    </row>
    <row r="878" spans="2:8" x14ac:dyDescent="0.3">
      <c r="B878" s="58">
        <f>'DATA HISTORICAL'!$B1523</f>
        <v>44624</v>
      </c>
      <c r="C878" s="60">
        <f>'DATA HISTORICAL'!$C1523</f>
        <v>6050.3</v>
      </c>
      <c r="D878" s="53">
        <f t="shared" si="26"/>
        <v>1.1570239622117642E-2</v>
      </c>
      <c r="E878" s="53">
        <v>1.6591752043017386E-2</v>
      </c>
      <c r="G878" s="90">
        <v>870</v>
      </c>
      <c r="H878" s="90">
        <f t="shared" ca="1" si="27"/>
        <v>1.4951327385664386E-2</v>
      </c>
    </row>
    <row r="879" spans="2:8" x14ac:dyDescent="0.3">
      <c r="B879" s="58">
        <f>'DATA HISTORICAL'!$B1524</f>
        <v>44623</v>
      </c>
      <c r="C879" s="60">
        <f>'DATA HISTORICAL'!$C1524</f>
        <v>5980.7</v>
      </c>
      <c r="D879" s="53">
        <f t="shared" si="26"/>
        <v>-6.765880473969782E-2</v>
      </c>
      <c r="E879" s="53">
        <v>1.6586149245442137E-2</v>
      </c>
      <c r="G879" s="90">
        <v>871</v>
      </c>
      <c r="H879" s="90">
        <f t="shared" ca="1" si="27"/>
        <v>-1.9817865996902457E-2</v>
      </c>
    </row>
    <row r="880" spans="2:8" x14ac:dyDescent="0.3">
      <c r="B880" s="58">
        <f>'DATA HISTORICAL'!$B1525</f>
        <v>44622</v>
      </c>
      <c r="C880" s="60">
        <f>'DATA HISTORICAL'!$C1525</f>
        <v>6399.35</v>
      </c>
      <c r="D880" s="53">
        <f t="shared" si="26"/>
        <v>-2.5997723991456768E-2</v>
      </c>
      <c r="E880" s="53">
        <v>1.6585352519686583E-2</v>
      </c>
      <c r="G880" s="90">
        <v>872</v>
      </c>
      <c r="H880" s="90">
        <f t="shared" ca="1" si="27"/>
        <v>8.558167671783648E-4</v>
      </c>
    </row>
    <row r="881" spans="2:8" x14ac:dyDescent="0.3">
      <c r="B881" s="58">
        <f>'DATA HISTORICAL'!$B1526</f>
        <v>44620</v>
      </c>
      <c r="C881" s="60">
        <f>'DATA HISTORICAL'!$C1526</f>
        <v>6567.9</v>
      </c>
      <c r="D881" s="53">
        <f t="shared" si="26"/>
        <v>-3.5773682368711753E-4</v>
      </c>
      <c r="E881" s="53">
        <v>1.6574072314865358E-2</v>
      </c>
      <c r="G881" s="90">
        <v>873</v>
      </c>
      <c r="H881" s="90">
        <f t="shared" ca="1" si="27"/>
        <v>-2.5442473639134964E-2</v>
      </c>
    </row>
    <row r="882" spans="2:8" x14ac:dyDescent="0.3">
      <c r="B882" s="58">
        <f>'DATA HISTORICAL'!$B1527</f>
        <v>44617</v>
      </c>
      <c r="C882" s="60">
        <f>'DATA HISTORICAL'!$C1527</f>
        <v>6570.25</v>
      </c>
      <c r="D882" s="53">
        <f t="shared" si="26"/>
        <v>2.3375227992531181E-2</v>
      </c>
      <c r="E882" s="53">
        <v>1.6524115780652902E-2</v>
      </c>
      <c r="G882" s="90">
        <v>874</v>
      </c>
      <c r="H882" s="90">
        <f t="shared" ca="1" si="27"/>
        <v>-8.3270653137177963E-3</v>
      </c>
    </row>
    <row r="883" spans="2:8" x14ac:dyDescent="0.3">
      <c r="B883" s="58">
        <f>'DATA HISTORICAL'!$B1528</f>
        <v>44616</v>
      </c>
      <c r="C883" s="60">
        <f>'DATA HISTORICAL'!$C1528</f>
        <v>6418.45</v>
      </c>
      <c r="D883" s="53">
        <f t="shared" si="26"/>
        <v>-5.4829944511885907E-2</v>
      </c>
      <c r="E883" s="53">
        <v>1.650059148193616E-2</v>
      </c>
      <c r="G883" s="90">
        <v>875</v>
      </c>
      <c r="H883" s="90">
        <f t="shared" ca="1" si="27"/>
        <v>-7.3665453374281362E-5</v>
      </c>
    </row>
    <row r="884" spans="2:8" x14ac:dyDescent="0.3">
      <c r="B884" s="58">
        <f>'DATA HISTORICAL'!$B1529</f>
        <v>44615</v>
      </c>
      <c r="C884" s="60">
        <f>'DATA HISTORICAL'!$C1529</f>
        <v>6780.2</v>
      </c>
      <c r="D884" s="53">
        <f t="shared" si="26"/>
        <v>4.5307640468542727E-3</v>
      </c>
      <c r="E884" s="53">
        <v>1.6482260837268295E-2</v>
      </c>
      <c r="G884" s="90">
        <v>876</v>
      </c>
      <c r="H884" s="90">
        <f t="shared" ca="1" si="27"/>
        <v>-2.3834544761353032E-2</v>
      </c>
    </row>
    <row r="885" spans="2:8" x14ac:dyDescent="0.3">
      <c r="B885" s="58">
        <f>'DATA HISTORICAL'!$B1530</f>
        <v>44614</v>
      </c>
      <c r="C885" s="60">
        <f>'DATA HISTORICAL'!$C1530</f>
        <v>6749.55</v>
      </c>
      <c r="D885" s="53">
        <f t="shared" si="26"/>
        <v>-9.4227638130125243E-3</v>
      </c>
      <c r="E885" s="53">
        <v>1.6477280701415256E-2</v>
      </c>
      <c r="G885" s="90">
        <v>877</v>
      </c>
      <c r="H885" s="90">
        <f t="shared" ca="1" si="27"/>
        <v>1.1658804730525513E-2</v>
      </c>
    </row>
    <row r="886" spans="2:8" x14ac:dyDescent="0.3">
      <c r="B886" s="58">
        <f>'DATA HISTORICAL'!$B1531</f>
        <v>44613</v>
      </c>
      <c r="C886" s="60">
        <f>'DATA HISTORICAL'!$C1531</f>
        <v>6813.45</v>
      </c>
      <c r="D886" s="53">
        <f t="shared" si="26"/>
        <v>-1.5025719599466209E-2</v>
      </c>
      <c r="E886" s="53">
        <v>1.6477241797595719E-2</v>
      </c>
      <c r="G886" s="90">
        <v>878</v>
      </c>
      <c r="H886" s="90">
        <f t="shared" ca="1" si="27"/>
        <v>2.0766127966689838E-2</v>
      </c>
    </row>
    <row r="887" spans="2:8" x14ac:dyDescent="0.3">
      <c r="B887" s="58">
        <f>'DATA HISTORICAL'!$B1532</f>
        <v>44610</v>
      </c>
      <c r="C887" s="60">
        <f>'DATA HISTORICAL'!$C1532</f>
        <v>6916.6</v>
      </c>
      <c r="D887" s="53">
        <f t="shared" si="26"/>
        <v>-1.8528664261129538E-2</v>
      </c>
      <c r="E887" s="53">
        <v>1.6474583537878049E-2</v>
      </c>
      <c r="G887" s="90">
        <v>879</v>
      </c>
      <c r="H887" s="90">
        <f t="shared" ca="1" si="27"/>
        <v>-4.6607130960539186E-4</v>
      </c>
    </row>
    <row r="888" spans="2:8" x14ac:dyDescent="0.3">
      <c r="B888" s="58">
        <f>'DATA HISTORICAL'!$B1533</f>
        <v>44609</v>
      </c>
      <c r="C888" s="60">
        <f>'DATA HISTORICAL'!$C1533</f>
        <v>7045.95</v>
      </c>
      <c r="D888" s="53">
        <f t="shared" si="26"/>
        <v>-1.8693184311624412E-2</v>
      </c>
      <c r="E888" s="53">
        <v>1.6470862725410654E-2</v>
      </c>
      <c r="G888" s="90">
        <v>880</v>
      </c>
      <c r="H888" s="90">
        <f t="shared" ca="1" si="27"/>
        <v>-2.1335296887376783E-2</v>
      </c>
    </row>
    <row r="889" spans="2:8" x14ac:dyDescent="0.3">
      <c r="B889" s="58">
        <f>'DATA HISTORICAL'!$B1534</f>
        <v>44608</v>
      </c>
      <c r="C889" s="60">
        <f>'DATA HISTORICAL'!$C1534</f>
        <v>7178.9</v>
      </c>
      <c r="D889" s="53">
        <f t="shared" si="26"/>
        <v>-1.5398529456526639E-2</v>
      </c>
      <c r="E889" s="53">
        <v>1.6465304224162911E-2</v>
      </c>
      <c r="G889" s="90">
        <v>881</v>
      </c>
      <c r="H889" s="90">
        <f t="shared" ca="1" si="27"/>
        <v>6.483047157591809E-3</v>
      </c>
    </row>
    <row r="890" spans="2:8" x14ac:dyDescent="0.3">
      <c r="B890" s="58">
        <f>'DATA HISTORICAL'!$B1535</f>
        <v>44607</v>
      </c>
      <c r="C890" s="60">
        <f>'DATA HISTORICAL'!$C1535</f>
        <v>7290.3</v>
      </c>
      <c r="D890" s="53">
        <f t="shared" si="26"/>
        <v>2.7986304301854208E-2</v>
      </c>
      <c r="E890" s="53">
        <v>1.6462555359754338E-2</v>
      </c>
      <c r="G890" s="90">
        <v>882</v>
      </c>
      <c r="H890" s="90">
        <f t="shared" ca="1" si="27"/>
        <v>-1.9774747206705492E-2</v>
      </c>
    </row>
    <row r="891" spans="2:8" x14ac:dyDescent="0.3">
      <c r="B891" s="58">
        <f>'DATA HISTORICAL'!$B1536</f>
        <v>44606</v>
      </c>
      <c r="C891" s="60">
        <f>'DATA HISTORICAL'!$C1536</f>
        <v>7089.1</v>
      </c>
      <c r="D891" s="53">
        <f t="shared" si="26"/>
        <v>-3.2543617220956639E-2</v>
      </c>
      <c r="E891" s="53">
        <v>1.6451313364159028E-2</v>
      </c>
      <c r="G891" s="90">
        <v>883</v>
      </c>
      <c r="H891" s="90">
        <f t="shared" ca="1" si="27"/>
        <v>-5.0751879629938731E-3</v>
      </c>
    </row>
    <row r="892" spans="2:8" x14ac:dyDescent="0.3">
      <c r="B892" s="58">
        <f>'DATA HISTORICAL'!$B1537</f>
        <v>44603</v>
      </c>
      <c r="C892" s="60">
        <f>'DATA HISTORICAL'!$C1537</f>
        <v>7323.6</v>
      </c>
      <c r="D892" s="53">
        <f t="shared" si="26"/>
        <v>-2.0395217051119321E-2</v>
      </c>
      <c r="E892" s="53">
        <v>1.6398885435342268E-2</v>
      </c>
      <c r="G892" s="90">
        <v>884</v>
      </c>
      <c r="H892" s="90">
        <f t="shared" ca="1" si="27"/>
        <v>2.8082340044187883E-2</v>
      </c>
    </row>
    <row r="893" spans="2:8" x14ac:dyDescent="0.3">
      <c r="B893" s="58">
        <f>'DATA HISTORICAL'!$B1538</f>
        <v>44602</v>
      </c>
      <c r="C893" s="60">
        <f>'DATA HISTORICAL'!$C1538</f>
        <v>7474.5</v>
      </c>
      <c r="D893" s="53">
        <f t="shared" si="26"/>
        <v>-3.9456473872995857E-3</v>
      </c>
      <c r="E893" s="53">
        <v>1.6396774609778959E-2</v>
      </c>
      <c r="G893" s="90">
        <v>885</v>
      </c>
      <c r="H893" s="90">
        <f t="shared" ca="1" si="27"/>
        <v>1.8679009882574388E-2</v>
      </c>
    </row>
    <row r="894" spans="2:8" x14ac:dyDescent="0.3">
      <c r="B894" s="58">
        <f>'DATA HISTORICAL'!$B1539</f>
        <v>44601</v>
      </c>
      <c r="C894" s="60">
        <f>'DATA HISTORICAL'!$C1539</f>
        <v>7504.05</v>
      </c>
      <c r="D894" s="53">
        <f t="shared" si="26"/>
        <v>1.1081893463835885E-2</v>
      </c>
      <c r="E894" s="53">
        <v>1.6392233847759646E-2</v>
      </c>
      <c r="G894" s="90">
        <v>886</v>
      </c>
      <c r="H894" s="90">
        <f t="shared" ca="1" si="27"/>
        <v>1.8426375305211566E-2</v>
      </c>
    </row>
    <row r="895" spans="2:8" x14ac:dyDescent="0.3">
      <c r="B895" s="58">
        <f>'DATA HISTORICAL'!$B1540</f>
        <v>44600</v>
      </c>
      <c r="C895" s="60">
        <f>'DATA HISTORICAL'!$C1540</f>
        <v>7421.35</v>
      </c>
      <c r="D895" s="53">
        <f t="shared" si="26"/>
        <v>-6.4469993022604538E-3</v>
      </c>
      <c r="E895" s="53">
        <v>1.6389611428985273E-2</v>
      </c>
      <c r="G895" s="90">
        <v>887</v>
      </c>
      <c r="H895" s="90">
        <f t="shared" ca="1" si="27"/>
        <v>9.1326914560109392E-3</v>
      </c>
    </row>
    <row r="896" spans="2:8" x14ac:dyDescent="0.3">
      <c r="B896" s="58">
        <f>'DATA HISTORICAL'!$B1541</f>
        <v>44599</v>
      </c>
      <c r="C896" s="60">
        <f>'DATA HISTORICAL'!$C1541</f>
        <v>7469.35</v>
      </c>
      <c r="D896" s="53">
        <f t="shared" si="26"/>
        <v>3.9841759054655397E-3</v>
      </c>
      <c r="E896" s="53">
        <v>1.6379960201153433E-2</v>
      </c>
      <c r="G896" s="90">
        <v>888</v>
      </c>
      <c r="H896" s="90">
        <f t="shared" ca="1" si="27"/>
        <v>1.4424633640271595E-2</v>
      </c>
    </row>
    <row r="897" spans="2:8" x14ac:dyDescent="0.3">
      <c r="B897" s="58">
        <f>'DATA HISTORICAL'!$B1542</f>
        <v>44596</v>
      </c>
      <c r="C897" s="60">
        <f>'DATA HISTORICAL'!$C1542</f>
        <v>7439.65</v>
      </c>
      <c r="D897" s="53">
        <f t="shared" si="26"/>
        <v>8.6804460007659043E-3</v>
      </c>
      <c r="E897" s="53">
        <v>1.637418519954691E-2</v>
      </c>
      <c r="G897" s="90">
        <v>889</v>
      </c>
      <c r="H897" s="90">
        <f t="shared" ca="1" si="27"/>
        <v>-1.0945067141324913E-2</v>
      </c>
    </row>
    <row r="898" spans="2:8" x14ac:dyDescent="0.3">
      <c r="B898" s="58">
        <f>'DATA HISTORICAL'!$B1543</f>
        <v>44595</v>
      </c>
      <c r="C898" s="60">
        <f>'DATA HISTORICAL'!$C1543</f>
        <v>7375.35</v>
      </c>
      <c r="D898" s="53">
        <f t="shared" si="26"/>
        <v>-8.8618896881995021E-3</v>
      </c>
      <c r="E898" s="53">
        <v>1.6364958189275813E-2</v>
      </c>
      <c r="G898" s="90">
        <v>890</v>
      </c>
      <c r="H898" s="90">
        <f t="shared" ca="1" si="27"/>
        <v>-3.9589003253945711E-3</v>
      </c>
    </row>
    <row r="899" spans="2:8" x14ac:dyDescent="0.3">
      <c r="B899" s="58">
        <f>'DATA HISTORICAL'!$B1544</f>
        <v>44594</v>
      </c>
      <c r="C899" s="60">
        <f>'DATA HISTORICAL'!$C1544</f>
        <v>7441</v>
      </c>
      <c r="D899" s="53">
        <f t="shared" si="26"/>
        <v>-1.0062094956517142E-2</v>
      </c>
      <c r="E899" s="53">
        <v>1.6348089832392696E-2</v>
      </c>
      <c r="G899" s="90">
        <v>891</v>
      </c>
      <c r="H899" s="90">
        <f t="shared" ca="1" si="27"/>
        <v>1.9019777336127374E-2</v>
      </c>
    </row>
    <row r="900" spans="2:8" x14ac:dyDescent="0.3">
      <c r="B900" s="58">
        <f>'DATA HISTORICAL'!$B1545</f>
        <v>44593</v>
      </c>
      <c r="C900" s="60">
        <f>'DATA HISTORICAL'!$C1545</f>
        <v>7516.25</v>
      </c>
      <c r="D900" s="53">
        <f t="shared" si="26"/>
        <v>4.0711129775130458E-2</v>
      </c>
      <c r="E900" s="53">
        <v>1.6343987039716158E-2</v>
      </c>
      <c r="G900" s="90">
        <v>892</v>
      </c>
      <c r="H900" s="90">
        <f t="shared" ca="1" si="27"/>
        <v>8.8988394305995026E-3</v>
      </c>
    </row>
    <row r="901" spans="2:8" x14ac:dyDescent="0.3">
      <c r="B901" s="58">
        <f>'DATA HISTORICAL'!$B1546</f>
        <v>44592</v>
      </c>
      <c r="C901" s="60">
        <f>'DATA HISTORICAL'!$C1546</f>
        <v>7216.4</v>
      </c>
      <c r="D901" s="53">
        <f t="shared" si="26"/>
        <v>1.4875067050320588E-2</v>
      </c>
      <c r="E901" s="53">
        <v>1.6284677281784166E-2</v>
      </c>
      <c r="G901" s="90">
        <v>893</v>
      </c>
      <c r="H901" s="90">
        <f t="shared" ca="1" si="27"/>
        <v>-9.6271782247806803E-3</v>
      </c>
    </row>
    <row r="902" spans="2:8" x14ac:dyDescent="0.3">
      <c r="B902" s="58">
        <f>'DATA HISTORICAL'!$B1547</f>
        <v>44589</v>
      </c>
      <c r="C902" s="60">
        <f>'DATA HISTORICAL'!$C1547</f>
        <v>7109.85</v>
      </c>
      <c r="D902" s="53">
        <f t="shared" si="26"/>
        <v>1.2877758094520248E-3</v>
      </c>
      <c r="E902" s="53">
        <v>1.6270561919743728E-2</v>
      </c>
      <c r="G902" s="90">
        <v>894</v>
      </c>
      <c r="H902" s="90">
        <f t="shared" ca="1" si="27"/>
        <v>-2.266367419129188E-4</v>
      </c>
    </row>
    <row r="903" spans="2:8" x14ac:dyDescent="0.3">
      <c r="B903" s="58">
        <f>'DATA HISTORICAL'!$B1548</f>
        <v>44588</v>
      </c>
      <c r="C903" s="60">
        <f>'DATA HISTORICAL'!$C1548</f>
        <v>7100.7</v>
      </c>
      <c r="D903" s="53">
        <f t="shared" si="26"/>
        <v>3.310080634206518E-4</v>
      </c>
      <c r="E903" s="53">
        <v>1.6263772468991928E-2</v>
      </c>
      <c r="G903" s="90">
        <v>895</v>
      </c>
      <c r="H903" s="90">
        <f t="shared" ca="1" si="27"/>
        <v>-9.3061601852549442E-3</v>
      </c>
    </row>
    <row r="904" spans="2:8" x14ac:dyDescent="0.3">
      <c r="B904" s="58">
        <f>'DATA HISTORICAL'!$B1549</f>
        <v>44586</v>
      </c>
      <c r="C904" s="60">
        <f>'DATA HISTORICAL'!$C1549</f>
        <v>7098.35</v>
      </c>
      <c r="D904" s="53">
        <f t="shared" si="26"/>
        <v>-8.088802973155243E-3</v>
      </c>
      <c r="E904" s="53">
        <v>1.6243147128999103E-2</v>
      </c>
      <c r="G904" s="90">
        <v>896</v>
      </c>
      <c r="H904" s="90">
        <f t="shared" ca="1" si="27"/>
        <v>1.9665585886346391E-3</v>
      </c>
    </row>
    <row r="905" spans="2:8" x14ac:dyDescent="0.3">
      <c r="B905" s="58">
        <f>'DATA HISTORICAL'!$B1550</f>
        <v>44585</v>
      </c>
      <c r="C905" s="60">
        <f>'DATA HISTORICAL'!$C1550</f>
        <v>7156</v>
      </c>
      <c r="D905" s="53">
        <f t="shared" ref="D905:D968" si="28">LN(C905/C906)</f>
        <v>-2.7789422631035572E-2</v>
      </c>
      <c r="E905" s="53">
        <v>1.6216473971808754E-2</v>
      </c>
      <c r="G905" s="90">
        <v>897</v>
      </c>
      <c r="H905" s="90">
        <f t="shared" ref="H905:H968" ca="1" si="29">_xlfn.NORM.INV(RAND(),N$10,N$11)</f>
        <v>-1.7013350539971758E-2</v>
      </c>
    </row>
    <row r="906" spans="2:8" x14ac:dyDescent="0.3">
      <c r="B906" s="58">
        <f>'DATA HISTORICAL'!$B1551</f>
        <v>44582</v>
      </c>
      <c r="C906" s="60">
        <f>'DATA HISTORICAL'!$C1551</f>
        <v>7357.65</v>
      </c>
      <c r="D906" s="53">
        <f t="shared" si="28"/>
        <v>-1.4551819707073274E-2</v>
      </c>
      <c r="E906" s="53">
        <v>1.6196429234720613E-2</v>
      </c>
      <c r="G906" s="90">
        <v>898</v>
      </c>
      <c r="H906" s="90">
        <f t="shared" ca="1" si="29"/>
        <v>3.0100370596977764E-4</v>
      </c>
    </row>
    <row r="907" spans="2:8" x14ac:dyDescent="0.3">
      <c r="B907" s="58">
        <f>'DATA HISTORICAL'!$B1552</f>
        <v>44581</v>
      </c>
      <c r="C907" s="60">
        <f>'DATA HISTORICAL'!$C1552</f>
        <v>7465.5</v>
      </c>
      <c r="D907" s="53">
        <f t="shared" si="28"/>
        <v>4.1745307235890056E-3</v>
      </c>
      <c r="E907" s="53">
        <v>1.6170327180767888E-2</v>
      </c>
      <c r="G907" s="90">
        <v>899</v>
      </c>
      <c r="H907" s="90">
        <f t="shared" ca="1" si="29"/>
        <v>-1.9709555629643369E-2</v>
      </c>
    </row>
    <row r="908" spans="2:8" x14ac:dyDescent="0.3">
      <c r="B908" s="58">
        <f>'DATA HISTORICAL'!$B1553</f>
        <v>44580</v>
      </c>
      <c r="C908" s="60">
        <f>'DATA HISTORICAL'!$C1553</f>
        <v>7434.4</v>
      </c>
      <c r="D908" s="53">
        <f t="shared" si="28"/>
        <v>-1.6210837775076949E-2</v>
      </c>
      <c r="E908" s="53">
        <v>1.6168147698305411E-2</v>
      </c>
      <c r="G908" s="90">
        <v>900</v>
      </c>
      <c r="H908" s="90">
        <f t="shared" ca="1" si="29"/>
        <v>1.119431589453334E-3</v>
      </c>
    </row>
    <row r="909" spans="2:8" x14ac:dyDescent="0.3">
      <c r="B909" s="58">
        <f>'DATA HISTORICAL'!$B1554</f>
        <v>44579</v>
      </c>
      <c r="C909" s="60">
        <f>'DATA HISTORICAL'!$C1554</f>
        <v>7555.9</v>
      </c>
      <c r="D909" s="53">
        <f t="shared" si="28"/>
        <v>-4.0742053792820802E-2</v>
      </c>
      <c r="E909" s="53">
        <v>1.616679887454715E-2</v>
      </c>
      <c r="G909" s="90">
        <v>901</v>
      </c>
      <c r="H909" s="90">
        <f t="shared" ca="1" si="29"/>
        <v>1.4291947297314514E-3</v>
      </c>
    </row>
    <row r="910" spans="2:8" x14ac:dyDescent="0.3">
      <c r="B910" s="58">
        <f>'DATA HISTORICAL'!$B1555</f>
        <v>44578</v>
      </c>
      <c r="C910" s="60">
        <f>'DATA HISTORICAL'!$C1555</f>
        <v>7870.1</v>
      </c>
      <c r="D910" s="53">
        <f t="shared" si="28"/>
        <v>2.6986986087419652E-2</v>
      </c>
      <c r="E910" s="53">
        <v>1.6158156006213727E-2</v>
      </c>
      <c r="G910" s="90">
        <v>902</v>
      </c>
      <c r="H910" s="90">
        <f t="shared" ca="1" si="29"/>
        <v>-3.7161105214369742E-3</v>
      </c>
    </row>
    <row r="911" spans="2:8" x14ac:dyDescent="0.3">
      <c r="B911" s="58">
        <f>'DATA HISTORICAL'!$B1556</f>
        <v>44575</v>
      </c>
      <c r="C911" s="60">
        <f>'DATA HISTORICAL'!$C1556</f>
        <v>7660.55</v>
      </c>
      <c r="D911" s="53">
        <f t="shared" si="28"/>
        <v>7.0411986454863981E-3</v>
      </c>
      <c r="E911" s="53">
        <v>1.6154341333141267E-2</v>
      </c>
      <c r="G911" s="90">
        <v>903</v>
      </c>
      <c r="H911" s="90">
        <f t="shared" ca="1" si="29"/>
        <v>-2.4057227614648444E-2</v>
      </c>
    </row>
    <row r="912" spans="2:8" x14ac:dyDescent="0.3">
      <c r="B912" s="58">
        <f>'DATA HISTORICAL'!$B1557</f>
        <v>44574</v>
      </c>
      <c r="C912" s="60">
        <f>'DATA HISTORICAL'!$C1557</f>
        <v>7606.8</v>
      </c>
      <c r="D912" s="53">
        <f t="shared" si="28"/>
        <v>-6.7996724599364185E-3</v>
      </c>
      <c r="E912" s="53">
        <v>1.6142457455541107E-2</v>
      </c>
      <c r="G912" s="90">
        <v>904</v>
      </c>
      <c r="H912" s="90">
        <f t="shared" ca="1" si="29"/>
        <v>1.8888941694738176E-2</v>
      </c>
    </row>
    <row r="913" spans="2:8" x14ac:dyDescent="0.3">
      <c r="B913" s="58">
        <f>'DATA HISTORICAL'!$B1558</f>
        <v>44573</v>
      </c>
      <c r="C913" s="60">
        <f>'DATA HISTORICAL'!$C1558</f>
        <v>7658.7</v>
      </c>
      <c r="D913" s="53">
        <f t="shared" si="28"/>
        <v>6.8654052823302969E-3</v>
      </c>
      <c r="E913" s="53">
        <v>1.6134155064358554E-2</v>
      </c>
      <c r="G913" s="90">
        <v>905</v>
      </c>
      <c r="H913" s="90">
        <f t="shared" ca="1" si="29"/>
        <v>8.6342577770531174E-4</v>
      </c>
    </row>
    <row r="914" spans="2:8" x14ac:dyDescent="0.3">
      <c r="B914" s="58">
        <f>'DATA HISTORICAL'!$B1559</f>
        <v>44572</v>
      </c>
      <c r="C914" s="60">
        <f>'DATA HISTORICAL'!$C1559</f>
        <v>7606.3</v>
      </c>
      <c r="D914" s="53">
        <f t="shared" si="28"/>
        <v>2.7844627952002578E-3</v>
      </c>
      <c r="E914" s="53">
        <v>1.6108340571448967E-2</v>
      </c>
      <c r="G914" s="90">
        <v>906</v>
      </c>
      <c r="H914" s="90">
        <f t="shared" ca="1" si="29"/>
        <v>1.629484036171293E-3</v>
      </c>
    </row>
    <row r="915" spans="2:8" x14ac:dyDescent="0.3">
      <c r="B915" s="58">
        <f>'DATA HISTORICAL'!$B1560</f>
        <v>44571</v>
      </c>
      <c r="C915" s="60">
        <f>'DATA HISTORICAL'!$C1560</f>
        <v>7585.15</v>
      </c>
      <c r="D915" s="53">
        <f t="shared" si="28"/>
        <v>3.5923990797230181E-3</v>
      </c>
      <c r="E915" s="53">
        <v>1.6087295639921898E-2</v>
      </c>
      <c r="G915" s="90">
        <v>907</v>
      </c>
      <c r="H915" s="90">
        <f t="shared" ca="1" si="29"/>
        <v>-6.5910550220860094E-3</v>
      </c>
    </row>
    <row r="916" spans="2:8" x14ac:dyDescent="0.3">
      <c r="B916" s="58">
        <f>'DATA HISTORICAL'!$B1561</f>
        <v>44568</v>
      </c>
      <c r="C916" s="60">
        <f>'DATA HISTORICAL'!$C1561</f>
        <v>7557.95</v>
      </c>
      <c r="D916" s="53">
        <f t="shared" si="28"/>
        <v>1.3238964048479107E-2</v>
      </c>
      <c r="E916" s="53">
        <v>1.6079878009269192E-2</v>
      </c>
      <c r="G916" s="90">
        <v>908</v>
      </c>
      <c r="H916" s="90">
        <f t="shared" ca="1" si="29"/>
        <v>2.4454280508133652E-2</v>
      </c>
    </row>
    <row r="917" spans="2:8" x14ac:dyDescent="0.3">
      <c r="B917" s="58">
        <f>'DATA HISTORICAL'!$B1562</f>
        <v>44567</v>
      </c>
      <c r="C917" s="60">
        <f>'DATA HISTORICAL'!$C1562</f>
        <v>7458.55</v>
      </c>
      <c r="D917" s="53">
        <f t="shared" si="28"/>
        <v>-2.6592209940362609E-2</v>
      </c>
      <c r="E917" s="53">
        <v>1.6066315586936827E-2</v>
      </c>
      <c r="G917" s="90">
        <v>909</v>
      </c>
      <c r="H917" s="90">
        <f t="shared" ca="1" si="29"/>
        <v>1.6442516667719408E-2</v>
      </c>
    </row>
    <row r="918" spans="2:8" x14ac:dyDescent="0.3">
      <c r="B918" s="58">
        <f>'DATA HISTORICAL'!$B1563</f>
        <v>44566</v>
      </c>
      <c r="C918" s="60">
        <f>'DATA HISTORICAL'!$C1563</f>
        <v>7659.55</v>
      </c>
      <c r="D918" s="53">
        <f t="shared" si="28"/>
        <v>1.2018368646931447E-3</v>
      </c>
      <c r="E918" s="53">
        <v>1.6059355351924806E-2</v>
      </c>
      <c r="G918" s="90">
        <v>910</v>
      </c>
      <c r="H918" s="90">
        <f t="shared" ca="1" si="29"/>
        <v>1.9642733179672404E-2</v>
      </c>
    </row>
    <row r="919" spans="2:8" x14ac:dyDescent="0.3">
      <c r="B919" s="58">
        <f>'DATA HISTORICAL'!$B1564</f>
        <v>44565</v>
      </c>
      <c r="C919" s="60">
        <f>'DATA HISTORICAL'!$C1564</f>
        <v>7650.35</v>
      </c>
      <c r="D919" s="53">
        <f t="shared" si="28"/>
        <v>-9.5680193968400995E-3</v>
      </c>
      <c r="E919" s="53">
        <v>1.6037463638533912E-2</v>
      </c>
      <c r="G919" s="90">
        <v>911</v>
      </c>
      <c r="H919" s="90">
        <f t="shared" ca="1" si="29"/>
        <v>-2.5549068388571426E-4</v>
      </c>
    </row>
    <row r="920" spans="2:8" x14ac:dyDescent="0.3">
      <c r="B920" s="58">
        <f>'DATA HISTORICAL'!$B1565</f>
        <v>44564</v>
      </c>
      <c r="C920" s="60">
        <f>'DATA HISTORICAL'!$C1565</f>
        <v>7723.9</v>
      </c>
      <c r="D920" s="53">
        <f t="shared" si="28"/>
        <v>1.7349496062294661E-2</v>
      </c>
      <c r="E920" s="53">
        <v>1.6019601730398091E-2</v>
      </c>
      <c r="G920" s="90">
        <v>912</v>
      </c>
      <c r="H920" s="90">
        <f t="shared" ca="1" si="29"/>
        <v>1.2526672121243244E-2</v>
      </c>
    </row>
    <row r="921" spans="2:8" x14ac:dyDescent="0.3">
      <c r="B921" s="58">
        <f>'DATA HISTORICAL'!$B1566</f>
        <v>44561</v>
      </c>
      <c r="C921" s="60">
        <f>'DATA HISTORICAL'!$C1566</f>
        <v>7591.05</v>
      </c>
      <c r="D921" s="53">
        <f t="shared" si="28"/>
        <v>2.5868371531818309E-2</v>
      </c>
      <c r="E921" s="53">
        <v>1.5993131351407952E-2</v>
      </c>
      <c r="G921" s="90">
        <v>913</v>
      </c>
      <c r="H921" s="90">
        <f t="shared" ca="1" si="29"/>
        <v>-3.241058649489488E-2</v>
      </c>
    </row>
    <row r="922" spans="2:8" x14ac:dyDescent="0.3">
      <c r="B922" s="58">
        <f>'DATA HISTORICAL'!$B1567</f>
        <v>44560</v>
      </c>
      <c r="C922" s="60">
        <f>'DATA HISTORICAL'!$C1567</f>
        <v>7397.2</v>
      </c>
      <c r="D922" s="53">
        <f t="shared" si="28"/>
        <v>-3.2055311002769198E-3</v>
      </c>
      <c r="E922" s="53">
        <v>1.5987935776791296E-2</v>
      </c>
      <c r="G922" s="90">
        <v>914</v>
      </c>
      <c r="H922" s="90">
        <f t="shared" ca="1" si="29"/>
        <v>2.5337144533601086E-2</v>
      </c>
    </row>
    <row r="923" spans="2:8" x14ac:dyDescent="0.3">
      <c r="B923" s="58">
        <f>'DATA HISTORICAL'!$B1568</f>
        <v>44559</v>
      </c>
      <c r="C923" s="60">
        <f>'DATA HISTORICAL'!$C1568</f>
        <v>7420.95</v>
      </c>
      <c r="D923" s="53">
        <f t="shared" si="28"/>
        <v>2.0030963631117306E-3</v>
      </c>
      <c r="E923" s="53">
        <v>1.5985470507115539E-2</v>
      </c>
      <c r="G923" s="90">
        <v>915</v>
      </c>
      <c r="H923" s="90">
        <f t="shared" ca="1" si="29"/>
        <v>-1.5529545975694326E-2</v>
      </c>
    </row>
    <row r="924" spans="2:8" x14ac:dyDescent="0.3">
      <c r="B924" s="58">
        <f>'DATA HISTORICAL'!$B1569</f>
        <v>44558</v>
      </c>
      <c r="C924" s="60">
        <f>'DATA HISTORICAL'!$C1569</f>
        <v>7406.1</v>
      </c>
      <c r="D924" s="53">
        <f t="shared" si="28"/>
        <v>2.1985507905668701E-2</v>
      </c>
      <c r="E924" s="53">
        <v>1.5979461846976992E-2</v>
      </c>
      <c r="G924" s="90">
        <v>916</v>
      </c>
      <c r="H924" s="90">
        <f t="shared" ca="1" si="29"/>
        <v>1.6146273969786625E-2</v>
      </c>
    </row>
    <row r="925" spans="2:8" x14ac:dyDescent="0.3">
      <c r="B925" s="58">
        <f>'DATA HISTORICAL'!$B1570</f>
        <v>44557</v>
      </c>
      <c r="C925" s="60">
        <f>'DATA HISTORICAL'!$C1570</f>
        <v>7245.05</v>
      </c>
      <c r="D925" s="53">
        <f t="shared" si="28"/>
        <v>2.7989251056289109E-3</v>
      </c>
      <c r="E925" s="53">
        <v>1.5967981942070848E-2</v>
      </c>
      <c r="G925" s="90">
        <v>917</v>
      </c>
      <c r="H925" s="90">
        <f t="shared" ca="1" si="29"/>
        <v>-4.7072609087747191E-3</v>
      </c>
    </row>
    <row r="926" spans="2:8" x14ac:dyDescent="0.3">
      <c r="B926" s="58">
        <f>'DATA HISTORICAL'!$B1571</f>
        <v>44554</v>
      </c>
      <c r="C926" s="60">
        <f>'DATA HISTORICAL'!$C1571</f>
        <v>7224.8</v>
      </c>
      <c r="D926" s="53">
        <f t="shared" si="28"/>
        <v>-1.5901031200334041E-2</v>
      </c>
      <c r="E926" s="53">
        <v>1.5964605576718478E-2</v>
      </c>
      <c r="G926" s="90">
        <v>918</v>
      </c>
      <c r="H926" s="90">
        <f t="shared" ca="1" si="29"/>
        <v>-9.3088915610655583E-3</v>
      </c>
    </row>
    <row r="927" spans="2:8" x14ac:dyDescent="0.3">
      <c r="B927" s="58">
        <f>'DATA HISTORICAL'!$B1572</f>
        <v>44553</v>
      </c>
      <c r="C927" s="60">
        <f>'DATA HISTORICAL'!$C1572</f>
        <v>7340.6</v>
      </c>
      <c r="D927" s="53">
        <f t="shared" si="28"/>
        <v>-4.9803572879723989E-3</v>
      </c>
      <c r="E927" s="53">
        <v>1.5958809591414817E-2</v>
      </c>
      <c r="G927" s="90">
        <v>919</v>
      </c>
      <c r="H927" s="90">
        <f t="shared" ca="1" si="29"/>
        <v>-1.3112203227687941E-2</v>
      </c>
    </row>
    <row r="928" spans="2:8" x14ac:dyDescent="0.3">
      <c r="B928" s="58">
        <f>'DATA HISTORICAL'!$B1573</f>
        <v>44552</v>
      </c>
      <c r="C928" s="60">
        <f>'DATA HISTORICAL'!$C1573</f>
        <v>7377.25</v>
      </c>
      <c r="D928" s="53">
        <f t="shared" si="28"/>
        <v>6.7870178784468806E-3</v>
      </c>
      <c r="E928" s="53">
        <v>1.5938493540128978E-2</v>
      </c>
      <c r="G928" s="90">
        <v>920</v>
      </c>
      <c r="H928" s="90">
        <f t="shared" ca="1" si="29"/>
        <v>-6.0313341981896697E-3</v>
      </c>
    </row>
    <row r="929" spans="2:8" x14ac:dyDescent="0.3">
      <c r="B929" s="58">
        <f>'DATA HISTORICAL'!$B1574</f>
        <v>44551</v>
      </c>
      <c r="C929" s="60">
        <f>'DATA HISTORICAL'!$C1574</f>
        <v>7327.35</v>
      </c>
      <c r="D929" s="53">
        <f t="shared" si="28"/>
        <v>2.2985233554036446E-2</v>
      </c>
      <c r="E929" s="53">
        <v>1.5874958607354658E-2</v>
      </c>
      <c r="G929" s="90">
        <v>921</v>
      </c>
      <c r="H929" s="90">
        <f t="shared" ca="1" si="29"/>
        <v>-2.4311632034001657E-3</v>
      </c>
    </row>
    <row r="930" spans="2:8" x14ac:dyDescent="0.3">
      <c r="B930" s="58">
        <f>'DATA HISTORICAL'!$B1575</f>
        <v>44550</v>
      </c>
      <c r="C930" s="60">
        <f>'DATA HISTORICAL'!$C1575</f>
        <v>7160.85</v>
      </c>
      <c r="D930" s="53">
        <f t="shared" si="28"/>
        <v>-2.4349053004826759E-2</v>
      </c>
      <c r="E930" s="53">
        <v>1.586397112221509E-2</v>
      </c>
      <c r="G930" s="90">
        <v>922</v>
      </c>
      <c r="H930" s="90">
        <f t="shared" ca="1" si="29"/>
        <v>1.4340075627560848E-2</v>
      </c>
    </row>
    <row r="931" spans="2:8" x14ac:dyDescent="0.3">
      <c r="B931" s="58">
        <f>'DATA HISTORICAL'!$B1576</f>
        <v>44547</v>
      </c>
      <c r="C931" s="60">
        <f>'DATA HISTORICAL'!$C1576</f>
        <v>7337.35</v>
      </c>
      <c r="D931" s="53">
        <f t="shared" si="28"/>
        <v>-1.035864215569734E-2</v>
      </c>
      <c r="E931" s="53">
        <v>1.5861691309153696E-2</v>
      </c>
      <c r="G931" s="90">
        <v>923</v>
      </c>
      <c r="H931" s="90">
        <f t="shared" ca="1" si="29"/>
        <v>8.6225556571895776E-3</v>
      </c>
    </row>
    <row r="932" spans="2:8" x14ac:dyDescent="0.3">
      <c r="B932" s="58">
        <f>'DATA HISTORICAL'!$B1577</f>
        <v>44546</v>
      </c>
      <c r="C932" s="60">
        <f>'DATA HISTORICAL'!$C1577</f>
        <v>7413.75</v>
      </c>
      <c r="D932" s="53">
        <f t="shared" si="28"/>
        <v>5.7355197101308002E-3</v>
      </c>
      <c r="E932" s="53">
        <v>1.5828109407868534E-2</v>
      </c>
      <c r="G932" s="90">
        <v>924</v>
      </c>
      <c r="H932" s="90">
        <f t="shared" ca="1" si="29"/>
        <v>2.202543963234747E-2</v>
      </c>
    </row>
    <row r="933" spans="2:8" x14ac:dyDescent="0.3">
      <c r="B933" s="58">
        <f>'DATA HISTORICAL'!$B1578</f>
        <v>44545</v>
      </c>
      <c r="C933" s="60">
        <f>'DATA HISTORICAL'!$C1578</f>
        <v>7371.35</v>
      </c>
      <c r="D933" s="53">
        <f t="shared" si="28"/>
        <v>-2.0396070156126138E-3</v>
      </c>
      <c r="E933" s="53">
        <v>1.5818640206137755E-2</v>
      </c>
      <c r="G933" s="90">
        <v>925</v>
      </c>
      <c r="H933" s="90">
        <f t="shared" ca="1" si="29"/>
        <v>-1.8287462725873185E-2</v>
      </c>
    </row>
    <row r="934" spans="2:8" x14ac:dyDescent="0.3">
      <c r="B934" s="58">
        <f>'DATA HISTORICAL'!$B1579</f>
        <v>44544</v>
      </c>
      <c r="C934" s="60">
        <f>'DATA HISTORICAL'!$C1579</f>
        <v>7386.4</v>
      </c>
      <c r="D934" s="53">
        <f t="shared" si="28"/>
        <v>-3.7903273909102716E-3</v>
      </c>
      <c r="E934" s="53">
        <v>1.5798238580977536E-2</v>
      </c>
      <c r="G934" s="90">
        <v>926</v>
      </c>
      <c r="H934" s="90">
        <f t="shared" ca="1" si="29"/>
        <v>1.5072624325630727E-2</v>
      </c>
    </row>
    <row r="935" spans="2:8" x14ac:dyDescent="0.3">
      <c r="B935" s="58">
        <f>'DATA HISTORICAL'!$B1580</f>
        <v>44543</v>
      </c>
      <c r="C935" s="60">
        <f>'DATA HISTORICAL'!$C1580</f>
        <v>7414.45</v>
      </c>
      <c r="D935" s="53">
        <f t="shared" si="28"/>
        <v>-3.5005320197013749E-3</v>
      </c>
      <c r="E935" s="53">
        <v>1.5798125831949301E-2</v>
      </c>
      <c r="G935" s="90">
        <v>927</v>
      </c>
      <c r="H935" s="90">
        <f t="shared" ca="1" si="29"/>
        <v>1.300338450573487E-2</v>
      </c>
    </row>
    <row r="936" spans="2:8" x14ac:dyDescent="0.3">
      <c r="B936" s="58">
        <f>'DATA HISTORICAL'!$B1581</f>
        <v>44540</v>
      </c>
      <c r="C936" s="60">
        <f>'DATA HISTORICAL'!$C1581</f>
        <v>7440.45</v>
      </c>
      <c r="D936" s="53">
        <f t="shared" si="28"/>
        <v>8.8743677795248208E-4</v>
      </c>
      <c r="E936" s="53">
        <v>1.5790301880621863E-2</v>
      </c>
      <c r="G936" s="90">
        <v>928</v>
      </c>
      <c r="H936" s="90">
        <f t="shared" ca="1" si="29"/>
        <v>2.4707638282396405E-2</v>
      </c>
    </row>
    <row r="937" spans="2:8" x14ac:dyDescent="0.3">
      <c r="B937" s="58">
        <f>'DATA HISTORICAL'!$B1582</f>
        <v>44539</v>
      </c>
      <c r="C937" s="60">
        <f>'DATA HISTORICAL'!$C1582</f>
        <v>7433.85</v>
      </c>
      <c r="D937" s="53">
        <f t="shared" si="28"/>
        <v>1.3326335615135992E-3</v>
      </c>
      <c r="E937" s="53">
        <v>1.5790201298866074E-2</v>
      </c>
      <c r="G937" s="90">
        <v>929</v>
      </c>
      <c r="H937" s="90">
        <f t="shared" ca="1" si="29"/>
        <v>1.0165895098259315E-2</v>
      </c>
    </row>
    <row r="938" spans="2:8" x14ac:dyDescent="0.3">
      <c r="B938" s="58">
        <f>'DATA HISTORICAL'!$B1583</f>
        <v>44538</v>
      </c>
      <c r="C938" s="60">
        <f>'DATA HISTORICAL'!$C1583</f>
        <v>7423.95</v>
      </c>
      <c r="D938" s="53">
        <f t="shared" si="28"/>
        <v>1.691910755183277E-2</v>
      </c>
      <c r="E938" s="53">
        <v>1.5771122490549343E-2</v>
      </c>
      <c r="G938" s="90">
        <v>930</v>
      </c>
      <c r="H938" s="90">
        <f t="shared" ca="1" si="29"/>
        <v>1.2480482156595338E-2</v>
      </c>
    </row>
    <row r="939" spans="2:8" x14ac:dyDescent="0.3">
      <c r="B939" s="58">
        <f>'DATA HISTORICAL'!$B1584</f>
        <v>44537</v>
      </c>
      <c r="C939" s="60">
        <f>'DATA HISTORICAL'!$C1584</f>
        <v>7299.4</v>
      </c>
      <c r="D939" s="53">
        <f t="shared" si="28"/>
        <v>1.1685402362056558E-2</v>
      </c>
      <c r="E939" s="53">
        <v>1.5758768140509066E-2</v>
      </c>
      <c r="G939" s="90">
        <v>931</v>
      </c>
      <c r="H939" s="90">
        <f t="shared" ca="1" si="29"/>
        <v>-4.8602975821513674E-3</v>
      </c>
    </row>
    <row r="940" spans="2:8" x14ac:dyDescent="0.3">
      <c r="B940" s="58">
        <f>'DATA HISTORICAL'!$B1585</f>
        <v>44536</v>
      </c>
      <c r="C940" s="60">
        <f>'DATA HISTORICAL'!$C1585</f>
        <v>7214.6</v>
      </c>
      <c r="D940" s="53">
        <f t="shared" si="28"/>
        <v>-1.6202952255982672E-2</v>
      </c>
      <c r="E940" s="53">
        <v>1.5755384764547412E-2</v>
      </c>
      <c r="G940" s="90">
        <v>932</v>
      </c>
      <c r="H940" s="90">
        <f t="shared" ca="1" si="29"/>
        <v>-3.8872153390194779E-2</v>
      </c>
    </row>
    <row r="941" spans="2:8" x14ac:dyDescent="0.3">
      <c r="B941" s="58">
        <f>'DATA HISTORICAL'!$B1586</f>
        <v>44533</v>
      </c>
      <c r="C941" s="60">
        <f>'DATA HISTORICAL'!$C1586</f>
        <v>7332.45</v>
      </c>
      <c r="D941" s="53">
        <f t="shared" si="28"/>
        <v>1.2623119722795606E-3</v>
      </c>
      <c r="E941" s="53">
        <v>1.5746568204388751E-2</v>
      </c>
      <c r="G941" s="90">
        <v>933</v>
      </c>
      <c r="H941" s="90">
        <f t="shared" ca="1" si="29"/>
        <v>-5.9464219557511617E-3</v>
      </c>
    </row>
    <row r="942" spans="2:8" x14ac:dyDescent="0.3">
      <c r="B942" s="58">
        <f>'DATA HISTORICAL'!$B1587</f>
        <v>44532</v>
      </c>
      <c r="C942" s="60">
        <f>'DATA HISTORICAL'!$C1587</f>
        <v>7323.2</v>
      </c>
      <c r="D942" s="53">
        <f t="shared" si="28"/>
        <v>8.1934752671067134E-5</v>
      </c>
      <c r="E942" s="53">
        <v>1.573067842345869E-2</v>
      </c>
      <c r="G942" s="90">
        <v>934</v>
      </c>
      <c r="H942" s="90">
        <f t="shared" ca="1" si="29"/>
        <v>1.6087797301383398E-2</v>
      </c>
    </row>
    <row r="943" spans="2:8" x14ac:dyDescent="0.3">
      <c r="B943" s="58">
        <f>'DATA HISTORICAL'!$B1588</f>
        <v>44531</v>
      </c>
      <c r="C943" s="60">
        <f>'DATA HISTORICAL'!$C1588</f>
        <v>7322.6</v>
      </c>
      <c r="D943" s="53">
        <f t="shared" si="28"/>
        <v>-1.50649858740969E-2</v>
      </c>
      <c r="E943" s="53">
        <v>1.5730661454836165E-2</v>
      </c>
      <c r="G943" s="90">
        <v>935</v>
      </c>
      <c r="H943" s="90">
        <f t="shared" ca="1" si="29"/>
        <v>-1.0781865597042042E-2</v>
      </c>
    </row>
    <row r="944" spans="2:8" x14ac:dyDescent="0.3">
      <c r="B944" s="58">
        <f>'DATA HISTORICAL'!$B1589</f>
        <v>44530</v>
      </c>
      <c r="C944" s="60">
        <f>'DATA HISTORICAL'!$C1589</f>
        <v>7433.75</v>
      </c>
      <c r="D944" s="53">
        <f t="shared" si="28"/>
        <v>6.1395416169051139E-3</v>
      </c>
      <c r="E944" s="53">
        <v>1.5713546940695891E-2</v>
      </c>
      <c r="G944" s="90">
        <v>936</v>
      </c>
      <c r="H944" s="90">
        <f t="shared" ca="1" si="29"/>
        <v>-4.0605647738131629E-3</v>
      </c>
    </row>
    <row r="945" spans="2:8" x14ac:dyDescent="0.3">
      <c r="B945" s="58">
        <f>'DATA HISTORICAL'!$B1590</f>
        <v>44529</v>
      </c>
      <c r="C945" s="60">
        <f>'DATA HISTORICAL'!$C1590</f>
        <v>7388.25</v>
      </c>
      <c r="D945" s="53">
        <f t="shared" si="28"/>
        <v>-8.7938854344641237E-4</v>
      </c>
      <c r="E945" s="53">
        <v>1.5711482186077031E-2</v>
      </c>
      <c r="G945" s="90">
        <v>937</v>
      </c>
      <c r="H945" s="90">
        <f t="shared" ca="1" si="29"/>
        <v>1.7223270143724625E-3</v>
      </c>
    </row>
    <row r="946" spans="2:8" x14ac:dyDescent="0.3">
      <c r="B946" s="58">
        <f>'DATA HISTORICAL'!$B1591</f>
        <v>44526</v>
      </c>
      <c r="C946" s="60">
        <f>'DATA HISTORICAL'!$C1591</f>
        <v>7394.75</v>
      </c>
      <c r="D946" s="53">
        <f t="shared" si="28"/>
        <v>-2.8535183220831217E-2</v>
      </c>
      <c r="E946" s="53">
        <v>1.570272808809213E-2</v>
      </c>
      <c r="G946" s="90">
        <v>938</v>
      </c>
      <c r="H946" s="90">
        <f t="shared" ca="1" si="29"/>
        <v>-2.8456939816412865E-2</v>
      </c>
    </row>
    <row r="947" spans="2:8" x14ac:dyDescent="0.3">
      <c r="B947" s="58">
        <f>'DATA HISTORICAL'!$B1592</f>
        <v>44525</v>
      </c>
      <c r="C947" s="60">
        <f>'DATA HISTORICAL'!$C1592</f>
        <v>7608.8</v>
      </c>
      <c r="D947" s="53">
        <f t="shared" si="28"/>
        <v>4.1485365139396369E-3</v>
      </c>
      <c r="E947" s="53">
        <v>1.5690020750325689E-2</v>
      </c>
      <c r="G947" s="90">
        <v>939</v>
      </c>
      <c r="H947" s="90">
        <f t="shared" ca="1" si="29"/>
        <v>1.5892593650943837E-2</v>
      </c>
    </row>
    <row r="948" spans="2:8" x14ac:dyDescent="0.3">
      <c r="B948" s="58">
        <f>'DATA HISTORICAL'!$B1593</f>
        <v>44524</v>
      </c>
      <c r="C948" s="60">
        <f>'DATA HISTORICAL'!$C1593</f>
        <v>7577.3</v>
      </c>
      <c r="D948" s="53">
        <f t="shared" si="28"/>
        <v>-1.0587388241814273E-2</v>
      </c>
      <c r="E948" s="53">
        <v>1.5672697660829696E-2</v>
      </c>
      <c r="G948" s="90">
        <v>940</v>
      </c>
      <c r="H948" s="90">
        <f t="shared" ca="1" si="29"/>
        <v>-1.5591272465863237E-2</v>
      </c>
    </row>
    <row r="949" spans="2:8" x14ac:dyDescent="0.3">
      <c r="B949" s="58">
        <f>'DATA HISTORICAL'!$B1594</f>
        <v>44523</v>
      </c>
      <c r="C949" s="60">
        <f>'DATA HISTORICAL'!$C1594</f>
        <v>7657.95</v>
      </c>
      <c r="D949" s="53">
        <f t="shared" si="28"/>
        <v>5.4206737983820855E-4</v>
      </c>
      <c r="E949" s="53">
        <v>1.5655625935523693E-2</v>
      </c>
      <c r="G949" s="90">
        <v>941</v>
      </c>
      <c r="H949" s="90">
        <f t="shared" ca="1" si="29"/>
        <v>-4.140930457486839E-2</v>
      </c>
    </row>
    <row r="950" spans="2:8" x14ac:dyDescent="0.3">
      <c r="B950" s="58">
        <f>'DATA HISTORICAL'!$B1595</f>
        <v>44522</v>
      </c>
      <c r="C950" s="60">
        <f>'DATA HISTORICAL'!$C1595</f>
        <v>7653.8</v>
      </c>
      <c r="D950" s="53">
        <f t="shared" si="28"/>
        <v>-1.4771853729775304E-2</v>
      </c>
      <c r="E950" s="53">
        <v>1.5639290617936449E-2</v>
      </c>
      <c r="G950" s="90">
        <v>942</v>
      </c>
      <c r="H950" s="90">
        <f t="shared" ca="1" si="29"/>
        <v>-7.8384084097175011E-3</v>
      </c>
    </row>
    <row r="951" spans="2:8" x14ac:dyDescent="0.3">
      <c r="B951" s="58">
        <f>'DATA HISTORICAL'!$B1596</f>
        <v>44518</v>
      </c>
      <c r="C951" s="60">
        <f>'DATA HISTORICAL'!$C1596</f>
        <v>7767.7</v>
      </c>
      <c r="D951" s="53">
        <f t="shared" si="28"/>
        <v>-1.151983249028541E-2</v>
      </c>
      <c r="E951" s="53">
        <v>1.5630907968931785E-2</v>
      </c>
      <c r="G951" s="90">
        <v>943</v>
      </c>
      <c r="H951" s="90">
        <f t="shared" ca="1" si="29"/>
        <v>9.9575188502758812E-4</v>
      </c>
    </row>
    <row r="952" spans="2:8" x14ac:dyDescent="0.3">
      <c r="B952" s="58">
        <f>'DATA HISTORICAL'!$B1597</f>
        <v>44517</v>
      </c>
      <c r="C952" s="60">
        <f>'DATA HISTORICAL'!$C1597</f>
        <v>7857.7</v>
      </c>
      <c r="D952" s="53">
        <f t="shared" si="28"/>
        <v>-3.1384832719917517E-3</v>
      </c>
      <c r="E952" s="53">
        <v>1.5628490924221892E-2</v>
      </c>
      <c r="G952" s="90">
        <v>944</v>
      </c>
      <c r="H952" s="90">
        <f t="shared" ca="1" si="29"/>
        <v>3.7456489909036897E-5</v>
      </c>
    </row>
    <row r="953" spans="2:8" x14ac:dyDescent="0.3">
      <c r="B953" s="58">
        <f>'DATA HISTORICAL'!$B1598</f>
        <v>44516</v>
      </c>
      <c r="C953" s="60">
        <f>'DATA HISTORICAL'!$C1598</f>
        <v>7882.4</v>
      </c>
      <c r="D953" s="53">
        <f t="shared" si="28"/>
        <v>-2.1139039348577929E-2</v>
      </c>
      <c r="E953" s="53">
        <v>1.5625858088850645E-2</v>
      </c>
      <c r="G953" s="90">
        <v>945</v>
      </c>
      <c r="H953" s="90">
        <f t="shared" ca="1" si="29"/>
        <v>8.4457488001658861E-3</v>
      </c>
    </row>
    <row r="954" spans="2:8" x14ac:dyDescent="0.3">
      <c r="B954" s="58">
        <f>'DATA HISTORICAL'!$B1599</f>
        <v>44515</v>
      </c>
      <c r="C954" s="60">
        <f>'DATA HISTORICAL'!$C1599</f>
        <v>8050.8</v>
      </c>
      <c r="D954" s="53">
        <f t="shared" si="28"/>
        <v>-3.7132246328014885E-3</v>
      </c>
      <c r="E954" s="53">
        <v>1.5587192284344546E-2</v>
      </c>
      <c r="G954" s="90">
        <v>946</v>
      </c>
      <c r="H954" s="90">
        <f t="shared" ca="1" si="29"/>
        <v>-5.2637338263713156E-3</v>
      </c>
    </row>
    <row r="955" spans="2:8" x14ac:dyDescent="0.3">
      <c r="B955" s="58">
        <f>'DATA HISTORICAL'!$B1600</f>
        <v>44512</v>
      </c>
      <c r="C955" s="60">
        <f>'DATA HISTORICAL'!$C1600</f>
        <v>8080.75</v>
      </c>
      <c r="D955" s="53">
        <f t="shared" si="28"/>
        <v>3.7318564951498694E-3</v>
      </c>
      <c r="E955" s="53">
        <v>1.5574155643111933E-2</v>
      </c>
      <c r="G955" s="90">
        <v>947</v>
      </c>
      <c r="H955" s="90">
        <f t="shared" ca="1" si="29"/>
        <v>1.1931847534633791E-2</v>
      </c>
    </row>
    <row r="956" spans="2:8" x14ac:dyDescent="0.3">
      <c r="B956" s="58">
        <f>'DATA HISTORICAL'!$B1601</f>
        <v>44511</v>
      </c>
      <c r="C956" s="60">
        <f>'DATA HISTORICAL'!$C1601</f>
        <v>8050.65</v>
      </c>
      <c r="D956" s="53">
        <f t="shared" si="28"/>
        <v>-6.9503821506638986E-3</v>
      </c>
      <c r="E956" s="53">
        <v>1.5556970347157693E-2</v>
      </c>
      <c r="G956" s="90">
        <v>948</v>
      </c>
      <c r="H956" s="90">
        <f t="shared" ca="1" si="29"/>
        <v>-2.4429260289423726E-4</v>
      </c>
    </row>
    <row r="957" spans="2:8" x14ac:dyDescent="0.3">
      <c r="B957" s="58">
        <f>'DATA HISTORICAL'!$B1602</f>
        <v>44510</v>
      </c>
      <c r="C957" s="60">
        <f>'DATA HISTORICAL'!$C1602</f>
        <v>8106.8</v>
      </c>
      <c r="D957" s="53">
        <f t="shared" si="28"/>
        <v>-7.2759772343629087E-3</v>
      </c>
      <c r="E957" s="53">
        <v>1.5499849981776628E-2</v>
      </c>
      <c r="G957" s="90">
        <v>949</v>
      </c>
      <c r="H957" s="90">
        <f t="shared" ca="1" si="29"/>
        <v>8.1842766472400245E-3</v>
      </c>
    </row>
    <row r="958" spans="2:8" x14ac:dyDescent="0.3">
      <c r="B958" s="58">
        <f>'DATA HISTORICAL'!$B1603</f>
        <v>44509</v>
      </c>
      <c r="C958" s="60">
        <f>'DATA HISTORICAL'!$C1603</f>
        <v>8166</v>
      </c>
      <c r="D958" s="53">
        <f t="shared" si="28"/>
        <v>-5.8669097867052808E-3</v>
      </c>
      <c r="E958" s="53">
        <v>1.5492198798089149E-2</v>
      </c>
      <c r="G958" s="90">
        <v>950</v>
      </c>
      <c r="H958" s="90">
        <f t="shared" ca="1" si="29"/>
        <v>2.9210726933656478E-2</v>
      </c>
    </row>
    <row r="959" spans="2:8" x14ac:dyDescent="0.3">
      <c r="B959" s="58">
        <f>'DATA HISTORICAL'!$B1604</f>
        <v>44508</v>
      </c>
      <c r="C959" s="60">
        <f>'DATA HISTORICAL'!$C1604</f>
        <v>8214.0499999999993</v>
      </c>
      <c r="D959" s="53">
        <f t="shared" si="28"/>
        <v>4.1416681124757042E-2</v>
      </c>
      <c r="E959" s="53">
        <v>1.5466410942771671E-2</v>
      </c>
      <c r="G959" s="90">
        <v>951</v>
      </c>
      <c r="H959" s="90">
        <f t="shared" ca="1" si="29"/>
        <v>2.6405371046187277E-2</v>
      </c>
    </row>
    <row r="960" spans="2:8" x14ac:dyDescent="0.3">
      <c r="B960" s="58">
        <f>'DATA HISTORICAL'!$B1605</f>
        <v>44504</v>
      </c>
      <c r="C960" s="60">
        <f>'DATA HISTORICAL'!$C1605</f>
        <v>7880.8</v>
      </c>
      <c r="D960" s="53">
        <f t="shared" si="28"/>
        <v>-8.9417933301068971E-4</v>
      </c>
      <c r="E960" s="53">
        <v>1.5454279105965378E-2</v>
      </c>
      <c r="G960" s="90">
        <v>952</v>
      </c>
      <c r="H960" s="90">
        <f t="shared" ca="1" si="29"/>
        <v>7.4374115721338252E-3</v>
      </c>
    </row>
    <row r="961" spans="2:8" x14ac:dyDescent="0.3">
      <c r="B961" s="58">
        <f>'DATA HISTORICAL'!$B1606</f>
        <v>44503</v>
      </c>
      <c r="C961" s="60">
        <f>'DATA HISTORICAL'!$C1606</f>
        <v>7887.85</v>
      </c>
      <c r="D961" s="53">
        <f t="shared" si="28"/>
        <v>2.2371007036668958E-2</v>
      </c>
      <c r="E961" s="53">
        <v>1.544161231407553E-2</v>
      </c>
      <c r="G961" s="90">
        <v>953</v>
      </c>
      <c r="H961" s="90">
        <f t="shared" ca="1" si="29"/>
        <v>3.9758037814805417E-3</v>
      </c>
    </row>
    <row r="962" spans="2:8" x14ac:dyDescent="0.3">
      <c r="B962" s="58">
        <f>'DATA HISTORICAL'!$B1607</f>
        <v>44502</v>
      </c>
      <c r="C962" s="60">
        <f>'DATA HISTORICAL'!$C1607</f>
        <v>7713.35</v>
      </c>
      <c r="D962" s="53">
        <f t="shared" si="28"/>
        <v>-7.9737258632466678E-3</v>
      </c>
      <c r="E962" s="53">
        <v>1.5436450390803503E-2</v>
      </c>
      <c r="G962" s="90">
        <v>954</v>
      </c>
      <c r="H962" s="90">
        <f t="shared" ca="1" si="29"/>
        <v>5.2339809731804582E-3</v>
      </c>
    </row>
    <row r="963" spans="2:8" x14ac:dyDescent="0.3">
      <c r="B963" s="58">
        <f>'DATA HISTORICAL'!$B1608</f>
        <v>44501</v>
      </c>
      <c r="C963" s="60">
        <f>'DATA HISTORICAL'!$C1608</f>
        <v>7775.1</v>
      </c>
      <c r="D963" s="53">
        <f t="shared" si="28"/>
        <v>1.8045865946003492E-2</v>
      </c>
      <c r="E963" s="53">
        <v>1.5431172821607711E-2</v>
      </c>
      <c r="G963" s="90">
        <v>955</v>
      </c>
      <c r="H963" s="90">
        <f t="shared" ca="1" si="29"/>
        <v>1.1996425531266581E-2</v>
      </c>
    </row>
    <row r="964" spans="2:8" x14ac:dyDescent="0.3">
      <c r="B964" s="58">
        <f>'DATA HISTORICAL'!$B1609</f>
        <v>44498</v>
      </c>
      <c r="C964" s="60">
        <f>'DATA HISTORICAL'!$C1609</f>
        <v>7636.05</v>
      </c>
      <c r="D964" s="53">
        <f t="shared" si="28"/>
        <v>2.5116186940346539E-2</v>
      </c>
      <c r="E964" s="53">
        <v>1.5408898527888978E-2</v>
      </c>
      <c r="G964" s="90">
        <v>956</v>
      </c>
      <c r="H964" s="90">
        <f t="shared" ca="1" si="29"/>
        <v>2.7104092093308951E-2</v>
      </c>
    </row>
    <row r="965" spans="2:8" x14ac:dyDescent="0.3">
      <c r="B965" s="58">
        <f>'DATA HISTORICAL'!$B1610</f>
        <v>44497</v>
      </c>
      <c r="C965" s="60">
        <f>'DATA HISTORICAL'!$C1610</f>
        <v>7446.65</v>
      </c>
      <c r="D965" s="53">
        <f t="shared" si="28"/>
        <v>1.2492688239533577E-2</v>
      </c>
      <c r="E965" s="53">
        <v>1.5394787682554981E-2</v>
      </c>
      <c r="G965" s="90">
        <v>957</v>
      </c>
      <c r="H965" s="90">
        <f t="shared" ca="1" si="29"/>
        <v>2.2189308573109662E-2</v>
      </c>
    </row>
    <row r="966" spans="2:8" x14ac:dyDescent="0.3">
      <c r="B966" s="58">
        <f>'DATA HISTORICAL'!$B1611</f>
        <v>44496</v>
      </c>
      <c r="C966" s="60">
        <f>'DATA HISTORICAL'!$C1611</f>
        <v>7354.2</v>
      </c>
      <c r="D966" s="53">
        <f t="shared" si="28"/>
        <v>1.1639091134677999E-2</v>
      </c>
      <c r="E966" s="53">
        <v>1.5382876518381579E-2</v>
      </c>
      <c r="G966" s="90">
        <v>958</v>
      </c>
      <c r="H966" s="90">
        <f t="shared" ca="1" si="29"/>
        <v>3.9900682623175846E-3</v>
      </c>
    </row>
    <row r="967" spans="2:8" x14ac:dyDescent="0.3">
      <c r="B967" s="58">
        <f>'DATA HISTORICAL'!$B1612</f>
        <v>44495</v>
      </c>
      <c r="C967" s="60">
        <f>'DATA HISTORICAL'!$C1612</f>
        <v>7269.1</v>
      </c>
      <c r="D967" s="53">
        <f t="shared" si="28"/>
        <v>1.6548103171639583E-2</v>
      </c>
      <c r="E967" s="53">
        <v>1.5359290863186114E-2</v>
      </c>
      <c r="G967" s="90">
        <v>959</v>
      </c>
      <c r="H967" s="90">
        <f t="shared" ca="1" si="29"/>
        <v>1.9025725622873239E-2</v>
      </c>
    </row>
    <row r="968" spans="2:8" x14ac:dyDescent="0.3">
      <c r="B968" s="58">
        <f>'DATA HISTORICAL'!$B1613</f>
        <v>44494</v>
      </c>
      <c r="C968" s="60">
        <f>'DATA HISTORICAL'!$C1613</f>
        <v>7149.8</v>
      </c>
      <c r="D968" s="53">
        <f t="shared" si="28"/>
        <v>2.797320167462234E-5</v>
      </c>
      <c r="E968" s="53">
        <v>1.5345489494238229E-2</v>
      </c>
      <c r="G968" s="90">
        <v>960</v>
      </c>
      <c r="H968" s="90">
        <f t="shared" ca="1" si="29"/>
        <v>1.6884727077192886E-2</v>
      </c>
    </row>
    <row r="969" spans="2:8" x14ac:dyDescent="0.3">
      <c r="B969" s="58">
        <f>'DATA HISTORICAL'!$B1614</f>
        <v>44491</v>
      </c>
      <c r="C969" s="60">
        <f>'DATA HISTORICAL'!$C1614</f>
        <v>7149.6</v>
      </c>
      <c r="D969" s="53">
        <f t="shared" ref="D969:D1032" si="30">LN(C969/C970)</f>
        <v>2.8854389495537314E-3</v>
      </c>
      <c r="E969" s="53">
        <v>1.5344756055050493E-2</v>
      </c>
      <c r="G969" s="90">
        <v>961</v>
      </c>
      <c r="H969" s="90">
        <f t="shared" ref="H969:H1032" ca="1" si="31">_xlfn.NORM.INV(RAND(),N$10,N$11)</f>
        <v>5.2282474420501683E-3</v>
      </c>
    </row>
    <row r="970" spans="2:8" x14ac:dyDescent="0.3">
      <c r="B970" s="58">
        <f>'DATA HISTORICAL'!$B1615</f>
        <v>44490</v>
      </c>
      <c r="C970" s="60">
        <f>'DATA HISTORICAL'!$C1615</f>
        <v>7129</v>
      </c>
      <c r="D970" s="53">
        <f t="shared" si="30"/>
        <v>-8.415973522707145E-5</v>
      </c>
      <c r="E970" s="53">
        <v>1.5330994851243356E-2</v>
      </c>
      <c r="G970" s="90">
        <v>962</v>
      </c>
      <c r="H970" s="90">
        <f t="shared" ca="1" si="31"/>
        <v>1.1637079961215557E-2</v>
      </c>
    </row>
    <row r="971" spans="2:8" x14ac:dyDescent="0.3">
      <c r="B971" s="58">
        <f>'DATA HISTORICAL'!$B1616</f>
        <v>44489</v>
      </c>
      <c r="C971" s="60">
        <f>'DATA HISTORICAL'!$C1616</f>
        <v>7129.6</v>
      </c>
      <c r="D971" s="53">
        <f t="shared" si="30"/>
        <v>-5.6644696449467662E-3</v>
      </c>
      <c r="E971" s="53">
        <v>1.5321183444537492E-2</v>
      </c>
      <c r="G971" s="90">
        <v>963</v>
      </c>
      <c r="H971" s="90">
        <f t="shared" ca="1" si="31"/>
        <v>8.4645364467689863E-3</v>
      </c>
    </row>
    <row r="972" spans="2:8" x14ac:dyDescent="0.3">
      <c r="B972" s="58">
        <f>'DATA HISTORICAL'!$B1617</f>
        <v>44488</v>
      </c>
      <c r="C972" s="60">
        <f>'DATA HISTORICAL'!$C1617</f>
        <v>7170.1</v>
      </c>
      <c r="D972" s="53">
        <f t="shared" si="30"/>
        <v>-3.1465799625513408E-2</v>
      </c>
      <c r="E972" s="53">
        <v>1.5309458851125194E-2</v>
      </c>
      <c r="G972" s="90">
        <v>964</v>
      </c>
      <c r="H972" s="90">
        <f t="shared" ca="1" si="31"/>
        <v>-3.3397443678584403E-2</v>
      </c>
    </row>
    <row r="973" spans="2:8" x14ac:dyDescent="0.3">
      <c r="B973" s="58">
        <f>'DATA HISTORICAL'!$B1618</f>
        <v>44487</v>
      </c>
      <c r="C973" s="60">
        <f>'DATA HISTORICAL'!$C1618</f>
        <v>7399.3</v>
      </c>
      <c r="D973" s="53">
        <f t="shared" si="30"/>
        <v>5.1369401189106634E-4</v>
      </c>
      <c r="E973" s="53">
        <v>1.5295057143757559E-2</v>
      </c>
      <c r="G973" s="90">
        <v>965</v>
      </c>
      <c r="H973" s="90">
        <f t="shared" ca="1" si="31"/>
        <v>2.4312159633298226E-3</v>
      </c>
    </row>
    <row r="974" spans="2:8" x14ac:dyDescent="0.3">
      <c r="B974" s="58">
        <f>'DATA HISTORICAL'!$B1619</f>
        <v>44483</v>
      </c>
      <c r="C974" s="60">
        <f>'DATA HISTORICAL'!$C1619</f>
        <v>7395.5</v>
      </c>
      <c r="D974" s="53">
        <f t="shared" si="30"/>
        <v>6.1169736166455987E-3</v>
      </c>
      <c r="E974" s="53">
        <v>1.5269939198518174E-2</v>
      </c>
      <c r="G974" s="90">
        <v>966</v>
      </c>
      <c r="H974" s="90">
        <f t="shared" ca="1" si="31"/>
        <v>9.0195712634945011E-3</v>
      </c>
    </row>
    <row r="975" spans="2:8" x14ac:dyDescent="0.3">
      <c r="B975" s="58">
        <f>'DATA HISTORICAL'!$B1620</f>
        <v>44482</v>
      </c>
      <c r="C975" s="60">
        <f>'DATA HISTORICAL'!$C1620</f>
        <v>7350.4</v>
      </c>
      <c r="D975" s="53">
        <f t="shared" si="30"/>
        <v>1.3732575204914225E-2</v>
      </c>
      <c r="E975" s="53">
        <v>1.5264538938639438E-2</v>
      </c>
      <c r="G975" s="90">
        <v>967</v>
      </c>
      <c r="H975" s="90">
        <f t="shared" ca="1" si="31"/>
        <v>2.1185931910735336E-2</v>
      </c>
    </row>
    <row r="976" spans="2:8" x14ac:dyDescent="0.3">
      <c r="B976" s="58">
        <f>'DATA HISTORICAL'!$B1621</f>
        <v>44481</v>
      </c>
      <c r="C976" s="60">
        <f>'DATA HISTORICAL'!$C1621</f>
        <v>7250.15</v>
      </c>
      <c r="D976" s="53">
        <f t="shared" si="30"/>
        <v>-1.0987463421227289E-2</v>
      </c>
      <c r="E976" s="53">
        <v>1.525211707366644E-2</v>
      </c>
      <c r="G976" s="90">
        <v>968</v>
      </c>
      <c r="H976" s="90">
        <f t="shared" ca="1" si="31"/>
        <v>2.0240194086770778E-2</v>
      </c>
    </row>
    <row r="977" spans="2:8" x14ac:dyDescent="0.3">
      <c r="B977" s="58">
        <f>'DATA HISTORICAL'!$B1622</f>
        <v>44480</v>
      </c>
      <c r="C977" s="60">
        <f>'DATA HISTORICAL'!$C1622</f>
        <v>7330.25</v>
      </c>
      <c r="D977" s="53">
        <f t="shared" si="30"/>
        <v>-7.5003412761975191E-4</v>
      </c>
      <c r="E977" s="53">
        <v>1.5244110169317208E-2</v>
      </c>
      <c r="G977" s="90">
        <v>969</v>
      </c>
      <c r="H977" s="90">
        <f t="shared" ca="1" si="31"/>
        <v>-1.2416477258325811E-2</v>
      </c>
    </row>
    <row r="978" spans="2:8" x14ac:dyDescent="0.3">
      <c r="B978" s="58">
        <f>'DATA HISTORICAL'!$B1623</f>
        <v>44477</v>
      </c>
      <c r="C978" s="60">
        <f>'DATA HISTORICAL'!$C1623</f>
        <v>7335.75</v>
      </c>
      <c r="D978" s="53">
        <f t="shared" si="30"/>
        <v>-2.5663119456568366E-3</v>
      </c>
      <c r="E978" s="53">
        <v>1.5233927073242828E-2</v>
      </c>
      <c r="G978" s="90">
        <v>970</v>
      </c>
      <c r="H978" s="90">
        <f t="shared" ca="1" si="31"/>
        <v>-1.0898257594653116E-2</v>
      </c>
    </row>
    <row r="979" spans="2:8" x14ac:dyDescent="0.3">
      <c r="B979" s="58">
        <f>'DATA HISTORICAL'!$B1624</f>
        <v>44476</v>
      </c>
      <c r="C979" s="60">
        <f>'DATA HISTORICAL'!$C1624</f>
        <v>7354.6</v>
      </c>
      <c r="D979" s="53">
        <f t="shared" si="30"/>
        <v>-1.1414905843480517E-3</v>
      </c>
      <c r="E979" s="53">
        <v>1.5229734145614883E-2</v>
      </c>
      <c r="G979" s="90">
        <v>971</v>
      </c>
      <c r="H979" s="90">
        <f t="shared" ca="1" si="31"/>
        <v>3.4339099872587646E-2</v>
      </c>
    </row>
    <row r="980" spans="2:8" x14ac:dyDescent="0.3">
      <c r="B980" s="58">
        <f>'DATA HISTORICAL'!$B1625</f>
        <v>44475</v>
      </c>
      <c r="C980" s="60">
        <f>'DATA HISTORICAL'!$C1625</f>
        <v>7363</v>
      </c>
      <c r="D980" s="53">
        <f t="shared" si="30"/>
        <v>-1.362400515846288E-2</v>
      </c>
      <c r="E980" s="53">
        <v>1.5219791975835216E-2</v>
      </c>
      <c r="G980" s="90">
        <v>972</v>
      </c>
      <c r="H980" s="90">
        <f t="shared" ca="1" si="31"/>
        <v>5.0564818369977409E-3</v>
      </c>
    </row>
    <row r="981" spans="2:8" x14ac:dyDescent="0.3">
      <c r="B981" s="58">
        <f>'DATA HISTORICAL'!$B1626</f>
        <v>44474</v>
      </c>
      <c r="C981" s="60">
        <f>'DATA HISTORICAL'!$C1626</f>
        <v>7464</v>
      </c>
      <c r="D981" s="53">
        <f t="shared" si="30"/>
        <v>-6.8893967921877814E-3</v>
      </c>
      <c r="E981" s="53">
        <v>1.5205814768282054E-2</v>
      </c>
      <c r="G981" s="90">
        <v>973</v>
      </c>
      <c r="H981" s="90">
        <f t="shared" ca="1" si="31"/>
        <v>1.9854851069196527E-2</v>
      </c>
    </row>
    <row r="982" spans="2:8" x14ac:dyDescent="0.3">
      <c r="B982" s="58">
        <f>'DATA HISTORICAL'!$B1627</f>
        <v>44473</v>
      </c>
      <c r="C982" s="60">
        <f>'DATA HISTORICAL'!$C1627</f>
        <v>7515.6</v>
      </c>
      <c r="D982" s="53">
        <f t="shared" si="30"/>
        <v>4.273582006814769E-3</v>
      </c>
      <c r="E982" s="53">
        <v>1.5197999221721381E-2</v>
      </c>
      <c r="G982" s="90">
        <v>974</v>
      </c>
      <c r="H982" s="90">
        <f t="shared" ca="1" si="31"/>
        <v>7.8748672575541974E-4</v>
      </c>
    </row>
    <row r="983" spans="2:8" x14ac:dyDescent="0.3">
      <c r="B983" s="58">
        <f>'DATA HISTORICAL'!$B1628</f>
        <v>44470</v>
      </c>
      <c r="C983" s="60">
        <f>'DATA HISTORICAL'!$C1628</f>
        <v>7483.55</v>
      </c>
      <c r="D983" s="53">
        <f t="shared" si="30"/>
        <v>1.1754444074876651E-2</v>
      </c>
      <c r="E983" s="53">
        <v>1.5187425135413069E-2</v>
      </c>
      <c r="G983" s="90">
        <v>975</v>
      </c>
      <c r="H983" s="90">
        <f t="shared" ca="1" si="31"/>
        <v>4.2619443337144538E-3</v>
      </c>
    </row>
    <row r="984" spans="2:8" x14ac:dyDescent="0.3">
      <c r="B984" s="58">
        <f>'DATA HISTORICAL'!$B1629</f>
        <v>44469</v>
      </c>
      <c r="C984" s="60">
        <f>'DATA HISTORICAL'!$C1629</f>
        <v>7396.1</v>
      </c>
      <c r="D984" s="53">
        <f t="shared" si="30"/>
        <v>-9.2123136058303318E-3</v>
      </c>
      <c r="E984" s="53">
        <v>1.5184673538317307E-2</v>
      </c>
      <c r="G984" s="90">
        <v>976</v>
      </c>
      <c r="H984" s="90">
        <f t="shared" ca="1" si="31"/>
        <v>7.3309250457018627E-3</v>
      </c>
    </row>
    <row r="985" spans="2:8" x14ac:dyDescent="0.3">
      <c r="B985" s="58">
        <f>'DATA HISTORICAL'!$B1630</f>
        <v>44468</v>
      </c>
      <c r="C985" s="60">
        <f>'DATA HISTORICAL'!$C1630</f>
        <v>7464.55</v>
      </c>
      <c r="D985" s="53">
        <f t="shared" si="30"/>
        <v>-1.644243953951393E-2</v>
      </c>
      <c r="E985" s="53">
        <v>1.5159476438860115E-2</v>
      </c>
      <c r="G985" s="90">
        <v>977</v>
      </c>
      <c r="H985" s="90">
        <f t="shared" ca="1" si="31"/>
        <v>1.2849393314994829E-2</v>
      </c>
    </row>
    <row r="986" spans="2:8" x14ac:dyDescent="0.3">
      <c r="B986" s="58">
        <f>'DATA HISTORICAL'!$B1631</f>
        <v>44467</v>
      </c>
      <c r="C986" s="60">
        <f>'DATA HISTORICAL'!$C1631</f>
        <v>7588.3</v>
      </c>
      <c r="D986" s="53">
        <f t="shared" si="30"/>
        <v>-4.5492873242727787E-3</v>
      </c>
      <c r="E986" s="53">
        <v>1.5124389435121417E-2</v>
      </c>
      <c r="G986" s="90">
        <v>978</v>
      </c>
      <c r="H986" s="90">
        <f t="shared" ca="1" si="31"/>
        <v>2.2029733131760962E-3</v>
      </c>
    </row>
    <row r="987" spans="2:8" x14ac:dyDescent="0.3">
      <c r="B987" s="58">
        <f>'DATA HISTORICAL'!$B1632</f>
        <v>44466</v>
      </c>
      <c r="C987" s="60">
        <f>'DATA HISTORICAL'!$C1632</f>
        <v>7622.9</v>
      </c>
      <c r="D987" s="53">
        <f t="shared" si="30"/>
        <v>1.3391288569414669E-2</v>
      </c>
      <c r="E987" s="53">
        <v>1.5115761594200647E-2</v>
      </c>
      <c r="G987" s="90">
        <v>979</v>
      </c>
      <c r="H987" s="90">
        <f t="shared" ca="1" si="31"/>
        <v>1.6353605598213115E-3</v>
      </c>
    </row>
    <row r="988" spans="2:8" x14ac:dyDescent="0.3">
      <c r="B988" s="58">
        <f>'DATA HISTORICAL'!$B1633</f>
        <v>44463</v>
      </c>
      <c r="C988" s="60">
        <f>'DATA HISTORICAL'!$C1633</f>
        <v>7521.5</v>
      </c>
      <c r="D988" s="53">
        <f t="shared" si="30"/>
        <v>-1.2971412689051469E-2</v>
      </c>
      <c r="E988" s="53">
        <v>1.5109408875253333E-2</v>
      </c>
      <c r="G988" s="90">
        <v>980</v>
      </c>
      <c r="H988" s="90">
        <f t="shared" ca="1" si="31"/>
        <v>-1.4826174137646701E-2</v>
      </c>
    </row>
    <row r="989" spans="2:8" x14ac:dyDescent="0.3">
      <c r="B989" s="58">
        <f>'DATA HISTORICAL'!$B1634</f>
        <v>44462</v>
      </c>
      <c r="C989" s="60">
        <f>'DATA HISTORICAL'!$C1634</f>
        <v>7619.7</v>
      </c>
      <c r="D989" s="53">
        <f t="shared" si="30"/>
        <v>-7.7400907749311217E-4</v>
      </c>
      <c r="E989" s="53">
        <v>1.5105857770164785E-2</v>
      </c>
      <c r="G989" s="90">
        <v>981</v>
      </c>
      <c r="H989" s="90">
        <f t="shared" ca="1" si="31"/>
        <v>-1.5886612556120099E-2</v>
      </c>
    </row>
    <row r="990" spans="2:8" x14ac:dyDescent="0.3">
      <c r="B990" s="58">
        <f>'DATA HISTORICAL'!$B1635</f>
        <v>44461</v>
      </c>
      <c r="C990" s="60">
        <f>'DATA HISTORICAL'!$C1635</f>
        <v>7625.6</v>
      </c>
      <c r="D990" s="53">
        <f t="shared" si="30"/>
        <v>4.3237485468020278E-3</v>
      </c>
      <c r="E990" s="53">
        <v>1.5102928181332249E-2</v>
      </c>
      <c r="G990" s="90">
        <v>982</v>
      </c>
      <c r="H990" s="90">
        <f t="shared" ca="1" si="31"/>
        <v>-7.3692374153472599E-3</v>
      </c>
    </row>
    <row r="991" spans="2:8" x14ac:dyDescent="0.3">
      <c r="B991" s="58">
        <f>'DATA HISTORICAL'!$B1636</f>
        <v>44460</v>
      </c>
      <c r="C991" s="60">
        <f>'DATA HISTORICAL'!$C1636</f>
        <v>7592.7</v>
      </c>
      <c r="D991" s="53">
        <f t="shared" si="30"/>
        <v>2.2019034917067203E-3</v>
      </c>
      <c r="E991" s="53">
        <v>1.5099972109068868E-2</v>
      </c>
      <c r="G991" s="90">
        <v>983</v>
      </c>
      <c r="H991" s="90">
        <f t="shared" ca="1" si="31"/>
        <v>2.0690236812079453E-2</v>
      </c>
    </row>
    <row r="992" spans="2:8" x14ac:dyDescent="0.3">
      <c r="B992" s="58">
        <f>'DATA HISTORICAL'!$B1637</f>
        <v>44459</v>
      </c>
      <c r="C992" s="60">
        <f>'DATA HISTORICAL'!$C1637</f>
        <v>7576</v>
      </c>
      <c r="D992" s="53">
        <f t="shared" si="30"/>
        <v>-1.7772751027840827E-2</v>
      </c>
      <c r="E992" s="53">
        <v>1.5082942863968711E-2</v>
      </c>
      <c r="G992" s="90">
        <v>984</v>
      </c>
      <c r="H992" s="90">
        <f t="shared" ca="1" si="31"/>
        <v>-5.5071375825137053E-3</v>
      </c>
    </row>
    <row r="993" spans="2:8" x14ac:dyDescent="0.3">
      <c r="B993" s="58">
        <f>'DATA HISTORICAL'!$B1638</f>
        <v>44456</v>
      </c>
      <c r="C993" s="60">
        <f>'DATA HISTORICAL'!$C1638</f>
        <v>7711.85</v>
      </c>
      <c r="D993" s="53">
        <f t="shared" si="30"/>
        <v>-6.9263003601495836E-3</v>
      </c>
      <c r="E993" s="53">
        <v>1.5048802194144468E-2</v>
      </c>
      <c r="G993" s="90">
        <v>985</v>
      </c>
      <c r="H993" s="90">
        <f t="shared" ca="1" si="31"/>
        <v>2.3822287568302888E-2</v>
      </c>
    </row>
    <row r="994" spans="2:8" x14ac:dyDescent="0.3">
      <c r="B994" s="58">
        <f>'DATA HISTORICAL'!$B1639</f>
        <v>44455</v>
      </c>
      <c r="C994" s="60">
        <f>'DATA HISTORICAL'!$C1639</f>
        <v>7765.45</v>
      </c>
      <c r="D994" s="53">
        <f t="shared" si="30"/>
        <v>-7.1088370306817963E-3</v>
      </c>
      <c r="E994" s="53">
        <v>1.5023215790326951E-2</v>
      </c>
      <c r="G994" s="90">
        <v>986</v>
      </c>
      <c r="H994" s="90">
        <f t="shared" ca="1" si="31"/>
        <v>-4.5456865913330426E-3</v>
      </c>
    </row>
    <row r="995" spans="2:8" x14ac:dyDescent="0.3">
      <c r="B995" s="58">
        <f>'DATA HISTORICAL'!$B1640</f>
        <v>44454</v>
      </c>
      <c r="C995" s="60">
        <f>'DATA HISTORICAL'!$C1640</f>
        <v>7820.85</v>
      </c>
      <c r="D995" s="53">
        <f t="shared" si="30"/>
        <v>-4.5416061682814054E-3</v>
      </c>
      <c r="E995" s="53">
        <v>1.4974634762647805E-2</v>
      </c>
      <c r="G995" s="90">
        <v>987</v>
      </c>
      <c r="H995" s="90">
        <f t="shared" ca="1" si="31"/>
        <v>1.2586578316455821E-2</v>
      </c>
    </row>
    <row r="996" spans="2:8" x14ac:dyDescent="0.3">
      <c r="B996" s="58">
        <f>'DATA HISTORICAL'!$B1641</f>
        <v>44453</v>
      </c>
      <c r="C996" s="60">
        <f>'DATA HISTORICAL'!$C1641</f>
        <v>7856.45</v>
      </c>
      <c r="D996" s="53">
        <f t="shared" si="30"/>
        <v>-1.1138721193466695E-2</v>
      </c>
      <c r="E996" s="53">
        <v>1.4949414260904832E-2</v>
      </c>
      <c r="G996" s="90">
        <v>988</v>
      </c>
      <c r="H996" s="90">
        <f t="shared" ca="1" si="31"/>
        <v>1.6127667203939397E-3</v>
      </c>
    </row>
    <row r="997" spans="2:8" x14ac:dyDescent="0.3">
      <c r="B997" s="58">
        <f>'DATA HISTORICAL'!$B1642</f>
        <v>44452</v>
      </c>
      <c r="C997" s="60">
        <f>'DATA HISTORICAL'!$C1642</f>
        <v>7944.45</v>
      </c>
      <c r="D997" s="53">
        <f t="shared" si="30"/>
        <v>6.0437798126544544E-4</v>
      </c>
      <c r="E997" s="53">
        <v>1.4940885319146802E-2</v>
      </c>
      <c r="G997" s="90">
        <v>989</v>
      </c>
      <c r="H997" s="90">
        <f t="shared" ca="1" si="31"/>
        <v>2.5805043247405297E-2</v>
      </c>
    </row>
    <row r="998" spans="2:8" x14ac:dyDescent="0.3">
      <c r="B998" s="58">
        <f>'DATA HISTORICAL'!$B1643</f>
        <v>44448</v>
      </c>
      <c r="C998" s="60">
        <f>'DATA HISTORICAL'!$C1643</f>
        <v>7939.65</v>
      </c>
      <c r="D998" s="53">
        <f t="shared" si="30"/>
        <v>-6.6844539356087605E-3</v>
      </c>
      <c r="E998" s="53">
        <v>1.4934005898780545E-2</v>
      </c>
      <c r="G998" s="90">
        <v>990</v>
      </c>
      <c r="H998" s="90">
        <f t="shared" ca="1" si="31"/>
        <v>2.4597521141546629E-2</v>
      </c>
    </row>
    <row r="999" spans="2:8" x14ac:dyDescent="0.3">
      <c r="B999" s="58">
        <f>'DATA HISTORICAL'!$B1644</f>
        <v>44447</v>
      </c>
      <c r="C999" s="60">
        <f>'DATA HISTORICAL'!$C1644</f>
        <v>7992.9</v>
      </c>
      <c r="D999" s="53">
        <f t="shared" si="30"/>
        <v>-4.1637725075803333E-3</v>
      </c>
      <c r="E999" s="53">
        <v>1.4918988856892397E-2</v>
      </c>
      <c r="G999" s="90">
        <v>991</v>
      </c>
      <c r="H999" s="90">
        <f t="shared" ca="1" si="31"/>
        <v>6.5375740083299383E-3</v>
      </c>
    </row>
    <row r="1000" spans="2:8" x14ac:dyDescent="0.3">
      <c r="B1000" s="58">
        <f>'DATA HISTORICAL'!$B1645</f>
        <v>44446</v>
      </c>
      <c r="C1000" s="60">
        <f>'DATA HISTORICAL'!$C1645</f>
        <v>8026.25</v>
      </c>
      <c r="D1000" s="53">
        <f t="shared" si="30"/>
        <v>9.2185009019632586E-3</v>
      </c>
      <c r="E1000" s="53">
        <v>1.4915243005111357E-2</v>
      </c>
      <c r="G1000" s="90">
        <v>992</v>
      </c>
      <c r="H1000" s="90">
        <f t="shared" ca="1" si="31"/>
        <v>8.2782883132436948E-3</v>
      </c>
    </row>
    <row r="1001" spans="2:8" x14ac:dyDescent="0.3">
      <c r="B1001" s="58">
        <f>'DATA HISTORICAL'!$B1646</f>
        <v>44445</v>
      </c>
      <c r="C1001" s="60">
        <f>'DATA HISTORICAL'!$C1646</f>
        <v>7952.6</v>
      </c>
      <c r="D1001" s="53">
        <f t="shared" si="30"/>
        <v>2.864799267020335E-3</v>
      </c>
      <c r="E1001" s="53">
        <v>1.4911785464146208E-2</v>
      </c>
      <c r="G1001" s="90">
        <v>993</v>
      </c>
      <c r="H1001" s="90">
        <f t="shared" ca="1" si="31"/>
        <v>1.8658271544235647E-3</v>
      </c>
    </row>
    <row r="1002" spans="2:8" x14ac:dyDescent="0.3">
      <c r="B1002" s="58">
        <f>'DATA HISTORICAL'!$B1647</f>
        <v>44442</v>
      </c>
      <c r="C1002" s="60">
        <f>'DATA HISTORICAL'!$C1647</f>
        <v>7929.85</v>
      </c>
      <c r="D1002" s="53">
        <f t="shared" si="30"/>
        <v>-2.8836608450433913E-3</v>
      </c>
      <c r="E1002" s="53">
        <v>1.4903092670259133E-2</v>
      </c>
      <c r="G1002" s="90">
        <v>994</v>
      </c>
      <c r="H1002" s="90">
        <f t="shared" ca="1" si="31"/>
        <v>2.7770256950317995E-2</v>
      </c>
    </row>
    <row r="1003" spans="2:8" x14ac:dyDescent="0.3">
      <c r="B1003" s="58">
        <f>'DATA HISTORICAL'!$B1648</f>
        <v>44441</v>
      </c>
      <c r="C1003" s="60">
        <f>'DATA HISTORICAL'!$C1648</f>
        <v>7952.75</v>
      </c>
      <c r="D1003" s="53">
        <f t="shared" si="30"/>
        <v>2.3640228877344259E-2</v>
      </c>
      <c r="E1003" s="53">
        <v>1.4902083040142169E-2</v>
      </c>
      <c r="G1003" s="90">
        <v>995</v>
      </c>
      <c r="H1003" s="90">
        <f t="shared" ca="1" si="31"/>
        <v>3.2095772981313719E-2</v>
      </c>
    </row>
    <row r="1004" spans="2:8" x14ac:dyDescent="0.3">
      <c r="B1004" s="58">
        <f>'DATA HISTORICAL'!$B1649</f>
        <v>44440</v>
      </c>
      <c r="C1004" s="60">
        <f>'DATA HISTORICAL'!$C1649</f>
        <v>7766.95</v>
      </c>
      <c r="D1004" s="53">
        <f t="shared" si="30"/>
        <v>-8.3978082411617378E-3</v>
      </c>
      <c r="E1004" s="53">
        <v>1.487407573482977E-2</v>
      </c>
      <c r="G1004" s="90">
        <v>996</v>
      </c>
      <c r="H1004" s="90">
        <f t="shared" ca="1" si="31"/>
        <v>6.0877844288121825E-3</v>
      </c>
    </row>
    <row r="1005" spans="2:8" x14ac:dyDescent="0.3">
      <c r="B1005" s="58">
        <f>'DATA HISTORICAL'!$B1650</f>
        <v>44439</v>
      </c>
      <c r="C1005" s="60">
        <f>'DATA HISTORICAL'!$C1650</f>
        <v>7832.45</v>
      </c>
      <c r="D1005" s="53">
        <f t="shared" si="30"/>
        <v>1.6561646547133511E-2</v>
      </c>
      <c r="E1005" s="53">
        <v>1.4851089745580274E-2</v>
      </c>
      <c r="G1005" s="90">
        <v>997</v>
      </c>
      <c r="H1005" s="90">
        <f t="shared" ca="1" si="31"/>
        <v>7.6402182842032363E-3</v>
      </c>
    </row>
    <row r="1006" spans="2:8" x14ac:dyDescent="0.3">
      <c r="B1006" s="58">
        <f>'DATA HISTORICAL'!$B1651</f>
        <v>44438</v>
      </c>
      <c r="C1006" s="60">
        <f>'DATA HISTORICAL'!$C1651</f>
        <v>7703.8</v>
      </c>
      <c r="D1006" s="53">
        <f t="shared" si="30"/>
        <v>1.8102056899699154E-2</v>
      </c>
      <c r="E1006" s="53">
        <v>1.4815162908093616E-2</v>
      </c>
      <c r="G1006" s="90">
        <v>998</v>
      </c>
      <c r="H1006" s="90">
        <f t="shared" ca="1" si="31"/>
        <v>2.6446620886096395E-2</v>
      </c>
    </row>
    <row r="1007" spans="2:8" x14ac:dyDescent="0.3">
      <c r="B1007" s="58">
        <f>'DATA HISTORICAL'!$B1652</f>
        <v>44435</v>
      </c>
      <c r="C1007" s="60">
        <f>'DATA HISTORICAL'!$C1652</f>
        <v>7565.6</v>
      </c>
      <c r="D1007" s="53">
        <f t="shared" si="30"/>
        <v>3.476517849668221E-2</v>
      </c>
      <c r="E1007" s="53">
        <v>1.477038605556665E-2</v>
      </c>
      <c r="G1007" s="90">
        <v>999</v>
      </c>
      <c r="H1007" s="90">
        <f t="shared" ca="1" si="31"/>
        <v>-4.6077815227835066E-3</v>
      </c>
    </row>
    <row r="1008" spans="2:8" x14ac:dyDescent="0.3">
      <c r="B1008" s="58">
        <f>'DATA HISTORICAL'!$B1653</f>
        <v>44434</v>
      </c>
      <c r="C1008" s="60">
        <f>'DATA HISTORICAL'!$C1653</f>
        <v>7307.1</v>
      </c>
      <c r="D1008" s="53">
        <f t="shared" si="30"/>
        <v>-1.0245537886685573E-2</v>
      </c>
      <c r="E1008" s="53">
        <v>1.4770054941692675E-2</v>
      </c>
      <c r="G1008" s="90">
        <v>1000</v>
      </c>
      <c r="H1008" s="90">
        <f t="shared" ca="1" si="31"/>
        <v>-2.0796264586261461E-2</v>
      </c>
    </row>
    <row r="1009" spans="2:8" x14ac:dyDescent="0.3">
      <c r="B1009" s="58">
        <f>'DATA HISTORICAL'!$B1654</f>
        <v>44433</v>
      </c>
      <c r="C1009" s="60">
        <f>'DATA HISTORICAL'!$C1654</f>
        <v>7382.35</v>
      </c>
      <c r="D1009" s="53">
        <f t="shared" si="30"/>
        <v>-9.8398793623010617E-3</v>
      </c>
      <c r="E1009" s="53">
        <v>1.4748882957930937E-2</v>
      </c>
      <c r="G1009" s="90">
        <v>1001</v>
      </c>
      <c r="H1009" s="90">
        <f t="shared" ca="1" si="31"/>
        <v>5.6883457916559466E-7</v>
      </c>
    </row>
    <row r="1010" spans="2:8" x14ac:dyDescent="0.3">
      <c r="B1010" s="58">
        <f>'DATA HISTORICAL'!$B1655</f>
        <v>44432</v>
      </c>
      <c r="C1010" s="60">
        <f>'DATA HISTORICAL'!$C1655</f>
        <v>7455.35</v>
      </c>
      <c r="D1010" s="53">
        <f t="shared" si="30"/>
        <v>1.4095537079519004E-2</v>
      </c>
      <c r="E1010" s="53">
        <v>1.470586797036794E-2</v>
      </c>
      <c r="G1010" s="90">
        <v>1002</v>
      </c>
      <c r="H1010" s="90">
        <f t="shared" ca="1" si="31"/>
        <v>-6.0586523830833718E-4</v>
      </c>
    </row>
    <row r="1011" spans="2:8" x14ac:dyDescent="0.3">
      <c r="B1011" s="58">
        <f>'DATA HISTORICAL'!$B1656</f>
        <v>44431</v>
      </c>
      <c r="C1011" s="60">
        <f>'DATA HISTORICAL'!$C1656</f>
        <v>7351</v>
      </c>
      <c r="D1011" s="53">
        <f t="shared" si="30"/>
        <v>-1.9179602162244815E-2</v>
      </c>
      <c r="E1011" s="53">
        <v>1.4678619036727991E-2</v>
      </c>
      <c r="G1011" s="90">
        <v>1003</v>
      </c>
      <c r="H1011" s="90">
        <f t="shared" ca="1" si="31"/>
        <v>-3.3920528865762902E-3</v>
      </c>
    </row>
    <row r="1012" spans="2:8" x14ac:dyDescent="0.3">
      <c r="B1012" s="58">
        <f>'DATA HISTORICAL'!$B1657</f>
        <v>44428</v>
      </c>
      <c r="C1012" s="60">
        <f>'DATA HISTORICAL'!$C1657</f>
        <v>7493.35</v>
      </c>
      <c r="D1012" s="53">
        <f t="shared" si="30"/>
        <v>-1.4323058013777111E-2</v>
      </c>
      <c r="E1012" s="53">
        <v>1.4676154559271105E-2</v>
      </c>
      <c r="G1012" s="90">
        <v>1004</v>
      </c>
      <c r="H1012" s="90">
        <f t="shared" ca="1" si="31"/>
        <v>2.1968787577651076E-2</v>
      </c>
    </row>
    <row r="1013" spans="2:8" x14ac:dyDescent="0.3">
      <c r="B1013" s="58">
        <f>'DATA HISTORICAL'!$B1658</f>
        <v>44426</v>
      </c>
      <c r="C1013" s="60">
        <f>'DATA HISTORICAL'!$C1658</f>
        <v>7601.45</v>
      </c>
      <c r="D1013" s="53">
        <f t="shared" si="30"/>
        <v>2.5636792607161993E-2</v>
      </c>
      <c r="E1013" s="53">
        <v>1.4664572250774416E-2</v>
      </c>
      <c r="G1013" s="90">
        <v>1005</v>
      </c>
      <c r="H1013" s="90">
        <f t="shared" ca="1" si="31"/>
        <v>1.5688749965153948E-2</v>
      </c>
    </row>
    <row r="1014" spans="2:8" x14ac:dyDescent="0.3">
      <c r="B1014" s="58">
        <f>'DATA HISTORICAL'!$B1659</f>
        <v>44425</v>
      </c>
      <c r="C1014" s="60">
        <f>'DATA HISTORICAL'!$C1659</f>
        <v>7409.05</v>
      </c>
      <c r="D1014" s="53">
        <f t="shared" si="30"/>
        <v>8.457798949320602E-3</v>
      </c>
      <c r="E1014" s="53">
        <v>1.4654495026120823E-2</v>
      </c>
      <c r="G1014" s="90">
        <v>1006</v>
      </c>
      <c r="H1014" s="90">
        <f t="shared" ca="1" si="31"/>
        <v>1.0519063302291333E-2</v>
      </c>
    </row>
    <row r="1015" spans="2:8" x14ac:dyDescent="0.3">
      <c r="B1015" s="58">
        <f>'DATA HISTORICAL'!$B1660</f>
        <v>44424</v>
      </c>
      <c r="C1015" s="60">
        <f>'DATA HISTORICAL'!$C1660</f>
        <v>7346.65</v>
      </c>
      <c r="D1015" s="53">
        <f t="shared" si="30"/>
        <v>-1.5404816582226637E-2</v>
      </c>
      <c r="E1015" s="53">
        <v>1.4624761098473093E-2</v>
      </c>
      <c r="G1015" s="90">
        <v>1007</v>
      </c>
      <c r="H1015" s="90">
        <f t="shared" ca="1" si="31"/>
        <v>7.014230609830658E-3</v>
      </c>
    </row>
    <row r="1016" spans="2:8" x14ac:dyDescent="0.3">
      <c r="B1016" s="58">
        <f>'DATA HISTORICAL'!$B1661</f>
        <v>44421</v>
      </c>
      <c r="C1016" s="60">
        <f>'DATA HISTORICAL'!$C1661</f>
        <v>7460.7</v>
      </c>
      <c r="D1016" s="53">
        <f t="shared" si="30"/>
        <v>-1.0717109549894738E-3</v>
      </c>
      <c r="E1016" s="53">
        <v>1.4551930228461527E-2</v>
      </c>
      <c r="G1016" s="90">
        <v>1008</v>
      </c>
      <c r="H1016" s="90">
        <f t="shared" ca="1" si="31"/>
        <v>4.7643255980184783E-3</v>
      </c>
    </row>
    <row r="1017" spans="2:8" x14ac:dyDescent="0.3">
      <c r="B1017" s="58">
        <f>'DATA HISTORICAL'!$B1662</f>
        <v>44420</v>
      </c>
      <c r="C1017" s="60">
        <f>'DATA HISTORICAL'!$C1662</f>
        <v>7468.7</v>
      </c>
      <c r="D1017" s="53">
        <f t="shared" si="30"/>
        <v>2.178117159123639E-3</v>
      </c>
      <c r="E1017" s="53">
        <v>1.4544354837558515E-2</v>
      </c>
      <c r="G1017" s="90">
        <v>1009</v>
      </c>
      <c r="H1017" s="90">
        <f t="shared" ca="1" si="31"/>
        <v>9.7768732091032193E-3</v>
      </c>
    </row>
    <row r="1018" spans="2:8" x14ac:dyDescent="0.3">
      <c r="B1018" s="58">
        <f>'DATA HISTORICAL'!$B1663</f>
        <v>44419</v>
      </c>
      <c r="C1018" s="60">
        <f>'DATA HISTORICAL'!$C1663</f>
        <v>7452.45</v>
      </c>
      <c r="D1018" s="53">
        <f t="shared" si="30"/>
        <v>-2.9075630468437023E-3</v>
      </c>
      <c r="E1018" s="53">
        <v>1.4531313897821148E-2</v>
      </c>
      <c r="G1018" s="90">
        <v>1010</v>
      </c>
      <c r="H1018" s="90">
        <f t="shared" ca="1" si="31"/>
        <v>9.602529194047596E-3</v>
      </c>
    </row>
    <row r="1019" spans="2:8" x14ac:dyDescent="0.3">
      <c r="B1019" s="58">
        <f>'DATA HISTORICAL'!$B1664</f>
        <v>44418</v>
      </c>
      <c r="C1019" s="60">
        <f>'DATA HISTORICAL'!$C1664</f>
        <v>7474.15</v>
      </c>
      <c r="D1019" s="53">
        <f t="shared" si="30"/>
        <v>-2.8724518407731462E-3</v>
      </c>
      <c r="E1019" s="53">
        <v>1.4491308818659966E-2</v>
      </c>
      <c r="G1019" s="90">
        <v>1011</v>
      </c>
      <c r="H1019" s="90">
        <f t="shared" ca="1" si="31"/>
        <v>2.125677101779426E-2</v>
      </c>
    </row>
    <row r="1020" spans="2:8" x14ac:dyDescent="0.3">
      <c r="B1020" s="58">
        <f>'DATA HISTORICAL'!$B1665</f>
        <v>44417</v>
      </c>
      <c r="C1020" s="60">
        <f>'DATA HISTORICAL'!$C1665</f>
        <v>7495.65</v>
      </c>
      <c r="D1020" s="53">
        <f t="shared" si="30"/>
        <v>-4.2600558325872687E-3</v>
      </c>
      <c r="E1020" s="53">
        <v>1.4487708454370356E-2</v>
      </c>
      <c r="G1020" s="90">
        <v>1012</v>
      </c>
      <c r="H1020" s="90">
        <f t="shared" ca="1" si="31"/>
        <v>-1.1685088273637231E-2</v>
      </c>
    </row>
    <row r="1021" spans="2:8" x14ac:dyDescent="0.3">
      <c r="B1021" s="58">
        <f>'DATA HISTORICAL'!$B1666</f>
        <v>44414</v>
      </c>
      <c r="C1021" s="60">
        <f>'DATA HISTORICAL'!$C1666</f>
        <v>7527.65</v>
      </c>
      <c r="D1021" s="53">
        <f t="shared" si="30"/>
        <v>-1.7298518817670215E-2</v>
      </c>
      <c r="E1021" s="53">
        <v>1.4478173142408471E-2</v>
      </c>
      <c r="G1021" s="90">
        <v>1013</v>
      </c>
      <c r="H1021" s="90">
        <f t="shared" ca="1" si="31"/>
        <v>-7.4002356660310921E-3</v>
      </c>
    </row>
    <row r="1022" spans="2:8" x14ac:dyDescent="0.3">
      <c r="B1022" s="58">
        <f>'DATA HISTORICAL'!$B1667</f>
        <v>44413</v>
      </c>
      <c r="C1022" s="60">
        <f>'DATA HISTORICAL'!$C1667</f>
        <v>7659</v>
      </c>
      <c r="D1022" s="53">
        <f t="shared" si="30"/>
        <v>-1.1811416437799118E-2</v>
      </c>
      <c r="E1022" s="53">
        <v>1.4476750949854799E-2</v>
      </c>
      <c r="G1022" s="90">
        <v>1014</v>
      </c>
      <c r="H1022" s="90">
        <f t="shared" ca="1" si="31"/>
        <v>1.3694153301536314E-2</v>
      </c>
    </row>
    <row r="1023" spans="2:8" x14ac:dyDescent="0.3">
      <c r="B1023" s="58">
        <f>'DATA HISTORICAL'!$B1668</f>
        <v>44412</v>
      </c>
      <c r="C1023" s="60">
        <f>'DATA HISTORICAL'!$C1668</f>
        <v>7750</v>
      </c>
      <c r="D1023" s="53">
        <f t="shared" si="30"/>
        <v>-1.1960445915081218E-2</v>
      </c>
      <c r="E1023" s="53">
        <v>1.4474032011363902E-2</v>
      </c>
      <c r="G1023" s="90">
        <v>1015</v>
      </c>
      <c r="H1023" s="90">
        <f t="shared" ca="1" si="31"/>
        <v>5.0888597094911449E-3</v>
      </c>
    </row>
    <row r="1024" spans="2:8" x14ac:dyDescent="0.3">
      <c r="B1024" s="58">
        <f>'DATA HISTORICAL'!$B1669</f>
        <v>44411</v>
      </c>
      <c r="C1024" s="60">
        <f>'DATA HISTORICAL'!$C1669</f>
        <v>7843.25</v>
      </c>
      <c r="D1024" s="53">
        <f t="shared" si="30"/>
        <v>2.5987397487186953E-2</v>
      </c>
      <c r="E1024" s="53">
        <v>1.4472904385971947E-2</v>
      </c>
      <c r="G1024" s="90">
        <v>1016</v>
      </c>
      <c r="H1024" s="90">
        <f t="shared" ca="1" si="31"/>
        <v>3.9318290924644254E-3</v>
      </c>
    </row>
    <row r="1025" spans="2:8" x14ac:dyDescent="0.3">
      <c r="B1025" s="58">
        <f>'DATA HISTORICAL'!$B1670</f>
        <v>44410</v>
      </c>
      <c r="C1025" s="60">
        <f>'DATA HISTORICAL'!$C1670</f>
        <v>7642.05</v>
      </c>
      <c r="D1025" s="53">
        <f t="shared" si="30"/>
        <v>2.9945144827432054E-3</v>
      </c>
      <c r="E1025" s="53">
        <v>1.4465054528776243E-2</v>
      </c>
      <c r="G1025" s="90">
        <v>1017</v>
      </c>
      <c r="H1025" s="90">
        <f t="shared" ca="1" si="31"/>
        <v>-9.6933437974561568E-3</v>
      </c>
    </row>
    <row r="1026" spans="2:8" x14ac:dyDescent="0.3">
      <c r="B1026" s="58">
        <f>'DATA HISTORICAL'!$B1671</f>
        <v>44407</v>
      </c>
      <c r="C1026" s="60">
        <f>'DATA HISTORICAL'!$C1671</f>
        <v>7619.2</v>
      </c>
      <c r="D1026" s="53">
        <f t="shared" si="30"/>
        <v>-1.0607391400031831E-2</v>
      </c>
      <c r="E1026" s="53">
        <v>1.445885432229977E-2</v>
      </c>
      <c r="G1026" s="90">
        <v>1018</v>
      </c>
      <c r="H1026" s="90">
        <f t="shared" ca="1" si="31"/>
        <v>-4.5549085661875542E-3</v>
      </c>
    </row>
    <row r="1027" spans="2:8" x14ac:dyDescent="0.3">
      <c r="B1027" s="58">
        <f>'DATA HISTORICAL'!$B1672</f>
        <v>44406</v>
      </c>
      <c r="C1027" s="60">
        <f>'DATA HISTORICAL'!$C1672</f>
        <v>7700.45</v>
      </c>
      <c r="D1027" s="53">
        <f t="shared" si="30"/>
        <v>5.9654623965523451E-3</v>
      </c>
      <c r="E1027" s="53">
        <v>1.443001011039804E-2</v>
      </c>
      <c r="G1027" s="90">
        <v>1019</v>
      </c>
      <c r="H1027" s="90">
        <f t="shared" ca="1" si="31"/>
        <v>1.4247563156722119E-2</v>
      </c>
    </row>
    <row r="1028" spans="2:8" x14ac:dyDescent="0.3">
      <c r="B1028" s="58">
        <f>'DATA HISTORICAL'!$B1673</f>
        <v>44405</v>
      </c>
      <c r="C1028" s="60">
        <f>'DATA HISTORICAL'!$C1673</f>
        <v>7654.65</v>
      </c>
      <c r="D1028" s="53">
        <f t="shared" si="30"/>
        <v>7.6586018464580964E-3</v>
      </c>
      <c r="E1028" s="53">
        <v>1.4421043494699153E-2</v>
      </c>
      <c r="G1028" s="90">
        <v>1020</v>
      </c>
      <c r="H1028" s="90">
        <f t="shared" ca="1" si="31"/>
        <v>1.860022489284777E-2</v>
      </c>
    </row>
    <row r="1029" spans="2:8" x14ac:dyDescent="0.3">
      <c r="B1029" s="58">
        <f>'DATA HISTORICAL'!$B1674</f>
        <v>44404</v>
      </c>
      <c r="C1029" s="60">
        <f>'DATA HISTORICAL'!$C1674</f>
        <v>7596.25</v>
      </c>
      <c r="D1029" s="53">
        <f t="shared" si="30"/>
        <v>-2.6885005627146487E-3</v>
      </c>
      <c r="E1029" s="53">
        <v>1.440252626507357E-2</v>
      </c>
      <c r="G1029" s="90">
        <v>1021</v>
      </c>
      <c r="H1029" s="90">
        <f t="shared" ca="1" si="31"/>
        <v>1.868824108001068E-2</v>
      </c>
    </row>
    <row r="1030" spans="2:8" x14ac:dyDescent="0.3">
      <c r="B1030" s="58">
        <f>'DATA HISTORICAL'!$B1675</f>
        <v>44403</v>
      </c>
      <c r="C1030" s="60">
        <f>'DATA HISTORICAL'!$C1675</f>
        <v>7616.7</v>
      </c>
      <c r="D1030" s="53">
        <f t="shared" si="30"/>
        <v>1.6734354898591198E-2</v>
      </c>
      <c r="E1030" s="53">
        <v>1.4394012812736383E-2</v>
      </c>
      <c r="G1030" s="90">
        <v>1022</v>
      </c>
      <c r="H1030" s="90">
        <f t="shared" ca="1" si="31"/>
        <v>4.9942984458766063E-2</v>
      </c>
    </row>
    <row r="1031" spans="2:8" x14ac:dyDescent="0.3">
      <c r="B1031" s="58">
        <f>'DATA HISTORICAL'!$B1676</f>
        <v>44400</v>
      </c>
      <c r="C1031" s="60">
        <f>'DATA HISTORICAL'!$C1676</f>
        <v>7490.3</v>
      </c>
      <c r="D1031" s="53">
        <f t="shared" si="30"/>
        <v>4.1874931585250633E-3</v>
      </c>
      <c r="E1031" s="53">
        <v>1.4353053528715957E-2</v>
      </c>
      <c r="G1031" s="90">
        <v>1023</v>
      </c>
      <c r="H1031" s="90">
        <f t="shared" ca="1" si="31"/>
        <v>-1.3734671111319794E-2</v>
      </c>
    </row>
    <row r="1032" spans="2:8" x14ac:dyDescent="0.3">
      <c r="B1032" s="58">
        <f>'DATA HISTORICAL'!$B1677</f>
        <v>44399</v>
      </c>
      <c r="C1032" s="60">
        <f>'DATA HISTORICAL'!$C1677</f>
        <v>7459</v>
      </c>
      <c r="D1032" s="53">
        <f t="shared" si="30"/>
        <v>4.6090771409320963E-3</v>
      </c>
      <c r="E1032" s="53">
        <v>1.4348824167400938E-2</v>
      </c>
      <c r="G1032" s="90">
        <v>1024</v>
      </c>
      <c r="H1032" s="90">
        <f t="shared" ca="1" si="31"/>
        <v>-1.5454854268450446E-2</v>
      </c>
    </row>
    <row r="1033" spans="2:8" x14ac:dyDescent="0.3">
      <c r="B1033" s="58">
        <f>'DATA HISTORICAL'!$B1678</f>
        <v>44397</v>
      </c>
      <c r="C1033" s="60">
        <f>'DATA HISTORICAL'!$C1678</f>
        <v>7424.7</v>
      </c>
      <c r="D1033" s="53">
        <f t="shared" ref="D1033:D1096" si="32">LN(C1033/C1034)</f>
        <v>1.5247580305022643E-2</v>
      </c>
      <c r="E1033" s="53">
        <v>1.432929025830949E-2</v>
      </c>
      <c r="G1033" s="90">
        <v>1025</v>
      </c>
      <c r="H1033" s="90">
        <f t="shared" ref="H1033:H1096" ca="1" si="33">_xlfn.NORM.INV(RAND(),N$10,N$11)</f>
        <v>2.042948781933333E-2</v>
      </c>
    </row>
    <row r="1034" spans="2:8" x14ac:dyDescent="0.3">
      <c r="B1034" s="58">
        <f>'DATA HISTORICAL'!$B1679</f>
        <v>44396</v>
      </c>
      <c r="C1034" s="60">
        <f>'DATA HISTORICAL'!$C1679</f>
        <v>7312.35</v>
      </c>
      <c r="D1034" s="53">
        <f t="shared" si="32"/>
        <v>-3.0313604926528121E-3</v>
      </c>
      <c r="E1034" s="53">
        <v>1.4317773158197775E-2</v>
      </c>
      <c r="G1034" s="90">
        <v>1026</v>
      </c>
      <c r="H1034" s="90">
        <f t="shared" ca="1" si="33"/>
        <v>-8.1421075878765695E-3</v>
      </c>
    </row>
    <row r="1035" spans="2:8" x14ac:dyDescent="0.3">
      <c r="B1035" s="58">
        <f>'DATA HISTORICAL'!$B1680</f>
        <v>44393</v>
      </c>
      <c r="C1035" s="60">
        <f>'DATA HISTORICAL'!$C1680</f>
        <v>7334.55</v>
      </c>
      <c r="D1035" s="53">
        <f t="shared" si="32"/>
        <v>1.9953568192061257E-2</v>
      </c>
      <c r="E1035" s="53">
        <v>1.431326025626972E-2</v>
      </c>
      <c r="G1035" s="90">
        <v>1027</v>
      </c>
      <c r="H1035" s="90">
        <f t="shared" ca="1" si="33"/>
        <v>2.167748376537236E-4</v>
      </c>
    </row>
    <row r="1036" spans="2:8" x14ac:dyDescent="0.3">
      <c r="B1036" s="58">
        <f>'DATA HISTORICAL'!$B1681</f>
        <v>44392</v>
      </c>
      <c r="C1036" s="60">
        <f>'DATA HISTORICAL'!$C1681</f>
        <v>7189.65</v>
      </c>
      <c r="D1036" s="53">
        <f t="shared" si="32"/>
        <v>1.0008680319264352E-2</v>
      </c>
      <c r="E1036" s="53">
        <v>1.4296660039634319E-2</v>
      </c>
      <c r="G1036" s="90">
        <v>1028</v>
      </c>
      <c r="H1036" s="90">
        <f t="shared" ca="1" si="33"/>
        <v>2.2422874743071555E-3</v>
      </c>
    </row>
    <row r="1037" spans="2:8" x14ac:dyDescent="0.3">
      <c r="B1037" s="58">
        <f>'DATA HISTORICAL'!$B1682</f>
        <v>44391</v>
      </c>
      <c r="C1037" s="60">
        <f>'DATA HISTORICAL'!$C1682</f>
        <v>7118.05</v>
      </c>
      <c r="D1037" s="53">
        <f t="shared" si="32"/>
        <v>-1.5161195865425585E-3</v>
      </c>
      <c r="E1037" s="53">
        <v>1.4294975548664346E-2</v>
      </c>
      <c r="G1037" s="90">
        <v>1029</v>
      </c>
      <c r="H1037" s="90">
        <f t="shared" ca="1" si="33"/>
        <v>1.9828869678379459E-2</v>
      </c>
    </row>
    <row r="1038" spans="2:8" x14ac:dyDescent="0.3">
      <c r="B1038" s="58">
        <f>'DATA HISTORICAL'!$B1683</f>
        <v>44390</v>
      </c>
      <c r="C1038" s="60">
        <f>'DATA HISTORICAL'!$C1683</f>
        <v>7128.85</v>
      </c>
      <c r="D1038" s="53">
        <f t="shared" si="32"/>
        <v>4.935816413264924E-3</v>
      </c>
      <c r="E1038" s="53">
        <v>1.4288526373610187E-2</v>
      </c>
      <c r="G1038" s="90">
        <v>1030</v>
      </c>
      <c r="H1038" s="90">
        <f t="shared" ca="1" si="33"/>
        <v>-4.6770930642497585E-4</v>
      </c>
    </row>
    <row r="1039" spans="2:8" x14ac:dyDescent="0.3">
      <c r="B1039" s="58">
        <f>'DATA HISTORICAL'!$B1684</f>
        <v>44389</v>
      </c>
      <c r="C1039" s="60">
        <f>'DATA HISTORICAL'!$C1684</f>
        <v>7093.75</v>
      </c>
      <c r="D1039" s="53">
        <f t="shared" si="32"/>
        <v>2.7757922596513204E-2</v>
      </c>
      <c r="E1039" s="53">
        <v>1.425442897656431E-2</v>
      </c>
      <c r="G1039" s="90">
        <v>1031</v>
      </c>
      <c r="H1039" s="90">
        <f t="shared" ca="1" si="33"/>
        <v>9.6894450393552756E-3</v>
      </c>
    </row>
    <row r="1040" spans="2:8" x14ac:dyDescent="0.3">
      <c r="B1040" s="58">
        <f>'DATA HISTORICAL'!$B1685</f>
        <v>44386</v>
      </c>
      <c r="C1040" s="60">
        <f>'DATA HISTORICAL'!$C1685</f>
        <v>6899.55</v>
      </c>
      <c r="D1040" s="53">
        <f t="shared" si="32"/>
        <v>-3.4054393164638272E-4</v>
      </c>
      <c r="E1040" s="53">
        <v>1.4245682526579571E-2</v>
      </c>
      <c r="G1040" s="90">
        <v>1032</v>
      </c>
      <c r="H1040" s="90">
        <f t="shared" ca="1" si="33"/>
        <v>-1.3391935905248363E-4</v>
      </c>
    </row>
    <row r="1041" spans="2:8" x14ac:dyDescent="0.3">
      <c r="B1041" s="58">
        <f>'DATA HISTORICAL'!$B1686</f>
        <v>44385</v>
      </c>
      <c r="C1041" s="60">
        <f>'DATA HISTORICAL'!$C1686</f>
        <v>6901.9</v>
      </c>
      <c r="D1041" s="53">
        <f t="shared" si="32"/>
        <v>-3.3557563855439948E-3</v>
      </c>
      <c r="E1041" s="53">
        <v>1.4245146617771019E-2</v>
      </c>
      <c r="G1041" s="90">
        <v>1033</v>
      </c>
      <c r="H1041" s="90">
        <f t="shared" ca="1" si="33"/>
        <v>1.4151414844100181E-3</v>
      </c>
    </row>
    <row r="1042" spans="2:8" x14ac:dyDescent="0.3">
      <c r="B1042" s="58">
        <f>'DATA HISTORICAL'!$B1687</f>
        <v>44384</v>
      </c>
      <c r="C1042" s="60">
        <f>'DATA HISTORICAL'!$C1687</f>
        <v>6925.1</v>
      </c>
      <c r="D1042" s="53">
        <f t="shared" si="32"/>
        <v>-1.1473394171814786E-3</v>
      </c>
      <c r="E1042" s="53">
        <v>1.42446143310064E-2</v>
      </c>
      <c r="G1042" s="90">
        <v>1034</v>
      </c>
      <c r="H1042" s="90">
        <f t="shared" ca="1" si="33"/>
        <v>2.4462743564170487E-4</v>
      </c>
    </row>
    <row r="1043" spans="2:8" x14ac:dyDescent="0.3">
      <c r="B1043" s="58">
        <f>'DATA HISTORICAL'!$B1688</f>
        <v>44383</v>
      </c>
      <c r="C1043" s="60">
        <f>'DATA HISTORICAL'!$C1688</f>
        <v>6933.05</v>
      </c>
      <c r="D1043" s="53">
        <f t="shared" si="32"/>
        <v>3.1233998962174579E-2</v>
      </c>
      <c r="E1043" s="53">
        <v>1.4241955131064165E-2</v>
      </c>
      <c r="G1043" s="90">
        <v>1035</v>
      </c>
      <c r="H1043" s="90">
        <f t="shared" ca="1" si="33"/>
        <v>3.0919725191300006E-2</v>
      </c>
    </row>
    <row r="1044" spans="2:8" x14ac:dyDescent="0.3">
      <c r="B1044" s="58">
        <f>'DATA HISTORICAL'!$B1689</f>
        <v>44382</v>
      </c>
      <c r="C1044" s="60">
        <f>'DATA HISTORICAL'!$C1689</f>
        <v>6719.85</v>
      </c>
      <c r="D1044" s="53">
        <f t="shared" si="32"/>
        <v>-7.4406145946805746E-6</v>
      </c>
      <c r="E1044" s="53">
        <v>1.4226360168540727E-2</v>
      </c>
      <c r="G1044" s="90">
        <v>1036</v>
      </c>
      <c r="H1044" s="90">
        <f t="shared" ca="1" si="33"/>
        <v>2.4768744660790366E-2</v>
      </c>
    </row>
    <row r="1045" spans="2:8" x14ac:dyDescent="0.3">
      <c r="B1045" s="58">
        <f>'DATA HISTORICAL'!$B1690</f>
        <v>44379</v>
      </c>
      <c r="C1045" s="60">
        <f>'DATA HISTORICAL'!$C1690</f>
        <v>6719.9</v>
      </c>
      <c r="D1045" s="53">
        <f t="shared" si="32"/>
        <v>1.8842425596915712E-3</v>
      </c>
      <c r="E1045" s="53">
        <v>1.4221105959892004E-2</v>
      </c>
      <c r="G1045" s="90">
        <v>1037</v>
      </c>
      <c r="H1045" s="90">
        <f t="shared" ca="1" si="33"/>
        <v>1.5333757484987161E-2</v>
      </c>
    </row>
    <row r="1046" spans="2:8" x14ac:dyDescent="0.3">
      <c r="B1046" s="58">
        <f>'DATA HISTORICAL'!$B1691</f>
        <v>44378</v>
      </c>
      <c r="C1046" s="60">
        <f>'DATA HISTORICAL'!$C1691</f>
        <v>6707.25</v>
      </c>
      <c r="D1046" s="53">
        <f t="shared" si="32"/>
        <v>-1.0197926437490148E-2</v>
      </c>
      <c r="E1046" s="53">
        <v>1.4220164743850716E-2</v>
      </c>
      <c r="G1046" s="90">
        <v>1038</v>
      </c>
      <c r="H1046" s="90">
        <f t="shared" ca="1" si="33"/>
        <v>-4.8196633474563979E-3</v>
      </c>
    </row>
    <row r="1047" spans="2:8" x14ac:dyDescent="0.3">
      <c r="B1047" s="58">
        <f>'DATA HISTORICAL'!$B1692</f>
        <v>44377</v>
      </c>
      <c r="C1047" s="60">
        <f>'DATA HISTORICAL'!$C1692</f>
        <v>6776</v>
      </c>
      <c r="D1047" s="53">
        <f t="shared" si="32"/>
        <v>-7.1614267112188462E-3</v>
      </c>
      <c r="E1047" s="53">
        <v>1.4208032676011954E-2</v>
      </c>
      <c r="G1047" s="90">
        <v>1039</v>
      </c>
      <c r="H1047" s="90">
        <f t="shared" ca="1" si="33"/>
        <v>-4.7499097173800311E-2</v>
      </c>
    </row>
    <row r="1048" spans="2:8" x14ac:dyDescent="0.3">
      <c r="B1048" s="58">
        <f>'DATA HISTORICAL'!$B1693</f>
        <v>44376</v>
      </c>
      <c r="C1048" s="60">
        <f>'DATA HISTORICAL'!$C1693</f>
        <v>6824.7</v>
      </c>
      <c r="D1048" s="53">
        <f t="shared" si="32"/>
        <v>-6.5356607442921474E-3</v>
      </c>
      <c r="E1048" s="53">
        <v>1.4201526498125531E-2</v>
      </c>
      <c r="G1048" s="90">
        <v>1040</v>
      </c>
      <c r="H1048" s="90">
        <f t="shared" ca="1" si="33"/>
        <v>-3.8795591621316232E-2</v>
      </c>
    </row>
    <row r="1049" spans="2:8" x14ac:dyDescent="0.3">
      <c r="B1049" s="58">
        <f>'DATA HISTORICAL'!$B1694</f>
        <v>44375</v>
      </c>
      <c r="C1049" s="60">
        <f>'DATA HISTORICAL'!$C1694</f>
        <v>6869.45</v>
      </c>
      <c r="D1049" s="53">
        <f t="shared" si="32"/>
        <v>-7.7651568906241079E-3</v>
      </c>
      <c r="E1049" s="53">
        <v>1.4192362305631112E-2</v>
      </c>
      <c r="G1049" s="90">
        <v>1041</v>
      </c>
      <c r="H1049" s="90">
        <f t="shared" ca="1" si="33"/>
        <v>1.9708675237764792E-2</v>
      </c>
    </row>
    <row r="1050" spans="2:8" x14ac:dyDescent="0.3">
      <c r="B1050" s="58">
        <f>'DATA HISTORICAL'!$B1695</f>
        <v>44372</v>
      </c>
      <c r="C1050" s="60">
        <f>'DATA HISTORICAL'!$C1695</f>
        <v>6923</v>
      </c>
      <c r="D1050" s="53">
        <f t="shared" si="32"/>
        <v>-5.6104058232715409E-3</v>
      </c>
      <c r="E1050" s="53">
        <v>1.4189113896595426E-2</v>
      </c>
      <c r="G1050" s="90">
        <v>1042</v>
      </c>
      <c r="H1050" s="90">
        <f t="shared" ca="1" si="33"/>
        <v>3.1116056673886214E-2</v>
      </c>
    </row>
    <row r="1051" spans="2:8" x14ac:dyDescent="0.3">
      <c r="B1051" s="58">
        <f>'DATA HISTORICAL'!$B1696</f>
        <v>44371</v>
      </c>
      <c r="C1051" s="60">
        <f>'DATA HISTORICAL'!$C1696</f>
        <v>6961.95</v>
      </c>
      <c r="D1051" s="53">
        <f t="shared" si="32"/>
        <v>8.4528064900788475E-3</v>
      </c>
      <c r="E1051" s="53">
        <v>1.4165161670320444E-2</v>
      </c>
      <c r="G1051" s="90">
        <v>1043</v>
      </c>
      <c r="H1051" s="90">
        <f t="shared" ca="1" si="33"/>
        <v>-1.2222883371571965E-2</v>
      </c>
    </row>
    <row r="1052" spans="2:8" x14ac:dyDescent="0.3">
      <c r="B1052" s="58">
        <f>'DATA HISTORICAL'!$B1697</f>
        <v>44370</v>
      </c>
      <c r="C1052" s="60">
        <f>'DATA HISTORICAL'!$C1697</f>
        <v>6903.35</v>
      </c>
      <c r="D1052" s="53">
        <f t="shared" si="32"/>
        <v>6.4524322308417079E-3</v>
      </c>
      <c r="E1052" s="53">
        <v>1.4158318819766945E-2</v>
      </c>
      <c r="G1052" s="90">
        <v>1044</v>
      </c>
      <c r="H1052" s="90">
        <f t="shared" ca="1" si="33"/>
        <v>-4.0944562821923431E-3</v>
      </c>
    </row>
    <row r="1053" spans="2:8" x14ac:dyDescent="0.3">
      <c r="B1053" s="58">
        <f>'DATA HISTORICAL'!$B1698</f>
        <v>44369</v>
      </c>
      <c r="C1053" s="60">
        <f>'DATA HISTORICAL'!$C1698</f>
        <v>6858.95</v>
      </c>
      <c r="D1053" s="53">
        <f t="shared" si="32"/>
        <v>1.224120401760781E-2</v>
      </c>
      <c r="E1053" s="53">
        <v>1.4147740460560262E-2</v>
      </c>
      <c r="G1053" s="90">
        <v>1045</v>
      </c>
      <c r="H1053" s="90">
        <f t="shared" ca="1" si="33"/>
        <v>1.9544407842841369E-2</v>
      </c>
    </row>
    <row r="1054" spans="2:8" x14ac:dyDescent="0.3">
      <c r="B1054" s="58">
        <f>'DATA HISTORICAL'!$B1699</f>
        <v>44368</v>
      </c>
      <c r="C1054" s="60">
        <f>'DATA HISTORICAL'!$C1699</f>
        <v>6775.5</v>
      </c>
      <c r="D1054" s="53">
        <f t="shared" si="32"/>
        <v>1.2116500854201332E-2</v>
      </c>
      <c r="E1054" s="53">
        <v>1.4131882637870477E-2</v>
      </c>
      <c r="G1054" s="90">
        <v>1046</v>
      </c>
      <c r="H1054" s="90">
        <f t="shared" ca="1" si="33"/>
        <v>1.719606586460002E-2</v>
      </c>
    </row>
    <row r="1055" spans="2:8" x14ac:dyDescent="0.3">
      <c r="B1055" s="58">
        <f>'DATA HISTORICAL'!$B1700</f>
        <v>44365</v>
      </c>
      <c r="C1055" s="60">
        <f>'DATA HISTORICAL'!$C1700</f>
        <v>6693.9</v>
      </c>
      <c r="D1055" s="53">
        <f t="shared" si="32"/>
        <v>-1.6344811923158253E-3</v>
      </c>
      <c r="E1055" s="53">
        <v>1.4115461727724821E-2</v>
      </c>
      <c r="G1055" s="90">
        <v>1047</v>
      </c>
      <c r="H1055" s="90">
        <f t="shared" ca="1" si="33"/>
        <v>-1.9096232784471971E-2</v>
      </c>
    </row>
    <row r="1056" spans="2:8" x14ac:dyDescent="0.3">
      <c r="B1056" s="58">
        <f>'DATA HISTORICAL'!$B1701</f>
        <v>44364</v>
      </c>
      <c r="C1056" s="60">
        <f>'DATA HISTORICAL'!$C1701</f>
        <v>6704.85</v>
      </c>
      <c r="D1056" s="53">
        <f t="shared" si="32"/>
        <v>1.7672411632141255E-2</v>
      </c>
      <c r="E1056" s="53">
        <v>1.41048919226465E-2</v>
      </c>
      <c r="G1056" s="90">
        <v>1048</v>
      </c>
      <c r="H1056" s="90">
        <f t="shared" ca="1" si="33"/>
        <v>-2.7187261248044544E-2</v>
      </c>
    </row>
    <row r="1057" spans="2:8" x14ac:dyDescent="0.3">
      <c r="B1057" s="58">
        <f>'DATA HISTORICAL'!$B1702</f>
        <v>44363</v>
      </c>
      <c r="C1057" s="60">
        <f>'DATA HISTORICAL'!$C1702</f>
        <v>6587.4</v>
      </c>
      <c r="D1057" s="53">
        <f t="shared" si="32"/>
        <v>-1.2206221391677893E-2</v>
      </c>
      <c r="E1057" s="53">
        <v>1.4102774717167045E-2</v>
      </c>
      <c r="G1057" s="90">
        <v>1049</v>
      </c>
      <c r="H1057" s="90">
        <f t="shared" ca="1" si="33"/>
        <v>-9.1871943312161336E-4</v>
      </c>
    </row>
    <row r="1058" spans="2:8" x14ac:dyDescent="0.3">
      <c r="B1058" s="58">
        <f>'DATA HISTORICAL'!$B1703</f>
        <v>44362</v>
      </c>
      <c r="C1058" s="60">
        <f>'DATA HISTORICAL'!$C1703</f>
        <v>6668.3</v>
      </c>
      <c r="D1058" s="53">
        <f t="shared" si="32"/>
        <v>-1.528456556740586E-3</v>
      </c>
      <c r="E1058" s="53">
        <v>1.4094183856179904E-2</v>
      </c>
      <c r="G1058" s="90">
        <v>1050</v>
      </c>
      <c r="H1058" s="90">
        <f t="shared" ca="1" si="33"/>
        <v>8.2758304974576563E-3</v>
      </c>
    </row>
    <row r="1059" spans="2:8" x14ac:dyDescent="0.3">
      <c r="B1059" s="58">
        <f>'DATA HISTORICAL'!$B1704</f>
        <v>44361</v>
      </c>
      <c r="C1059" s="60">
        <f>'DATA HISTORICAL'!$C1704</f>
        <v>6678.5</v>
      </c>
      <c r="D1059" s="53">
        <f t="shared" si="32"/>
        <v>2.3460904898402711E-3</v>
      </c>
      <c r="E1059" s="53">
        <v>1.4047345954461067E-2</v>
      </c>
      <c r="G1059" s="90">
        <v>1051</v>
      </c>
      <c r="H1059" s="90">
        <f t="shared" ca="1" si="33"/>
        <v>-2.0146720731280161E-2</v>
      </c>
    </row>
    <row r="1060" spans="2:8" x14ac:dyDescent="0.3">
      <c r="B1060" s="58">
        <f>'DATA HISTORICAL'!$B1705</f>
        <v>44358</v>
      </c>
      <c r="C1060" s="60">
        <f>'DATA HISTORICAL'!$C1705</f>
        <v>6662.85</v>
      </c>
      <c r="D1060" s="53">
        <f t="shared" si="32"/>
        <v>-6.9994677241775145E-3</v>
      </c>
      <c r="E1060" s="53">
        <v>1.4044551772229122E-2</v>
      </c>
      <c r="G1060" s="90">
        <v>1052</v>
      </c>
      <c r="H1060" s="90">
        <f t="shared" ca="1" si="33"/>
        <v>4.0087673903072045E-2</v>
      </c>
    </row>
    <row r="1061" spans="2:8" x14ac:dyDescent="0.3">
      <c r="B1061" s="58">
        <f>'DATA HISTORICAL'!$B1706</f>
        <v>44357</v>
      </c>
      <c r="C1061" s="60">
        <f>'DATA HISTORICAL'!$C1706</f>
        <v>6709.65</v>
      </c>
      <c r="D1061" s="53">
        <f t="shared" si="32"/>
        <v>-2.2479614063558753E-3</v>
      </c>
      <c r="E1061" s="53">
        <v>1.4036125512780235E-2</v>
      </c>
      <c r="G1061" s="90">
        <v>1053</v>
      </c>
      <c r="H1061" s="90">
        <f t="shared" ca="1" si="33"/>
        <v>1.5294366666761768E-2</v>
      </c>
    </row>
    <row r="1062" spans="2:8" x14ac:dyDescent="0.3">
      <c r="B1062" s="58">
        <f>'DATA HISTORICAL'!$B1707</f>
        <v>44356</v>
      </c>
      <c r="C1062" s="60">
        <f>'DATA HISTORICAL'!$C1707</f>
        <v>6724.75</v>
      </c>
      <c r="D1062" s="53">
        <f t="shared" si="32"/>
        <v>-1.0303993407946304E-2</v>
      </c>
      <c r="E1062" s="53">
        <v>1.4031340964981081E-2</v>
      </c>
      <c r="G1062" s="90">
        <v>1054</v>
      </c>
      <c r="H1062" s="90">
        <f t="shared" ca="1" si="33"/>
        <v>1.4289346979106853E-2</v>
      </c>
    </row>
    <row r="1063" spans="2:8" x14ac:dyDescent="0.3">
      <c r="B1063" s="58">
        <f>'DATA HISTORICAL'!$B1708</f>
        <v>44355</v>
      </c>
      <c r="C1063" s="60">
        <f>'DATA HISTORICAL'!$C1708</f>
        <v>6794.4</v>
      </c>
      <c r="D1063" s="53">
        <f t="shared" si="32"/>
        <v>-8.09881259457205E-3</v>
      </c>
      <c r="E1063" s="53">
        <v>1.4031137898359572E-2</v>
      </c>
      <c r="G1063" s="90">
        <v>1055</v>
      </c>
      <c r="H1063" s="90">
        <f t="shared" ca="1" si="33"/>
        <v>-2.2487872238866058E-6</v>
      </c>
    </row>
    <row r="1064" spans="2:8" x14ac:dyDescent="0.3">
      <c r="B1064" s="58">
        <f>'DATA HISTORICAL'!$B1709</f>
        <v>44354</v>
      </c>
      <c r="C1064" s="60">
        <f>'DATA HISTORICAL'!$C1709</f>
        <v>6849.65</v>
      </c>
      <c r="D1064" s="53">
        <f t="shared" si="32"/>
        <v>2.7432634219770238E-2</v>
      </c>
      <c r="E1064" s="53">
        <v>1.4011873799214722E-2</v>
      </c>
      <c r="G1064" s="90">
        <v>1056</v>
      </c>
      <c r="H1064" s="90">
        <f t="shared" ca="1" si="33"/>
        <v>6.5864200194088781E-3</v>
      </c>
    </row>
    <row r="1065" spans="2:8" x14ac:dyDescent="0.3">
      <c r="B1065" s="58">
        <f>'DATA HISTORICAL'!$B1710</f>
        <v>44351</v>
      </c>
      <c r="C1065" s="60">
        <f>'DATA HISTORICAL'!$C1710</f>
        <v>6664.3</v>
      </c>
      <c r="D1065" s="53">
        <f t="shared" si="32"/>
        <v>3.3969670423124143E-3</v>
      </c>
      <c r="E1065" s="53">
        <v>1.4005863400243649E-2</v>
      </c>
      <c r="G1065" s="90">
        <v>1057</v>
      </c>
      <c r="H1065" s="90">
        <f t="shared" ca="1" si="33"/>
        <v>2.0083511252888944E-2</v>
      </c>
    </row>
    <row r="1066" spans="2:8" x14ac:dyDescent="0.3">
      <c r="B1066" s="58">
        <f>'DATA HISTORICAL'!$B1711</f>
        <v>44350</v>
      </c>
      <c r="C1066" s="60">
        <f>'DATA HISTORICAL'!$C1711</f>
        <v>6641.7</v>
      </c>
      <c r="D1066" s="53">
        <f t="shared" si="32"/>
        <v>7.177480022997092E-3</v>
      </c>
      <c r="E1066" s="53">
        <v>1.4000354806832796E-2</v>
      </c>
      <c r="G1066" s="90">
        <v>1058</v>
      </c>
      <c r="H1066" s="90">
        <f t="shared" ca="1" si="33"/>
        <v>2.3354919411084762E-2</v>
      </c>
    </row>
    <row r="1067" spans="2:8" x14ac:dyDescent="0.3">
      <c r="B1067" s="58">
        <f>'DATA HISTORICAL'!$B1712</f>
        <v>44349</v>
      </c>
      <c r="C1067" s="60">
        <f>'DATA HISTORICAL'!$C1712</f>
        <v>6594.2</v>
      </c>
      <c r="D1067" s="53">
        <f t="shared" si="32"/>
        <v>-1.0836987772012397E-3</v>
      </c>
      <c r="E1067" s="53">
        <v>1.3994752287111016E-2</v>
      </c>
      <c r="G1067" s="90">
        <v>1059</v>
      </c>
      <c r="H1067" s="90">
        <f t="shared" ca="1" si="33"/>
        <v>2.6749190252546504E-2</v>
      </c>
    </row>
    <row r="1068" spans="2:8" x14ac:dyDescent="0.3">
      <c r="B1068" s="58">
        <f>'DATA HISTORICAL'!$B1713</f>
        <v>44348</v>
      </c>
      <c r="C1068" s="60">
        <f>'DATA HISTORICAL'!$C1713</f>
        <v>6601.35</v>
      </c>
      <c r="D1068" s="53">
        <f t="shared" si="32"/>
        <v>-1.6026670390606346E-2</v>
      </c>
      <c r="E1068" s="53">
        <v>1.3981923664704512E-2</v>
      </c>
      <c r="G1068" s="90">
        <v>1060</v>
      </c>
      <c r="H1068" s="90">
        <f t="shared" ca="1" si="33"/>
        <v>-1.9924845166484254E-2</v>
      </c>
    </row>
    <row r="1069" spans="2:8" x14ac:dyDescent="0.3">
      <c r="B1069" s="58">
        <f>'DATA HISTORICAL'!$B1714</f>
        <v>44347</v>
      </c>
      <c r="C1069" s="60">
        <f>'DATA HISTORICAL'!$C1714</f>
        <v>6708</v>
      </c>
      <c r="D1069" s="53">
        <f t="shared" si="32"/>
        <v>1.6458493486215378E-2</v>
      </c>
      <c r="E1069" s="53">
        <v>1.3980296653856078E-2</v>
      </c>
      <c r="G1069" s="90">
        <v>1061</v>
      </c>
      <c r="H1069" s="90">
        <f t="shared" ca="1" si="33"/>
        <v>6.8427096815956642E-3</v>
      </c>
    </row>
    <row r="1070" spans="2:8" x14ac:dyDescent="0.3">
      <c r="B1070" s="58">
        <f>'DATA HISTORICAL'!$B1715</f>
        <v>44344</v>
      </c>
      <c r="C1070" s="60">
        <f>'DATA HISTORICAL'!$C1715</f>
        <v>6598.5</v>
      </c>
      <c r="D1070" s="53">
        <f t="shared" si="32"/>
        <v>-1.1264647153760573E-2</v>
      </c>
      <c r="E1070" s="53">
        <v>1.3976624358846113E-2</v>
      </c>
      <c r="G1070" s="90">
        <v>1062</v>
      </c>
      <c r="H1070" s="90">
        <f t="shared" ca="1" si="33"/>
        <v>-3.5941950724513285E-3</v>
      </c>
    </row>
    <row r="1071" spans="2:8" x14ac:dyDescent="0.3">
      <c r="B1071" s="58">
        <f>'DATA HISTORICAL'!$B1716</f>
        <v>44343</v>
      </c>
      <c r="C1071" s="60">
        <f>'DATA HISTORICAL'!$C1716</f>
        <v>6673.25</v>
      </c>
      <c r="D1071" s="53">
        <f t="shared" si="32"/>
        <v>1.3935483529054059E-2</v>
      </c>
      <c r="E1071" s="53">
        <v>1.3949704088946821E-2</v>
      </c>
      <c r="G1071" s="90">
        <v>1063</v>
      </c>
      <c r="H1071" s="90">
        <f t="shared" ca="1" si="33"/>
        <v>1.3423637671817056E-2</v>
      </c>
    </row>
    <row r="1072" spans="2:8" x14ac:dyDescent="0.3">
      <c r="B1072" s="58">
        <f>'DATA HISTORICAL'!$B1717</f>
        <v>44342</v>
      </c>
      <c r="C1072" s="60">
        <f>'DATA HISTORICAL'!$C1717</f>
        <v>6580.9</v>
      </c>
      <c r="D1072" s="53">
        <f t="shared" si="32"/>
        <v>3.6993381864625606E-3</v>
      </c>
      <c r="E1072" s="53">
        <v>1.3941158141343932E-2</v>
      </c>
      <c r="G1072" s="90">
        <v>1064</v>
      </c>
      <c r="H1072" s="90">
        <f t="shared" ca="1" si="33"/>
        <v>-5.586641315896655E-3</v>
      </c>
    </row>
    <row r="1073" spans="2:8" x14ac:dyDescent="0.3">
      <c r="B1073" s="58">
        <f>'DATA HISTORICAL'!$B1718</f>
        <v>44341</v>
      </c>
      <c r="C1073" s="60">
        <f>'DATA HISTORICAL'!$C1718</f>
        <v>6556.6</v>
      </c>
      <c r="D1073" s="53">
        <f t="shared" si="32"/>
        <v>-8.8421379341191225E-4</v>
      </c>
      <c r="E1073" s="53">
        <v>1.3940736204464715E-2</v>
      </c>
      <c r="G1073" s="90">
        <v>1065</v>
      </c>
      <c r="H1073" s="90">
        <f t="shared" ca="1" si="33"/>
        <v>-1.7429630315044686E-2</v>
      </c>
    </row>
    <row r="1074" spans="2:8" x14ac:dyDescent="0.3">
      <c r="B1074" s="58">
        <f>'DATA HISTORICAL'!$B1719</f>
        <v>44340</v>
      </c>
      <c r="C1074" s="60">
        <f>'DATA HISTORICAL'!$C1719</f>
        <v>6562.4</v>
      </c>
      <c r="D1074" s="53">
        <f t="shared" si="32"/>
        <v>-1.1394062661535472E-2</v>
      </c>
      <c r="E1074" s="53">
        <v>1.3940645220699781E-2</v>
      </c>
      <c r="G1074" s="90">
        <v>1066</v>
      </c>
      <c r="H1074" s="90">
        <f t="shared" ca="1" si="33"/>
        <v>3.0706149376084426E-2</v>
      </c>
    </row>
    <row r="1075" spans="2:8" x14ac:dyDescent="0.3">
      <c r="B1075" s="58">
        <f>'DATA HISTORICAL'!$B1720</f>
        <v>44337</v>
      </c>
      <c r="C1075" s="60">
        <f>'DATA HISTORICAL'!$C1720</f>
        <v>6637.6</v>
      </c>
      <c r="D1075" s="53">
        <f t="shared" si="32"/>
        <v>9.6507945447293561E-3</v>
      </c>
      <c r="E1075" s="53">
        <v>1.3927200433631312E-2</v>
      </c>
      <c r="G1075" s="90">
        <v>1067</v>
      </c>
      <c r="H1075" s="90">
        <f t="shared" ca="1" si="33"/>
        <v>2.9592008739833059E-2</v>
      </c>
    </row>
    <row r="1076" spans="2:8" x14ac:dyDescent="0.3">
      <c r="B1076" s="58">
        <f>'DATA HISTORICAL'!$B1721</f>
        <v>44336</v>
      </c>
      <c r="C1076" s="60">
        <f>'DATA HISTORICAL'!$C1721</f>
        <v>6573.85</v>
      </c>
      <c r="D1076" s="53">
        <f t="shared" si="32"/>
        <v>1.9261447670156355E-3</v>
      </c>
      <c r="E1076" s="53">
        <v>1.3899380946126505E-2</v>
      </c>
      <c r="G1076" s="90">
        <v>1068</v>
      </c>
      <c r="H1076" s="90">
        <f t="shared" ca="1" si="33"/>
        <v>-1.9729847370337988E-2</v>
      </c>
    </row>
    <row r="1077" spans="2:8" x14ac:dyDescent="0.3">
      <c r="B1077" s="58">
        <f>'DATA HISTORICAL'!$B1722</f>
        <v>44335</v>
      </c>
      <c r="C1077" s="60">
        <f>'DATA HISTORICAL'!$C1722</f>
        <v>6561.2</v>
      </c>
      <c r="D1077" s="53">
        <f t="shared" si="32"/>
        <v>-1.3894367703556841E-2</v>
      </c>
      <c r="E1077" s="53">
        <v>1.3895103796973613E-2</v>
      </c>
      <c r="G1077" s="90">
        <v>1069</v>
      </c>
      <c r="H1077" s="90">
        <f t="shared" ca="1" si="33"/>
        <v>-2.9148170175096995E-3</v>
      </c>
    </row>
    <row r="1078" spans="2:8" x14ac:dyDescent="0.3">
      <c r="B1078" s="58">
        <f>'DATA HISTORICAL'!$B1723</f>
        <v>44334</v>
      </c>
      <c r="C1078" s="60">
        <f>'DATA HISTORICAL'!$C1723</f>
        <v>6653</v>
      </c>
      <c r="D1078" s="53">
        <f t="shared" si="32"/>
        <v>1.8301124723267587E-2</v>
      </c>
      <c r="E1078" s="53">
        <v>1.387890195290953E-2</v>
      </c>
      <c r="G1078" s="90">
        <v>1070</v>
      </c>
      <c r="H1078" s="90">
        <f t="shared" ca="1" si="33"/>
        <v>1.01723968453585E-2</v>
      </c>
    </row>
    <row r="1079" spans="2:8" x14ac:dyDescent="0.3">
      <c r="B1079" s="58">
        <f>'DATA HISTORICAL'!$B1724</f>
        <v>44333</v>
      </c>
      <c r="C1079" s="60">
        <f>'DATA HISTORICAL'!$C1724</f>
        <v>6532.35</v>
      </c>
      <c r="D1079" s="53">
        <f t="shared" si="32"/>
        <v>2.5465604100111949E-2</v>
      </c>
      <c r="E1079" s="53">
        <v>1.3861053452080137E-2</v>
      </c>
      <c r="G1079" s="90">
        <v>1071</v>
      </c>
      <c r="H1079" s="90">
        <f t="shared" ca="1" si="33"/>
        <v>1.2065935063970147E-2</v>
      </c>
    </row>
    <row r="1080" spans="2:8" x14ac:dyDescent="0.3">
      <c r="B1080" s="58">
        <f>'DATA HISTORICAL'!$B1725</f>
        <v>44330</v>
      </c>
      <c r="C1080" s="60">
        <f>'DATA HISTORICAL'!$C1725</f>
        <v>6368.1</v>
      </c>
      <c r="D1080" s="53">
        <f t="shared" si="32"/>
        <v>-3.253131555667102E-3</v>
      </c>
      <c r="E1080" s="53">
        <v>1.3840279793656126E-2</v>
      </c>
      <c r="G1080" s="90">
        <v>1072</v>
      </c>
      <c r="H1080" s="90">
        <f t="shared" ca="1" si="33"/>
        <v>2.1129139617389794E-2</v>
      </c>
    </row>
    <row r="1081" spans="2:8" x14ac:dyDescent="0.3">
      <c r="B1081" s="58">
        <f>'DATA HISTORICAL'!$B1726</f>
        <v>44328</v>
      </c>
      <c r="C1081" s="60">
        <f>'DATA HISTORICAL'!$C1726</f>
        <v>6388.85</v>
      </c>
      <c r="D1081" s="53">
        <f t="shared" si="32"/>
        <v>-1.5800692873688234E-2</v>
      </c>
      <c r="E1081" s="53">
        <v>1.3837710745775866E-2</v>
      </c>
      <c r="G1081" s="90">
        <v>1073</v>
      </c>
      <c r="H1081" s="90">
        <f t="shared" ca="1" si="33"/>
        <v>-5.8066569431184179E-3</v>
      </c>
    </row>
    <row r="1082" spans="2:8" x14ac:dyDescent="0.3">
      <c r="B1082" s="58">
        <f>'DATA HISTORICAL'!$B1727</f>
        <v>44327</v>
      </c>
      <c r="C1082" s="60">
        <f>'DATA HISTORICAL'!$C1727</f>
        <v>6490.6</v>
      </c>
      <c r="D1082" s="53">
        <f t="shared" si="32"/>
        <v>1.3572728271802921E-2</v>
      </c>
      <c r="E1082" s="53">
        <v>1.3836772806183346E-2</v>
      </c>
      <c r="G1082" s="90">
        <v>1074</v>
      </c>
      <c r="H1082" s="90">
        <f t="shared" ca="1" si="33"/>
        <v>3.0400288212955175E-2</v>
      </c>
    </row>
    <row r="1083" spans="2:8" x14ac:dyDescent="0.3">
      <c r="B1083" s="58">
        <f>'DATA HISTORICAL'!$B1728</f>
        <v>44326</v>
      </c>
      <c r="C1083" s="60">
        <f>'DATA HISTORICAL'!$C1728</f>
        <v>6403.1</v>
      </c>
      <c r="D1083" s="53">
        <f t="shared" si="32"/>
        <v>-1.2231429169188053E-2</v>
      </c>
      <c r="E1083" s="53">
        <v>1.3830481979084487E-2</v>
      </c>
      <c r="G1083" s="90">
        <v>1075</v>
      </c>
      <c r="H1083" s="90">
        <f t="shared" ca="1" si="33"/>
        <v>2.3407704721995267E-3</v>
      </c>
    </row>
    <row r="1084" spans="2:8" x14ac:dyDescent="0.3">
      <c r="B1084" s="58">
        <f>'DATA HISTORICAL'!$B1729</f>
        <v>44323</v>
      </c>
      <c r="C1084" s="60">
        <f>'DATA HISTORICAL'!$C1729</f>
        <v>6481.9</v>
      </c>
      <c r="D1084" s="53">
        <f t="shared" si="32"/>
        <v>1.1864486771123081E-2</v>
      </c>
      <c r="E1084" s="53">
        <v>1.3826149532901177E-2</v>
      </c>
      <c r="G1084" s="90">
        <v>1076</v>
      </c>
      <c r="H1084" s="90">
        <f t="shared" ca="1" si="33"/>
        <v>1.8467997845685251E-2</v>
      </c>
    </row>
    <row r="1085" spans="2:8" x14ac:dyDescent="0.3">
      <c r="B1085" s="58">
        <f>'DATA HISTORICAL'!$B1730</f>
        <v>44322</v>
      </c>
      <c r="C1085" s="60">
        <f>'DATA HISTORICAL'!$C1730</f>
        <v>6405.45</v>
      </c>
      <c r="D1085" s="53">
        <f t="shared" si="32"/>
        <v>3.9262357058169016E-3</v>
      </c>
      <c r="E1085" s="53">
        <v>1.382121370278473E-2</v>
      </c>
      <c r="G1085" s="90">
        <v>1077</v>
      </c>
      <c r="H1085" s="90">
        <f t="shared" ca="1" si="33"/>
        <v>2.1705032743242817E-2</v>
      </c>
    </row>
    <row r="1086" spans="2:8" x14ac:dyDescent="0.3">
      <c r="B1086" s="58">
        <f>'DATA HISTORICAL'!$B1731</f>
        <v>44321</v>
      </c>
      <c r="C1086" s="60">
        <f>'DATA HISTORICAL'!$C1731</f>
        <v>6380.35</v>
      </c>
      <c r="D1086" s="53">
        <f t="shared" si="32"/>
        <v>1.3236972273495219E-2</v>
      </c>
      <c r="E1086" s="53">
        <v>1.3814367848466786E-2</v>
      </c>
      <c r="G1086" s="90">
        <v>1078</v>
      </c>
      <c r="H1086" s="90">
        <f t="shared" ca="1" si="33"/>
        <v>1.1118330671044906E-2</v>
      </c>
    </row>
    <row r="1087" spans="2:8" x14ac:dyDescent="0.3">
      <c r="B1087" s="58">
        <f>'DATA HISTORICAL'!$B1732</f>
        <v>44320</v>
      </c>
      <c r="C1087" s="60">
        <f>'DATA HISTORICAL'!$C1732</f>
        <v>6296.45</v>
      </c>
      <c r="D1087" s="53">
        <f t="shared" si="32"/>
        <v>-8.4924521601718872E-3</v>
      </c>
      <c r="E1087" s="53">
        <v>1.3809304870978501E-2</v>
      </c>
      <c r="G1087" s="90">
        <v>1079</v>
      </c>
      <c r="H1087" s="90">
        <f t="shared" ca="1" si="33"/>
        <v>-4.2427685646718649E-3</v>
      </c>
    </row>
    <row r="1088" spans="2:8" x14ac:dyDescent="0.3">
      <c r="B1088" s="58">
        <f>'DATA HISTORICAL'!$B1733</f>
        <v>44319</v>
      </c>
      <c r="C1088" s="60">
        <f>'DATA HISTORICAL'!$C1733</f>
        <v>6350.15</v>
      </c>
      <c r="D1088" s="53">
        <f t="shared" si="32"/>
        <v>1.1275665624022307E-2</v>
      </c>
      <c r="E1088" s="53">
        <v>1.3790736262048277E-2</v>
      </c>
      <c r="G1088" s="90">
        <v>1080</v>
      </c>
      <c r="H1088" s="90">
        <f t="shared" ca="1" si="33"/>
        <v>1.1115781251360302E-2</v>
      </c>
    </row>
    <row r="1089" spans="2:8" x14ac:dyDescent="0.3">
      <c r="B1089" s="58">
        <f>'DATA HISTORICAL'!$B1734</f>
        <v>44316</v>
      </c>
      <c r="C1089" s="60">
        <f>'DATA HISTORICAL'!$C1734</f>
        <v>6278.95</v>
      </c>
      <c r="D1089" s="53">
        <f t="shared" si="32"/>
        <v>-1.6349267133113337E-2</v>
      </c>
      <c r="E1089" s="53">
        <v>1.3785325235131922E-2</v>
      </c>
      <c r="G1089" s="90">
        <v>1081</v>
      </c>
      <c r="H1089" s="90">
        <f t="shared" ca="1" si="33"/>
        <v>-9.1638827605879485E-3</v>
      </c>
    </row>
    <row r="1090" spans="2:8" x14ac:dyDescent="0.3">
      <c r="B1090" s="58">
        <f>'DATA HISTORICAL'!$B1735</f>
        <v>44315</v>
      </c>
      <c r="C1090" s="60">
        <f>'DATA HISTORICAL'!$C1735</f>
        <v>6382.45</v>
      </c>
      <c r="D1090" s="53">
        <f t="shared" si="32"/>
        <v>3.3978805768024281E-3</v>
      </c>
      <c r="E1090" s="53">
        <v>1.3769988726425115E-2</v>
      </c>
      <c r="G1090" s="90">
        <v>1082</v>
      </c>
      <c r="H1090" s="90">
        <f t="shared" ca="1" si="33"/>
        <v>2.1799270951572438E-2</v>
      </c>
    </row>
    <row r="1091" spans="2:8" x14ac:dyDescent="0.3">
      <c r="B1091" s="58">
        <f>'DATA HISTORICAL'!$B1736</f>
        <v>44314</v>
      </c>
      <c r="C1091" s="60">
        <f>'DATA HISTORICAL'!$C1736</f>
        <v>6360.8</v>
      </c>
      <c r="D1091" s="53">
        <f t="shared" si="32"/>
        <v>5.3595764979398981E-3</v>
      </c>
      <c r="E1091" s="53">
        <v>1.3766137916058085E-2</v>
      </c>
      <c r="G1091" s="90">
        <v>1083</v>
      </c>
      <c r="H1091" s="90">
        <f t="shared" ca="1" si="33"/>
        <v>-8.3758737393248156E-3</v>
      </c>
    </row>
    <row r="1092" spans="2:8" x14ac:dyDescent="0.3">
      <c r="B1092" s="58">
        <f>'DATA HISTORICAL'!$B1737</f>
        <v>44313</v>
      </c>
      <c r="C1092" s="60">
        <f>'DATA HISTORICAL'!$C1737</f>
        <v>6326.8</v>
      </c>
      <c r="D1092" s="53">
        <f t="shared" si="32"/>
        <v>8.0776780790961841E-3</v>
      </c>
      <c r="E1092" s="53">
        <v>1.3762401005669063E-2</v>
      </c>
      <c r="G1092" s="90">
        <v>1084</v>
      </c>
      <c r="H1092" s="90">
        <f t="shared" ca="1" si="33"/>
        <v>-1.2467407410798631E-2</v>
      </c>
    </row>
    <row r="1093" spans="2:8" x14ac:dyDescent="0.3">
      <c r="B1093" s="58">
        <f>'DATA HISTORICAL'!$B1738</f>
        <v>44312</v>
      </c>
      <c r="C1093" s="60">
        <f>'DATA HISTORICAL'!$C1738</f>
        <v>6275.9</v>
      </c>
      <c r="D1093" s="53">
        <f t="shared" si="32"/>
        <v>3.3704319572138375E-2</v>
      </c>
      <c r="E1093" s="53">
        <v>1.3754826645926742E-2</v>
      </c>
      <c r="G1093" s="90">
        <v>1085</v>
      </c>
      <c r="H1093" s="90">
        <f t="shared" ca="1" si="33"/>
        <v>3.031876695959463E-3</v>
      </c>
    </row>
    <row r="1094" spans="2:8" x14ac:dyDescent="0.3">
      <c r="B1094" s="58">
        <f>'DATA HISTORICAL'!$B1739</f>
        <v>44309</v>
      </c>
      <c r="C1094" s="60">
        <f>'DATA HISTORICAL'!$C1739</f>
        <v>6067.9</v>
      </c>
      <c r="D1094" s="53">
        <f t="shared" si="32"/>
        <v>-4.0130972758216444E-3</v>
      </c>
      <c r="E1094" s="53">
        <v>1.3723121710101694E-2</v>
      </c>
      <c r="G1094" s="90">
        <v>1086</v>
      </c>
      <c r="H1094" s="90">
        <f t="shared" ca="1" si="33"/>
        <v>-2.4948875926623596E-2</v>
      </c>
    </row>
    <row r="1095" spans="2:8" x14ac:dyDescent="0.3">
      <c r="B1095" s="58">
        <f>'DATA HISTORICAL'!$B1740</f>
        <v>44308</v>
      </c>
      <c r="C1095" s="60">
        <f>'DATA HISTORICAL'!$C1740</f>
        <v>6092.3</v>
      </c>
      <c r="D1095" s="53">
        <f t="shared" si="32"/>
        <v>-1.7660700696551835E-2</v>
      </c>
      <c r="E1095" s="53">
        <v>1.3717065059176052E-2</v>
      </c>
      <c r="G1095" s="90">
        <v>1087</v>
      </c>
      <c r="H1095" s="90">
        <f t="shared" ca="1" si="33"/>
        <v>7.5082052303245099E-3</v>
      </c>
    </row>
    <row r="1096" spans="2:8" x14ac:dyDescent="0.3">
      <c r="B1096" s="58">
        <f>'DATA HISTORICAL'!$B1741</f>
        <v>44306</v>
      </c>
      <c r="C1096" s="60">
        <f>'DATA HISTORICAL'!$C1741</f>
        <v>6200.85</v>
      </c>
      <c r="D1096" s="53">
        <f t="shared" si="32"/>
        <v>-4.8614673596991689E-2</v>
      </c>
      <c r="E1096" s="53">
        <v>1.3714869485562057E-2</v>
      </c>
      <c r="G1096" s="90">
        <v>1088</v>
      </c>
      <c r="H1096" s="90">
        <f t="shared" ca="1" si="33"/>
        <v>3.5676673636344859E-3</v>
      </c>
    </row>
    <row r="1097" spans="2:8" x14ac:dyDescent="0.3">
      <c r="B1097" s="58">
        <f>'DATA HISTORICAL'!$B1742</f>
        <v>44305</v>
      </c>
      <c r="C1097" s="60">
        <f>'DATA HISTORICAL'!$C1742</f>
        <v>6509.75</v>
      </c>
      <c r="D1097" s="53">
        <f t="shared" ref="D1097:D1160" si="34">LN(C1097/C1098)</f>
        <v>-3.1072560571862008E-2</v>
      </c>
      <c r="E1097" s="53">
        <v>1.3689665110164112E-2</v>
      </c>
      <c r="G1097" s="90">
        <v>1089</v>
      </c>
      <c r="H1097" s="90">
        <f t="shared" ref="H1097:H1160" ca="1" si="35">_xlfn.NORM.INV(RAND(),N$10,N$11)</f>
        <v>6.1916053547394351E-6</v>
      </c>
    </row>
    <row r="1098" spans="2:8" x14ac:dyDescent="0.3">
      <c r="B1098" s="58">
        <f>'DATA HISTORICAL'!$B1743</f>
        <v>44302</v>
      </c>
      <c r="C1098" s="60">
        <f>'DATA HISTORICAL'!$C1743</f>
        <v>6715.2</v>
      </c>
      <c r="D1098" s="53">
        <f t="shared" si="34"/>
        <v>2.6543487495734402E-2</v>
      </c>
      <c r="E1098" s="53">
        <v>1.3628361732516055E-2</v>
      </c>
      <c r="G1098" s="90">
        <v>1090</v>
      </c>
      <c r="H1098" s="90">
        <f t="shared" ca="1" si="35"/>
        <v>3.9408128414923763E-2</v>
      </c>
    </row>
    <row r="1099" spans="2:8" x14ac:dyDescent="0.3">
      <c r="B1099" s="58">
        <f>'DATA HISTORICAL'!$B1744</f>
        <v>44301</v>
      </c>
      <c r="C1099" s="60">
        <f>'DATA HISTORICAL'!$C1744</f>
        <v>6539.3</v>
      </c>
      <c r="D1099" s="53">
        <f t="shared" si="34"/>
        <v>-9.9135381558632454E-3</v>
      </c>
      <c r="E1099" s="53">
        <v>1.3627235581880125E-2</v>
      </c>
      <c r="G1099" s="90">
        <v>1091</v>
      </c>
      <c r="H1099" s="90">
        <f t="shared" ca="1" si="35"/>
        <v>3.5792479034056635E-3</v>
      </c>
    </row>
    <row r="1100" spans="2:8" x14ac:dyDescent="0.3">
      <c r="B1100" s="58">
        <f>'DATA HISTORICAL'!$B1745</f>
        <v>44299</v>
      </c>
      <c r="C1100" s="60">
        <f>'DATA HISTORICAL'!$C1745</f>
        <v>6604.45</v>
      </c>
      <c r="D1100" s="53">
        <f t="shared" si="34"/>
        <v>1.4496378182995281E-2</v>
      </c>
      <c r="E1100" s="53">
        <v>1.3625373860008696E-2</v>
      </c>
      <c r="G1100" s="90">
        <v>1092</v>
      </c>
      <c r="H1100" s="90">
        <f t="shared" ca="1" si="35"/>
        <v>7.0140609608312591E-3</v>
      </c>
    </row>
    <row r="1101" spans="2:8" x14ac:dyDescent="0.3">
      <c r="B1101" s="58">
        <f>'DATA HISTORICAL'!$B1746</f>
        <v>44298</v>
      </c>
      <c r="C1101" s="60">
        <f>'DATA HISTORICAL'!$C1746</f>
        <v>6509.4</v>
      </c>
      <c r="D1101" s="53">
        <f t="shared" si="34"/>
        <v>-4.7469589366516227E-2</v>
      </c>
      <c r="E1101" s="53">
        <v>1.3615631983648801E-2</v>
      </c>
      <c r="G1101" s="90">
        <v>1093</v>
      </c>
      <c r="H1101" s="90">
        <f t="shared" ca="1" si="35"/>
        <v>-3.2282917387796942E-2</v>
      </c>
    </row>
    <row r="1102" spans="2:8" x14ac:dyDescent="0.3">
      <c r="B1102" s="58">
        <f>'DATA HISTORICAL'!$B1747</f>
        <v>44295</v>
      </c>
      <c r="C1102" s="60">
        <f>'DATA HISTORICAL'!$C1747</f>
        <v>6825.85</v>
      </c>
      <c r="D1102" s="53">
        <f t="shared" si="34"/>
        <v>-2.1077673280787322E-2</v>
      </c>
      <c r="E1102" s="53">
        <v>1.361408764129614E-2</v>
      </c>
      <c r="G1102" s="90">
        <v>1094</v>
      </c>
      <c r="H1102" s="90">
        <f t="shared" ca="1" si="35"/>
        <v>1.6744927859180209E-2</v>
      </c>
    </row>
    <row r="1103" spans="2:8" x14ac:dyDescent="0.3">
      <c r="B1103" s="58">
        <f>'DATA HISTORICAL'!$B1748</f>
        <v>44294</v>
      </c>
      <c r="C1103" s="60">
        <f>'DATA HISTORICAL'!$C1748</f>
        <v>6971.25</v>
      </c>
      <c r="D1103" s="53">
        <f t="shared" si="34"/>
        <v>3.0764262244403037E-2</v>
      </c>
      <c r="E1103" s="53">
        <v>1.3613156150917887E-2</v>
      </c>
      <c r="G1103" s="90">
        <v>1095</v>
      </c>
      <c r="H1103" s="90">
        <f t="shared" ca="1" si="35"/>
        <v>-3.048786219522245E-2</v>
      </c>
    </row>
    <row r="1104" spans="2:8" x14ac:dyDescent="0.3">
      <c r="B1104" s="58">
        <f>'DATA HISTORICAL'!$B1749</f>
        <v>44293</v>
      </c>
      <c r="C1104" s="60">
        <f>'DATA HISTORICAL'!$C1749</f>
        <v>6760.05</v>
      </c>
      <c r="D1104" s="53">
        <f t="shared" si="34"/>
        <v>3.4675177556248078E-3</v>
      </c>
      <c r="E1104" s="53">
        <v>1.3595230938426314E-2</v>
      </c>
      <c r="G1104" s="90">
        <v>1096</v>
      </c>
      <c r="H1104" s="90">
        <f t="shared" ca="1" si="35"/>
        <v>2.8083649742903411E-2</v>
      </c>
    </row>
    <row r="1105" spans="2:8" x14ac:dyDescent="0.3">
      <c r="B1105" s="58">
        <f>'DATA HISTORICAL'!$B1750</f>
        <v>44292</v>
      </c>
      <c r="C1105" s="60">
        <f>'DATA HISTORICAL'!$C1750</f>
        <v>6736.65</v>
      </c>
      <c r="D1105" s="53">
        <f t="shared" si="34"/>
        <v>-8.7420055791163909E-3</v>
      </c>
      <c r="E1105" s="53">
        <v>1.358537919499715E-2</v>
      </c>
      <c r="G1105" s="90">
        <v>1097</v>
      </c>
      <c r="H1105" s="90">
        <f t="shared" ca="1" si="35"/>
        <v>2.5109416248036195E-4</v>
      </c>
    </row>
    <row r="1106" spans="2:8" x14ac:dyDescent="0.3">
      <c r="B1106" s="58">
        <f>'DATA HISTORICAL'!$B1751</f>
        <v>44291</v>
      </c>
      <c r="C1106" s="60">
        <f>'DATA HISTORICAL'!$C1751</f>
        <v>6795.8</v>
      </c>
      <c r="D1106" s="53">
        <f t="shared" si="34"/>
        <v>-1.5049956745399971E-2</v>
      </c>
      <c r="E1106" s="53">
        <v>1.3577749075401904E-2</v>
      </c>
      <c r="G1106" s="90">
        <v>1098</v>
      </c>
      <c r="H1106" s="90">
        <f t="shared" ca="1" si="35"/>
        <v>2.2130749520721946E-2</v>
      </c>
    </row>
    <row r="1107" spans="2:8" x14ac:dyDescent="0.3">
      <c r="B1107" s="58">
        <f>'DATA HISTORICAL'!$B1752</f>
        <v>44287</v>
      </c>
      <c r="C1107" s="60">
        <f>'DATA HISTORICAL'!$C1752</f>
        <v>6898.85</v>
      </c>
      <c r="D1107" s="53">
        <f t="shared" si="34"/>
        <v>2.3599006688870893E-2</v>
      </c>
      <c r="E1107" s="53">
        <v>1.3556473993256917E-2</v>
      </c>
      <c r="G1107" s="90">
        <v>1099</v>
      </c>
      <c r="H1107" s="90">
        <f t="shared" ca="1" si="35"/>
        <v>-1.7703208738492814E-2</v>
      </c>
    </row>
    <row r="1108" spans="2:8" x14ac:dyDescent="0.3">
      <c r="B1108" s="58">
        <f>'DATA HISTORICAL'!$B1753</f>
        <v>44286</v>
      </c>
      <c r="C1108" s="60">
        <f>'DATA HISTORICAL'!$C1753</f>
        <v>6737.95</v>
      </c>
      <c r="D1108" s="53">
        <f t="shared" si="34"/>
        <v>-7.0469953809453572E-3</v>
      </c>
      <c r="E1108" s="53">
        <v>1.3536365901104082E-2</v>
      </c>
      <c r="G1108" s="90">
        <v>1100</v>
      </c>
      <c r="H1108" s="90">
        <f t="shared" ca="1" si="35"/>
        <v>-2.4564974405264981E-2</v>
      </c>
    </row>
    <row r="1109" spans="2:8" x14ac:dyDescent="0.3">
      <c r="B1109" s="58">
        <f>'DATA HISTORICAL'!$B1754</f>
        <v>44285</v>
      </c>
      <c r="C1109" s="60">
        <f>'DATA HISTORICAL'!$C1754</f>
        <v>6785.6</v>
      </c>
      <c r="D1109" s="53">
        <f t="shared" si="34"/>
        <v>7.4477910399044006E-3</v>
      </c>
      <c r="E1109" s="53">
        <v>1.353091148408499E-2</v>
      </c>
      <c r="G1109" s="90">
        <v>1101</v>
      </c>
      <c r="H1109" s="90">
        <f t="shared" ca="1" si="35"/>
        <v>-4.1870419255872482E-4</v>
      </c>
    </row>
    <row r="1110" spans="2:8" x14ac:dyDescent="0.3">
      <c r="B1110" s="58">
        <f>'DATA HISTORICAL'!$B1755</f>
        <v>44281</v>
      </c>
      <c r="C1110" s="60">
        <f>'DATA HISTORICAL'!$C1755</f>
        <v>6735.25</v>
      </c>
      <c r="D1110" s="53">
        <f t="shared" si="34"/>
        <v>1.025994412490878E-2</v>
      </c>
      <c r="E1110" s="53">
        <v>1.3526022316329172E-2</v>
      </c>
      <c r="G1110" s="90">
        <v>1102</v>
      </c>
      <c r="H1110" s="90">
        <f t="shared" ca="1" si="35"/>
        <v>1.6135365991674311E-2</v>
      </c>
    </row>
    <row r="1111" spans="2:8" x14ac:dyDescent="0.3">
      <c r="B1111" s="58">
        <f>'DATA HISTORICAL'!$B1756</f>
        <v>44280</v>
      </c>
      <c r="C1111" s="60">
        <f>'DATA HISTORICAL'!$C1756</f>
        <v>6666.5</v>
      </c>
      <c r="D1111" s="53">
        <f t="shared" si="34"/>
        <v>-2.8415644795218437E-2</v>
      </c>
      <c r="E1111" s="53">
        <v>1.3513990586971341E-2</v>
      </c>
      <c r="G1111" s="90">
        <v>1103</v>
      </c>
      <c r="H1111" s="90">
        <f t="shared" ca="1" si="35"/>
        <v>1.4127462707069462E-2</v>
      </c>
    </row>
    <row r="1112" spans="2:8" x14ac:dyDescent="0.3">
      <c r="B1112" s="58">
        <f>'DATA HISTORICAL'!$B1757</f>
        <v>44279</v>
      </c>
      <c r="C1112" s="60">
        <f>'DATA HISTORICAL'!$C1757</f>
        <v>6858.65</v>
      </c>
      <c r="D1112" s="53">
        <f t="shared" si="34"/>
        <v>-1.1661453743433504E-2</v>
      </c>
      <c r="E1112" s="53">
        <v>1.3508722456634181E-2</v>
      </c>
      <c r="G1112" s="90">
        <v>1104</v>
      </c>
      <c r="H1112" s="90">
        <f t="shared" ca="1" si="35"/>
        <v>-2.1349155388439997E-2</v>
      </c>
    </row>
    <row r="1113" spans="2:8" x14ac:dyDescent="0.3">
      <c r="B1113" s="58">
        <f>'DATA HISTORICAL'!$B1758</f>
        <v>44278</v>
      </c>
      <c r="C1113" s="60">
        <f>'DATA HISTORICAL'!$C1758</f>
        <v>6939.1</v>
      </c>
      <c r="D1113" s="53">
        <f t="shared" si="34"/>
        <v>3.0894160441381109E-2</v>
      </c>
      <c r="E1113" s="53">
        <v>1.3501136177979768E-2</v>
      </c>
      <c r="G1113" s="90">
        <v>1105</v>
      </c>
      <c r="H1113" s="90">
        <f t="shared" ca="1" si="35"/>
        <v>-8.2546317432537E-3</v>
      </c>
    </row>
    <row r="1114" spans="2:8" x14ac:dyDescent="0.3">
      <c r="B1114" s="58">
        <f>'DATA HISTORICAL'!$B1759</f>
        <v>44277</v>
      </c>
      <c r="C1114" s="60">
        <f>'DATA HISTORICAL'!$C1759</f>
        <v>6728</v>
      </c>
      <c r="D1114" s="53">
        <f t="shared" si="34"/>
        <v>8.3582576142012446E-3</v>
      </c>
      <c r="E1114" s="53">
        <v>1.3496951749004855E-2</v>
      </c>
      <c r="G1114" s="90">
        <v>1106</v>
      </c>
      <c r="H1114" s="90">
        <f t="shared" ca="1" si="35"/>
        <v>-3.7032719569368112E-3</v>
      </c>
    </row>
    <row r="1115" spans="2:8" x14ac:dyDescent="0.3">
      <c r="B1115" s="58">
        <f>'DATA HISTORICAL'!$B1760</f>
        <v>44274</v>
      </c>
      <c r="C1115" s="60">
        <f>'DATA HISTORICAL'!$C1760</f>
        <v>6672</v>
      </c>
      <c r="D1115" s="53">
        <f t="shared" si="34"/>
        <v>2.4572528373911069E-2</v>
      </c>
      <c r="E1115" s="53">
        <v>1.3487502380112893E-2</v>
      </c>
      <c r="G1115" s="90">
        <v>1107</v>
      </c>
      <c r="H1115" s="90">
        <f t="shared" ca="1" si="35"/>
        <v>-3.4876029434340984E-3</v>
      </c>
    </row>
    <row r="1116" spans="2:8" x14ac:dyDescent="0.3">
      <c r="B1116" s="58">
        <f>'DATA HISTORICAL'!$B1761</f>
        <v>44273</v>
      </c>
      <c r="C1116" s="60">
        <f>'DATA HISTORICAL'!$C1761</f>
        <v>6510.05</v>
      </c>
      <c r="D1116" s="53">
        <f t="shared" si="34"/>
        <v>-1.5655820792137946E-3</v>
      </c>
      <c r="E1116" s="53">
        <v>1.3484809592237629E-2</v>
      </c>
      <c r="G1116" s="90">
        <v>1108</v>
      </c>
      <c r="H1116" s="90">
        <f t="shared" ca="1" si="35"/>
        <v>1.7071613132529251E-2</v>
      </c>
    </row>
    <row r="1117" spans="2:8" x14ac:dyDescent="0.3">
      <c r="B1117" s="58">
        <f>'DATA HISTORICAL'!$B1762</f>
        <v>44272</v>
      </c>
      <c r="C1117" s="60">
        <f>'DATA HISTORICAL'!$C1762</f>
        <v>6520.25</v>
      </c>
      <c r="D1117" s="53">
        <f t="shared" si="34"/>
        <v>-1.8191714577760622E-2</v>
      </c>
      <c r="E1117" s="53">
        <v>1.3473625782358436E-2</v>
      </c>
      <c r="G1117" s="90">
        <v>1109</v>
      </c>
      <c r="H1117" s="90">
        <f t="shared" ca="1" si="35"/>
        <v>5.4667906176793998E-3</v>
      </c>
    </row>
    <row r="1118" spans="2:8" x14ac:dyDescent="0.3">
      <c r="B1118" s="58">
        <f>'DATA HISTORICAL'!$B1763</f>
        <v>44271</v>
      </c>
      <c r="C1118" s="60">
        <f>'DATA HISTORICAL'!$C1763</f>
        <v>6639.95</v>
      </c>
      <c r="D1118" s="53">
        <f t="shared" si="34"/>
        <v>1.1892818223132508E-2</v>
      </c>
      <c r="E1118" s="53">
        <v>1.3472443429810738E-2</v>
      </c>
      <c r="G1118" s="90">
        <v>1110</v>
      </c>
      <c r="H1118" s="90">
        <f t="shared" ca="1" si="35"/>
        <v>6.8299879514264594E-4</v>
      </c>
    </row>
    <row r="1119" spans="2:8" x14ac:dyDescent="0.3">
      <c r="B1119" s="58">
        <f>'DATA HISTORICAL'!$B1764</f>
        <v>44270</v>
      </c>
      <c r="C1119" s="60">
        <f>'DATA HISTORICAL'!$C1764</f>
        <v>6561.45</v>
      </c>
      <c r="D1119" s="53">
        <f t="shared" si="34"/>
        <v>-1.1621695093915649E-2</v>
      </c>
      <c r="E1119" s="53">
        <v>1.3453819241861864E-2</v>
      </c>
      <c r="G1119" s="90">
        <v>1111</v>
      </c>
      <c r="H1119" s="90">
        <f t="shared" ca="1" si="35"/>
        <v>-2.7813770915948782E-3</v>
      </c>
    </row>
    <row r="1120" spans="2:8" x14ac:dyDescent="0.3">
      <c r="B1120" s="58">
        <f>'DATA HISTORICAL'!$B1765</f>
        <v>44267</v>
      </c>
      <c r="C1120" s="60">
        <f>'DATA HISTORICAL'!$C1765</f>
        <v>6638.15</v>
      </c>
      <c r="D1120" s="53">
        <f t="shared" si="34"/>
        <v>-1.8788512874415228E-2</v>
      </c>
      <c r="E1120" s="53">
        <v>1.3450101888248349E-2</v>
      </c>
      <c r="G1120" s="90">
        <v>1112</v>
      </c>
      <c r="H1120" s="90">
        <f t="shared" ca="1" si="35"/>
        <v>6.4747444321004615E-3</v>
      </c>
    </row>
    <row r="1121" spans="2:8" x14ac:dyDescent="0.3">
      <c r="B1121" s="58">
        <f>'DATA HISTORICAL'!$B1766</f>
        <v>44265</v>
      </c>
      <c r="C1121" s="60">
        <f>'DATA HISTORICAL'!$C1766</f>
        <v>6764.05</v>
      </c>
      <c r="D1121" s="53">
        <f t="shared" si="34"/>
        <v>9.9024317039306097E-3</v>
      </c>
      <c r="E1121" s="53">
        <v>1.3447087431214033E-2</v>
      </c>
      <c r="G1121" s="90">
        <v>1113</v>
      </c>
      <c r="H1121" s="90">
        <f t="shared" ca="1" si="35"/>
        <v>1.7537125065140057E-2</v>
      </c>
    </row>
    <row r="1122" spans="2:8" x14ac:dyDescent="0.3">
      <c r="B1122" s="58">
        <f>'DATA HISTORICAL'!$B1767</f>
        <v>44264</v>
      </c>
      <c r="C1122" s="60">
        <f>'DATA HISTORICAL'!$C1767</f>
        <v>6697.4</v>
      </c>
      <c r="D1122" s="53">
        <f t="shared" si="34"/>
        <v>4.3769312443495438E-3</v>
      </c>
      <c r="E1122" s="53">
        <v>1.3445605515429365E-2</v>
      </c>
      <c r="G1122" s="90">
        <v>1114</v>
      </c>
      <c r="H1122" s="90">
        <f t="shared" ca="1" si="35"/>
        <v>6.3351418379627928E-3</v>
      </c>
    </row>
    <row r="1123" spans="2:8" x14ac:dyDescent="0.3">
      <c r="B1123" s="58">
        <f>'DATA HISTORICAL'!$B1768</f>
        <v>44263</v>
      </c>
      <c r="C1123" s="60">
        <f>'DATA HISTORICAL'!$C1768</f>
        <v>6668.15</v>
      </c>
      <c r="D1123" s="53">
        <f t="shared" si="34"/>
        <v>-2.1093711918130895E-2</v>
      </c>
      <c r="E1123" s="53">
        <v>1.3441533885238723E-2</v>
      </c>
      <c r="G1123" s="90">
        <v>1115</v>
      </c>
      <c r="H1123" s="90">
        <f t="shared" ca="1" si="35"/>
        <v>2.1932624694363634E-2</v>
      </c>
    </row>
    <row r="1124" spans="2:8" x14ac:dyDescent="0.3">
      <c r="B1124" s="58">
        <f>'DATA HISTORICAL'!$B1769</f>
        <v>44260</v>
      </c>
      <c r="C1124" s="60">
        <f>'DATA HISTORICAL'!$C1769</f>
        <v>6810.3</v>
      </c>
      <c r="D1124" s="53">
        <f t="shared" si="34"/>
        <v>5.1156277719691997E-3</v>
      </c>
      <c r="E1124" s="53">
        <v>1.3436169057372051E-2</v>
      </c>
      <c r="G1124" s="90">
        <v>1116</v>
      </c>
      <c r="H1124" s="90">
        <f t="shared" ca="1" si="35"/>
        <v>4.3103727671749935E-3</v>
      </c>
    </row>
    <row r="1125" spans="2:8" x14ac:dyDescent="0.3">
      <c r="B1125" s="58">
        <f>'DATA HISTORICAL'!$B1770</f>
        <v>44259</v>
      </c>
      <c r="C1125" s="60">
        <f>'DATA HISTORICAL'!$C1770</f>
        <v>6775.55</v>
      </c>
      <c r="D1125" s="53">
        <f t="shared" si="34"/>
        <v>4.1441447262502547E-2</v>
      </c>
      <c r="E1125" s="53">
        <v>1.3425733756536681E-2</v>
      </c>
      <c r="G1125" s="90">
        <v>1117</v>
      </c>
      <c r="H1125" s="90">
        <f t="shared" ca="1" si="35"/>
        <v>1.988926888524592E-2</v>
      </c>
    </row>
    <row r="1126" spans="2:8" x14ac:dyDescent="0.3">
      <c r="B1126" s="58">
        <f>'DATA HISTORICAL'!$B1771</f>
        <v>44258</v>
      </c>
      <c r="C1126" s="60">
        <f>'DATA HISTORICAL'!$C1771</f>
        <v>6500.5</v>
      </c>
      <c r="D1126" s="53">
        <f t="shared" si="34"/>
        <v>1.1978229816896148E-2</v>
      </c>
      <c r="E1126" s="53">
        <v>1.3410276324213578E-2</v>
      </c>
      <c r="G1126" s="90">
        <v>1118</v>
      </c>
      <c r="H1126" s="90">
        <f t="shared" ca="1" si="35"/>
        <v>-5.2098286336842827E-3</v>
      </c>
    </row>
    <row r="1127" spans="2:8" x14ac:dyDescent="0.3">
      <c r="B1127" s="58">
        <f>'DATA HISTORICAL'!$B1772</f>
        <v>44257</v>
      </c>
      <c r="C1127" s="60">
        <f>'DATA HISTORICAL'!$C1772</f>
        <v>6423.1</v>
      </c>
      <c r="D1127" s="53">
        <f t="shared" si="34"/>
        <v>9.0787797651300309E-3</v>
      </c>
      <c r="E1127" s="53">
        <v>1.3388052681513416E-2</v>
      </c>
      <c r="G1127" s="90">
        <v>1119</v>
      </c>
      <c r="H1127" s="90">
        <f t="shared" ca="1" si="35"/>
        <v>2.4820862162151271E-3</v>
      </c>
    </row>
    <row r="1128" spans="2:8" x14ac:dyDescent="0.3">
      <c r="B1128" s="58">
        <f>'DATA HISTORICAL'!$B1773</f>
        <v>44256</v>
      </c>
      <c r="C1128" s="60">
        <f>'DATA HISTORICAL'!$C1773</f>
        <v>6365.05</v>
      </c>
      <c r="D1128" s="53">
        <f t="shared" si="34"/>
        <v>4.0077318298924636E-2</v>
      </c>
      <c r="E1128" s="53">
        <v>1.3384548435856299E-2</v>
      </c>
      <c r="G1128" s="90">
        <v>1120</v>
      </c>
      <c r="H1128" s="90">
        <f t="shared" ca="1" si="35"/>
        <v>-1.2649838326698262E-2</v>
      </c>
    </row>
    <row r="1129" spans="2:8" x14ac:dyDescent="0.3">
      <c r="B1129" s="58">
        <f>'DATA HISTORICAL'!$B1774</f>
        <v>44253</v>
      </c>
      <c r="C1129" s="60">
        <f>'DATA HISTORICAL'!$C1774</f>
        <v>6115</v>
      </c>
      <c r="D1129" s="53">
        <f t="shared" si="34"/>
        <v>-4.2940435873660386E-2</v>
      </c>
      <c r="E1129" s="53">
        <v>1.3326488207729057E-2</v>
      </c>
      <c r="G1129" s="90">
        <v>1121</v>
      </c>
      <c r="H1129" s="90">
        <f t="shared" ca="1" si="35"/>
        <v>-8.5723911699330871E-3</v>
      </c>
    </row>
    <row r="1130" spans="2:8" x14ac:dyDescent="0.3">
      <c r="B1130" s="58">
        <f>'DATA HISTORICAL'!$B1775</f>
        <v>44252</v>
      </c>
      <c r="C1130" s="60">
        <f>'DATA HISTORICAL'!$C1775</f>
        <v>6383.3</v>
      </c>
      <c r="D1130" s="53">
        <f t="shared" si="34"/>
        <v>-4.8836425038982023E-3</v>
      </c>
      <c r="E1130" s="53">
        <v>1.3320210264709382E-2</v>
      </c>
      <c r="G1130" s="90">
        <v>1122</v>
      </c>
      <c r="H1130" s="90">
        <f t="shared" ca="1" si="35"/>
        <v>-1.6206732022733056E-2</v>
      </c>
    </row>
    <row r="1131" spans="2:8" x14ac:dyDescent="0.3">
      <c r="B1131" s="58">
        <f>'DATA HISTORICAL'!$B1776</f>
        <v>44251</v>
      </c>
      <c r="C1131" s="60">
        <f>'DATA HISTORICAL'!$C1776</f>
        <v>6414.55</v>
      </c>
      <c r="D1131" s="53">
        <f t="shared" si="34"/>
        <v>2.3039732364449221E-2</v>
      </c>
      <c r="E1131" s="53">
        <v>1.3314928742428671E-2</v>
      </c>
      <c r="G1131" s="90">
        <v>1123</v>
      </c>
      <c r="H1131" s="90">
        <f t="shared" ca="1" si="35"/>
        <v>1.8165086874831109E-3</v>
      </c>
    </row>
    <row r="1132" spans="2:8" x14ac:dyDescent="0.3">
      <c r="B1132" s="58">
        <f>'DATA HISTORICAL'!$B1777</f>
        <v>44250</v>
      </c>
      <c r="C1132" s="60">
        <f>'DATA HISTORICAL'!$C1777</f>
        <v>6268.45</v>
      </c>
      <c r="D1132" s="53">
        <f t="shared" si="34"/>
        <v>1.500403843734718E-2</v>
      </c>
      <c r="E1132" s="53">
        <v>1.3295165574970427E-2</v>
      </c>
      <c r="G1132" s="90">
        <v>1124</v>
      </c>
      <c r="H1132" s="90">
        <f t="shared" ca="1" si="35"/>
        <v>-1.4155732712849763E-2</v>
      </c>
    </row>
    <row r="1133" spans="2:8" x14ac:dyDescent="0.3">
      <c r="B1133" s="58">
        <f>'DATA HISTORICAL'!$B1778</f>
        <v>44249</v>
      </c>
      <c r="C1133" s="60">
        <f>'DATA HISTORICAL'!$C1778</f>
        <v>6175.1</v>
      </c>
      <c r="D1133" s="53">
        <f t="shared" si="34"/>
        <v>-5.3942441598617812E-3</v>
      </c>
      <c r="E1133" s="53">
        <v>1.3290279131338126E-2</v>
      </c>
      <c r="G1133" s="90">
        <v>1125</v>
      </c>
      <c r="H1133" s="90">
        <f t="shared" ca="1" si="35"/>
        <v>-2.243738256298148E-2</v>
      </c>
    </row>
    <row r="1134" spans="2:8" x14ac:dyDescent="0.3">
      <c r="B1134" s="58">
        <f>'DATA HISTORICAL'!$B1779</f>
        <v>44246</v>
      </c>
      <c r="C1134" s="60">
        <f>'DATA HISTORICAL'!$C1779</f>
        <v>6208.5</v>
      </c>
      <c r="D1134" s="53">
        <f t="shared" si="34"/>
        <v>-1.8725092061431685E-2</v>
      </c>
      <c r="E1134" s="53">
        <v>1.3271678665889387E-2</v>
      </c>
      <c r="G1134" s="90">
        <v>1126</v>
      </c>
      <c r="H1134" s="90">
        <f t="shared" ca="1" si="35"/>
        <v>-2.0929070514468014E-2</v>
      </c>
    </row>
    <row r="1135" spans="2:8" x14ac:dyDescent="0.3">
      <c r="B1135" s="58">
        <f>'DATA HISTORICAL'!$B1780</f>
        <v>44245</v>
      </c>
      <c r="C1135" s="60">
        <f>'DATA HISTORICAL'!$C1780</f>
        <v>6325.85</v>
      </c>
      <c r="D1135" s="53">
        <f t="shared" si="34"/>
        <v>-1.4649086409233203E-2</v>
      </c>
      <c r="E1135" s="53">
        <v>1.3260411741175869E-2</v>
      </c>
      <c r="G1135" s="90">
        <v>1127</v>
      </c>
      <c r="H1135" s="90">
        <f t="shared" ca="1" si="35"/>
        <v>1.5246379982356235E-2</v>
      </c>
    </row>
    <row r="1136" spans="2:8" x14ac:dyDescent="0.3">
      <c r="B1136" s="58">
        <f>'DATA HISTORICAL'!$B1781</f>
        <v>44244</v>
      </c>
      <c r="C1136" s="60">
        <f>'DATA HISTORICAL'!$C1781</f>
        <v>6419.2</v>
      </c>
      <c r="D1136" s="53">
        <f t="shared" si="34"/>
        <v>-5.9952031707459297E-3</v>
      </c>
      <c r="E1136" s="53">
        <v>1.3249866406556978E-2</v>
      </c>
      <c r="G1136" s="90">
        <v>1128</v>
      </c>
      <c r="H1136" s="90">
        <f t="shared" ca="1" si="35"/>
        <v>3.4391879632202785E-3</v>
      </c>
    </row>
    <row r="1137" spans="2:8" x14ac:dyDescent="0.3">
      <c r="B1137" s="58">
        <f>'DATA HISTORICAL'!$B1782</f>
        <v>44243</v>
      </c>
      <c r="C1137" s="60">
        <f>'DATA HISTORICAL'!$C1782</f>
        <v>6457.8</v>
      </c>
      <c r="D1137" s="53">
        <f t="shared" si="34"/>
        <v>7.7805072440018776E-3</v>
      </c>
      <c r="E1137" s="53">
        <v>1.32409972667156E-2</v>
      </c>
      <c r="G1137" s="90">
        <v>1129</v>
      </c>
      <c r="H1137" s="90">
        <f t="shared" ca="1" si="35"/>
        <v>9.6158794088772367E-3</v>
      </c>
    </row>
    <row r="1138" spans="2:8" x14ac:dyDescent="0.3">
      <c r="B1138" s="58">
        <f>'DATA HISTORICAL'!$B1783</f>
        <v>44242</v>
      </c>
      <c r="C1138" s="60">
        <f>'DATA HISTORICAL'!$C1783</f>
        <v>6407.75</v>
      </c>
      <c r="D1138" s="53">
        <f t="shared" si="34"/>
        <v>1.6399847486693704E-3</v>
      </c>
      <c r="E1138" s="53">
        <v>1.3237808088670497E-2</v>
      </c>
      <c r="G1138" s="90">
        <v>1130</v>
      </c>
      <c r="H1138" s="90">
        <f t="shared" ca="1" si="35"/>
        <v>-7.0017101661869674E-3</v>
      </c>
    </row>
    <row r="1139" spans="2:8" x14ac:dyDescent="0.3">
      <c r="B1139" s="58">
        <f>'DATA HISTORICAL'!$B1784</f>
        <v>44239</v>
      </c>
      <c r="C1139" s="60">
        <f>'DATA HISTORICAL'!$C1784</f>
        <v>6397.25</v>
      </c>
      <c r="D1139" s="53">
        <f t="shared" si="34"/>
        <v>-4.6629946317303262E-3</v>
      </c>
      <c r="E1139" s="53">
        <v>1.3196554464241486E-2</v>
      </c>
      <c r="G1139" s="90">
        <v>1131</v>
      </c>
      <c r="H1139" s="90">
        <f t="shared" ca="1" si="35"/>
        <v>1.9925374455579464E-3</v>
      </c>
    </row>
    <row r="1140" spans="2:8" x14ac:dyDescent="0.3">
      <c r="B1140" s="58">
        <f>'DATA HISTORICAL'!$B1785</f>
        <v>44238</v>
      </c>
      <c r="C1140" s="60">
        <f>'DATA HISTORICAL'!$C1785</f>
        <v>6427.15</v>
      </c>
      <c r="D1140" s="53">
        <f t="shared" si="34"/>
        <v>5.4605301330560609E-3</v>
      </c>
      <c r="E1140" s="53">
        <v>1.3195759756861833E-2</v>
      </c>
      <c r="G1140" s="90">
        <v>1132</v>
      </c>
      <c r="H1140" s="90">
        <f t="shared" ca="1" si="35"/>
        <v>2.4301148934578361E-2</v>
      </c>
    </row>
    <row r="1141" spans="2:8" x14ac:dyDescent="0.3">
      <c r="B1141" s="58">
        <f>'DATA HISTORICAL'!$B1786</f>
        <v>44237</v>
      </c>
      <c r="C1141" s="60">
        <f>'DATA HISTORICAL'!$C1786</f>
        <v>6392.15</v>
      </c>
      <c r="D1141" s="53">
        <f t="shared" si="34"/>
        <v>-4.4097460347520415E-3</v>
      </c>
      <c r="E1141" s="53">
        <v>1.3195141918827279E-2</v>
      </c>
      <c r="G1141" s="90">
        <v>1133</v>
      </c>
      <c r="H1141" s="90">
        <f t="shared" ca="1" si="35"/>
        <v>2.1265902164815877E-3</v>
      </c>
    </row>
    <row r="1142" spans="2:8" x14ac:dyDescent="0.3">
      <c r="B1142" s="58">
        <f>'DATA HISTORICAL'!$B1787</f>
        <v>44236</v>
      </c>
      <c r="C1142" s="60">
        <f>'DATA HISTORICAL'!$C1787</f>
        <v>6420.4</v>
      </c>
      <c r="D1142" s="53">
        <f t="shared" si="34"/>
        <v>8.1714175158829963E-3</v>
      </c>
      <c r="E1142" s="53">
        <v>1.3155561754207883E-2</v>
      </c>
      <c r="G1142" s="90">
        <v>1134</v>
      </c>
      <c r="H1142" s="90">
        <f t="shared" ca="1" si="35"/>
        <v>9.8651703212771676E-3</v>
      </c>
    </row>
    <row r="1143" spans="2:8" x14ac:dyDescent="0.3">
      <c r="B1143" s="58">
        <f>'DATA HISTORICAL'!$B1788</f>
        <v>44235</v>
      </c>
      <c r="C1143" s="60">
        <f>'DATA HISTORICAL'!$C1788</f>
        <v>6368.15</v>
      </c>
      <c r="D1143" s="53">
        <f t="shared" si="34"/>
        <v>2.5235366470809937E-3</v>
      </c>
      <c r="E1143" s="53">
        <v>1.3144479330013918E-2</v>
      </c>
      <c r="G1143" s="90">
        <v>1135</v>
      </c>
      <c r="H1143" s="90">
        <f t="shared" ca="1" si="35"/>
        <v>1.9023806145641348E-3</v>
      </c>
    </row>
    <row r="1144" spans="2:8" x14ac:dyDescent="0.3">
      <c r="B1144" s="58">
        <f>'DATA HISTORICAL'!$B1789</f>
        <v>44232</v>
      </c>
      <c r="C1144" s="60">
        <f>'DATA HISTORICAL'!$C1789</f>
        <v>6352.1</v>
      </c>
      <c r="D1144" s="53">
        <f t="shared" si="34"/>
        <v>2.7014223597935181E-2</v>
      </c>
      <c r="E1144" s="53">
        <v>1.3137660354824455E-2</v>
      </c>
      <c r="G1144" s="90">
        <v>1136</v>
      </c>
      <c r="H1144" s="90">
        <f t="shared" ca="1" si="35"/>
        <v>-2.2488166893057599E-3</v>
      </c>
    </row>
    <row r="1145" spans="2:8" x14ac:dyDescent="0.3">
      <c r="B1145" s="58">
        <f>'DATA HISTORICAL'!$B1790</f>
        <v>44231</v>
      </c>
      <c r="C1145" s="60">
        <f>'DATA HISTORICAL'!$C1790</f>
        <v>6182.8</v>
      </c>
      <c r="D1145" s="53">
        <f t="shared" si="34"/>
        <v>1.7638638004830277E-2</v>
      </c>
      <c r="E1145" s="53">
        <v>1.3126502125361206E-2</v>
      </c>
      <c r="G1145" s="90">
        <v>1137</v>
      </c>
      <c r="H1145" s="90">
        <f t="shared" ca="1" si="35"/>
        <v>1.9215219311434621E-3</v>
      </c>
    </row>
    <row r="1146" spans="2:8" x14ac:dyDescent="0.3">
      <c r="B1146" s="58">
        <f>'DATA HISTORICAL'!$B1791</f>
        <v>44230</v>
      </c>
      <c r="C1146" s="60">
        <f>'DATA HISTORICAL'!$C1791</f>
        <v>6074.7</v>
      </c>
      <c r="D1146" s="53">
        <f t="shared" si="34"/>
        <v>-8.0093884196359849E-3</v>
      </c>
      <c r="E1146" s="53">
        <v>1.3107799317968521E-2</v>
      </c>
      <c r="G1146" s="90">
        <v>1138</v>
      </c>
      <c r="H1146" s="90">
        <f t="shared" ca="1" si="35"/>
        <v>2.0296497495762643E-2</v>
      </c>
    </row>
    <row r="1147" spans="2:8" x14ac:dyDescent="0.3">
      <c r="B1147" s="58">
        <f>'DATA HISTORICAL'!$B1792</f>
        <v>44229</v>
      </c>
      <c r="C1147" s="60">
        <f>'DATA HISTORICAL'!$C1792</f>
        <v>6123.55</v>
      </c>
      <c r="D1147" s="53">
        <f t="shared" si="34"/>
        <v>6.3960048099751143E-2</v>
      </c>
      <c r="E1147" s="53">
        <v>1.3104200621984693E-2</v>
      </c>
      <c r="G1147" s="90">
        <v>1139</v>
      </c>
      <c r="H1147" s="90">
        <f t="shared" ca="1" si="35"/>
        <v>3.0667747030031955E-2</v>
      </c>
    </row>
    <row r="1148" spans="2:8" x14ac:dyDescent="0.3">
      <c r="B1148" s="58">
        <f>'DATA HISTORICAL'!$B1793</f>
        <v>44228</v>
      </c>
      <c r="C1148" s="60">
        <f>'DATA HISTORICAL'!$C1793</f>
        <v>5744.15</v>
      </c>
      <c r="D1148" s="53">
        <f t="shared" si="34"/>
        <v>7.5346788047189292E-2</v>
      </c>
      <c r="E1148" s="53">
        <v>1.310388183791214E-2</v>
      </c>
      <c r="G1148" s="90">
        <v>1140</v>
      </c>
      <c r="H1148" s="90">
        <f t="shared" ca="1" si="35"/>
        <v>4.2680489854988526E-2</v>
      </c>
    </row>
    <row r="1149" spans="2:8" x14ac:dyDescent="0.3">
      <c r="B1149" s="58">
        <f>'DATA HISTORICAL'!$B1794</f>
        <v>44225</v>
      </c>
      <c r="C1149" s="60">
        <f>'DATA HISTORICAL'!$C1794</f>
        <v>5327.25</v>
      </c>
      <c r="D1149" s="53">
        <f t="shared" si="34"/>
        <v>-2.1623819167597157E-2</v>
      </c>
      <c r="E1149" s="53">
        <v>1.3101645725400811E-2</v>
      </c>
      <c r="G1149" s="90">
        <v>1141</v>
      </c>
      <c r="H1149" s="90">
        <f t="shared" ca="1" si="35"/>
        <v>1.3372220903214417E-2</v>
      </c>
    </row>
    <row r="1150" spans="2:8" x14ac:dyDescent="0.3">
      <c r="B1150" s="58">
        <f>'DATA HISTORICAL'!$B1795</f>
        <v>44224</v>
      </c>
      <c r="C1150" s="60">
        <f>'DATA HISTORICAL'!$C1795</f>
        <v>5443.7</v>
      </c>
      <c r="D1150" s="53">
        <f t="shared" si="34"/>
        <v>7.1622781068197217E-3</v>
      </c>
      <c r="E1150" s="53">
        <v>1.3097501995060368E-2</v>
      </c>
      <c r="G1150" s="90">
        <v>1142</v>
      </c>
      <c r="H1150" s="90">
        <f t="shared" ca="1" si="35"/>
        <v>4.8632535961157658E-3</v>
      </c>
    </row>
    <row r="1151" spans="2:8" x14ac:dyDescent="0.3">
      <c r="B1151" s="58">
        <f>'DATA HISTORICAL'!$B1796</f>
        <v>44223</v>
      </c>
      <c r="C1151" s="60">
        <f>'DATA HISTORICAL'!$C1796</f>
        <v>5404.85</v>
      </c>
      <c r="D1151" s="53">
        <f t="shared" si="34"/>
        <v>6.766786083155763E-3</v>
      </c>
      <c r="E1151" s="53">
        <v>1.3094388733849518E-2</v>
      </c>
      <c r="G1151" s="90">
        <v>1143</v>
      </c>
      <c r="H1151" s="90">
        <f t="shared" ca="1" si="35"/>
        <v>3.1265692868547878E-3</v>
      </c>
    </row>
    <row r="1152" spans="2:8" x14ac:dyDescent="0.3">
      <c r="B1152" s="58">
        <f>'DATA HISTORICAL'!$B1797</f>
        <v>44221</v>
      </c>
      <c r="C1152" s="60">
        <f>'DATA HISTORICAL'!$C1797</f>
        <v>5368.4</v>
      </c>
      <c r="D1152" s="53">
        <f t="shared" si="34"/>
        <v>-3.052551927157857E-2</v>
      </c>
      <c r="E1152" s="53">
        <v>1.3065461597950367E-2</v>
      </c>
      <c r="G1152" s="90">
        <v>1144</v>
      </c>
      <c r="H1152" s="90">
        <f t="shared" ca="1" si="35"/>
        <v>4.3306222371303216E-3</v>
      </c>
    </row>
    <row r="1153" spans="2:8" x14ac:dyDescent="0.3">
      <c r="B1153" s="58">
        <f>'DATA HISTORICAL'!$B1798</f>
        <v>44218</v>
      </c>
      <c r="C1153" s="60">
        <f>'DATA HISTORICAL'!$C1798</f>
        <v>5534.8</v>
      </c>
      <c r="D1153" s="53">
        <f t="shared" si="34"/>
        <v>-1.56161880402812E-3</v>
      </c>
      <c r="E1153" s="53">
        <v>1.304079227028589E-2</v>
      </c>
      <c r="G1153" s="90">
        <v>1145</v>
      </c>
      <c r="H1153" s="90">
        <f t="shared" ca="1" si="35"/>
        <v>-7.6720741114735232E-3</v>
      </c>
    </row>
    <row r="1154" spans="2:8" x14ac:dyDescent="0.3">
      <c r="B1154" s="58">
        <f>'DATA HISTORICAL'!$B1799</f>
        <v>44217</v>
      </c>
      <c r="C1154" s="60">
        <f>'DATA HISTORICAL'!$C1799</f>
        <v>5543.45</v>
      </c>
      <c r="D1154" s="53">
        <f t="shared" si="34"/>
        <v>-6.5821805623367084E-4</v>
      </c>
      <c r="E1154" s="53">
        <v>1.3032044348748903E-2</v>
      </c>
      <c r="G1154" s="90">
        <v>1146</v>
      </c>
      <c r="H1154" s="90">
        <f t="shared" ca="1" si="35"/>
        <v>-4.2761823256695031E-2</v>
      </c>
    </row>
    <row r="1155" spans="2:8" x14ac:dyDescent="0.3">
      <c r="B1155" s="58">
        <f>'DATA HISTORICAL'!$B1800</f>
        <v>44216</v>
      </c>
      <c r="C1155" s="60">
        <f>'DATA HISTORICAL'!$C1800</f>
        <v>5547.1</v>
      </c>
      <c r="D1155" s="53">
        <f t="shared" si="34"/>
        <v>1.0328798381556981E-2</v>
      </c>
      <c r="E1155" s="53">
        <v>1.302404668435473E-2</v>
      </c>
      <c r="G1155" s="90">
        <v>1147</v>
      </c>
      <c r="H1155" s="90">
        <f t="shared" ca="1" si="35"/>
        <v>3.1635114225482069E-2</v>
      </c>
    </row>
    <row r="1156" spans="2:8" x14ac:dyDescent="0.3">
      <c r="B1156" s="58">
        <f>'DATA HISTORICAL'!$B1801</f>
        <v>44215</v>
      </c>
      <c r="C1156" s="60">
        <f>'DATA HISTORICAL'!$C1801</f>
        <v>5490.1</v>
      </c>
      <c r="D1156" s="53">
        <f t="shared" si="34"/>
        <v>1.9143475902389941E-2</v>
      </c>
      <c r="E1156" s="53">
        <v>1.3022040909307758E-2</v>
      </c>
      <c r="G1156" s="90">
        <v>1148</v>
      </c>
      <c r="H1156" s="90">
        <f t="shared" ca="1" si="35"/>
        <v>2.3201306355442965E-2</v>
      </c>
    </row>
    <row r="1157" spans="2:8" x14ac:dyDescent="0.3">
      <c r="B1157" s="58">
        <f>'DATA HISTORICAL'!$B1802</f>
        <v>44214</v>
      </c>
      <c r="C1157" s="60">
        <f>'DATA HISTORICAL'!$C1802</f>
        <v>5386</v>
      </c>
      <c r="D1157" s="53">
        <f t="shared" si="34"/>
        <v>-1.2225373125791339E-2</v>
      </c>
      <c r="E1157" s="53">
        <v>1.3014100143416212E-2</v>
      </c>
      <c r="G1157" s="90">
        <v>1149</v>
      </c>
      <c r="H1157" s="90">
        <f t="shared" ca="1" si="35"/>
        <v>1.9975652546725814E-2</v>
      </c>
    </row>
    <row r="1158" spans="2:8" x14ac:dyDescent="0.3">
      <c r="B1158" s="58">
        <f>'DATA HISTORICAL'!$B1803</f>
        <v>44211</v>
      </c>
      <c r="C1158" s="60">
        <f>'DATA HISTORICAL'!$C1803</f>
        <v>5452.25</v>
      </c>
      <c r="D1158" s="53">
        <f t="shared" si="34"/>
        <v>-2.3581467173939059E-2</v>
      </c>
      <c r="E1158" s="53">
        <v>1.3003518656985144E-2</v>
      </c>
      <c r="G1158" s="90">
        <v>1150</v>
      </c>
      <c r="H1158" s="90">
        <f t="shared" ca="1" si="35"/>
        <v>8.6131122046949598E-4</v>
      </c>
    </row>
    <row r="1159" spans="2:8" x14ac:dyDescent="0.3">
      <c r="B1159" s="58">
        <f>'DATA HISTORICAL'!$B1804</f>
        <v>44210</v>
      </c>
      <c r="C1159" s="60">
        <f>'DATA HISTORICAL'!$C1804</f>
        <v>5582.35</v>
      </c>
      <c r="D1159" s="53">
        <f t="shared" si="34"/>
        <v>-1.2178445022423353E-2</v>
      </c>
      <c r="E1159" s="53">
        <v>1.2991598627122144E-2</v>
      </c>
      <c r="G1159" s="90">
        <v>1151</v>
      </c>
      <c r="H1159" s="90">
        <f t="shared" ca="1" si="35"/>
        <v>4.7992958086894959E-2</v>
      </c>
    </row>
    <row r="1160" spans="2:8" x14ac:dyDescent="0.3">
      <c r="B1160" s="58">
        <f>'DATA HISTORICAL'!$B1805</f>
        <v>44209</v>
      </c>
      <c r="C1160" s="60">
        <f>'DATA HISTORICAL'!$C1805</f>
        <v>5650.75</v>
      </c>
      <c r="D1160" s="53">
        <f t="shared" si="34"/>
        <v>2.0815348865157626E-3</v>
      </c>
      <c r="E1160" s="53">
        <v>1.2984288080987663E-2</v>
      </c>
      <c r="G1160" s="90">
        <v>1152</v>
      </c>
      <c r="H1160" s="90">
        <f t="shared" ca="1" si="35"/>
        <v>-1.8918064069243262E-2</v>
      </c>
    </row>
    <row r="1161" spans="2:8" x14ac:dyDescent="0.3">
      <c r="B1161" s="58">
        <f>'DATA HISTORICAL'!$B1806</f>
        <v>44208</v>
      </c>
      <c r="C1161" s="60">
        <f>'DATA HISTORICAL'!$C1806</f>
        <v>5639</v>
      </c>
      <c r="D1161" s="53">
        <f t="shared" ref="D1161:D1224" si="36">LN(C1161/C1162)</f>
        <v>2.7169345559606706E-3</v>
      </c>
      <c r="E1161" s="53">
        <v>1.2974055699336946E-2</v>
      </c>
      <c r="G1161" s="90">
        <v>1153</v>
      </c>
      <c r="H1161" s="90">
        <f t="shared" ref="H1161:H1224" ca="1" si="37">_xlfn.NORM.INV(RAND(),N$10,N$11)</f>
        <v>-2.8453176123598651E-3</v>
      </c>
    </row>
    <row r="1162" spans="2:8" x14ac:dyDescent="0.3">
      <c r="B1162" s="58">
        <f>'DATA HISTORICAL'!$B1807</f>
        <v>44207</v>
      </c>
      <c r="C1162" s="60">
        <f>'DATA HISTORICAL'!$C1807</f>
        <v>5623.7</v>
      </c>
      <c r="D1162" s="53">
        <f t="shared" si="36"/>
        <v>5.697513060841923E-3</v>
      </c>
      <c r="E1162" s="53">
        <v>1.2971515793030792E-2</v>
      </c>
      <c r="G1162" s="90">
        <v>1154</v>
      </c>
      <c r="H1162" s="90">
        <f t="shared" ca="1" si="37"/>
        <v>3.4244679382040288E-3</v>
      </c>
    </row>
    <row r="1163" spans="2:8" x14ac:dyDescent="0.3">
      <c r="B1163" s="58">
        <f>'DATA HISTORICAL'!$B1808</f>
        <v>44204</v>
      </c>
      <c r="C1163" s="60">
        <f>'DATA HISTORICAL'!$C1808</f>
        <v>5591.75</v>
      </c>
      <c r="D1163" s="53">
        <f t="shared" si="36"/>
        <v>3.5273045345213694E-2</v>
      </c>
      <c r="E1163" s="53">
        <v>1.2965607162938351E-2</v>
      </c>
      <c r="G1163" s="90">
        <v>1155</v>
      </c>
      <c r="H1163" s="90">
        <f t="shared" ca="1" si="37"/>
        <v>3.7242894044639131E-2</v>
      </c>
    </row>
    <row r="1164" spans="2:8" x14ac:dyDescent="0.3">
      <c r="B1164" s="58">
        <f>'DATA HISTORICAL'!$B1809</f>
        <v>44203</v>
      </c>
      <c r="C1164" s="60">
        <f>'DATA HISTORICAL'!$C1809</f>
        <v>5397.95</v>
      </c>
      <c r="D1164" s="53">
        <f t="shared" si="36"/>
        <v>-9.2935586798182871E-3</v>
      </c>
      <c r="E1164" s="53">
        <v>1.2943207182144279E-2</v>
      </c>
      <c r="G1164" s="90">
        <v>1156</v>
      </c>
      <c r="H1164" s="90">
        <f t="shared" ca="1" si="37"/>
        <v>1.8723675158339607E-2</v>
      </c>
    </row>
    <row r="1165" spans="2:8" x14ac:dyDescent="0.3">
      <c r="B1165" s="58">
        <f>'DATA HISTORICAL'!$B1810</f>
        <v>44202</v>
      </c>
      <c r="C1165" s="60">
        <f>'DATA HISTORICAL'!$C1810</f>
        <v>5448.35</v>
      </c>
      <c r="D1165" s="53">
        <f t="shared" si="36"/>
        <v>1.9862463715175166E-2</v>
      </c>
      <c r="E1165" s="53">
        <v>1.2929835127666676E-2</v>
      </c>
      <c r="G1165" s="90">
        <v>1157</v>
      </c>
      <c r="H1165" s="90">
        <f t="shared" ca="1" si="37"/>
        <v>1.0939295097354682E-2</v>
      </c>
    </row>
    <row r="1166" spans="2:8" x14ac:dyDescent="0.3">
      <c r="B1166" s="58">
        <f>'DATA HISTORICAL'!$B1811</f>
        <v>44201</v>
      </c>
      <c r="C1166" s="60">
        <f>'DATA HISTORICAL'!$C1811</f>
        <v>5341.2</v>
      </c>
      <c r="D1166" s="53">
        <f t="shared" si="36"/>
        <v>2.6245750133964121E-3</v>
      </c>
      <c r="E1166" s="53">
        <v>1.289628376095543E-2</v>
      </c>
      <c r="G1166" s="90">
        <v>1158</v>
      </c>
      <c r="H1166" s="90">
        <f t="shared" ca="1" si="37"/>
        <v>1.7746768179984863E-2</v>
      </c>
    </row>
    <row r="1167" spans="2:8" x14ac:dyDescent="0.3">
      <c r="B1167" s="58">
        <f>'DATA HISTORICAL'!$B1812</f>
        <v>44200</v>
      </c>
      <c r="C1167" s="60">
        <f>'DATA HISTORICAL'!$C1812</f>
        <v>5327.2</v>
      </c>
      <c r="D1167" s="53">
        <f t="shared" si="36"/>
        <v>6.8563086445203722E-3</v>
      </c>
      <c r="E1167" s="53">
        <v>1.2894530002952927E-2</v>
      </c>
      <c r="G1167" s="90">
        <v>1159</v>
      </c>
      <c r="H1167" s="90">
        <f t="shared" ca="1" si="37"/>
        <v>-7.7747486363091327E-3</v>
      </c>
    </row>
    <row r="1168" spans="2:8" x14ac:dyDescent="0.3">
      <c r="B1168" s="58">
        <f>'DATA HISTORICAL'!$B1813</f>
        <v>44197</v>
      </c>
      <c r="C1168" s="60">
        <f>'DATA HISTORICAL'!$C1813</f>
        <v>5290.8</v>
      </c>
      <c r="D1168" s="53">
        <f t="shared" si="36"/>
        <v>5.0099491072904258E-4</v>
      </c>
      <c r="E1168" s="53">
        <v>1.2883499871056079E-2</v>
      </c>
      <c r="G1168" s="90">
        <v>1160</v>
      </c>
      <c r="H1168" s="90">
        <f t="shared" ca="1" si="37"/>
        <v>4.8602620543502402E-2</v>
      </c>
    </row>
    <row r="1169" spans="2:8" x14ac:dyDescent="0.3">
      <c r="B1169" s="58">
        <f>'DATA HISTORICAL'!$B1814</f>
        <v>44196</v>
      </c>
      <c r="C1169" s="60">
        <f>'DATA HISTORICAL'!$C1814</f>
        <v>5288.15</v>
      </c>
      <c r="D1169" s="53">
        <f t="shared" si="36"/>
        <v>-1.2515549210088499E-2</v>
      </c>
      <c r="E1169" s="53">
        <v>1.2879906377173497E-2</v>
      </c>
      <c r="G1169" s="90">
        <v>1161</v>
      </c>
      <c r="H1169" s="90">
        <f t="shared" ca="1" si="37"/>
        <v>2.6908053302099926E-2</v>
      </c>
    </row>
    <row r="1170" spans="2:8" x14ac:dyDescent="0.3">
      <c r="B1170" s="58">
        <f>'DATA HISTORICAL'!$B1815</f>
        <v>44195</v>
      </c>
      <c r="C1170" s="60">
        <f>'DATA HISTORICAL'!$C1815</f>
        <v>5354.75</v>
      </c>
      <c r="D1170" s="53">
        <f t="shared" si="36"/>
        <v>3.9618569961834084E-2</v>
      </c>
      <c r="E1170" s="53">
        <v>1.2864016924052851E-2</v>
      </c>
      <c r="G1170" s="90">
        <v>1162</v>
      </c>
      <c r="H1170" s="90">
        <f t="shared" ca="1" si="37"/>
        <v>1.3713414745996433E-3</v>
      </c>
    </row>
    <row r="1171" spans="2:8" x14ac:dyDescent="0.3">
      <c r="B1171" s="58">
        <f>'DATA HISTORICAL'!$B1816</f>
        <v>44194</v>
      </c>
      <c r="C1171" s="60">
        <f>'DATA HISTORICAL'!$C1816</f>
        <v>5146.75</v>
      </c>
      <c r="D1171" s="53">
        <f t="shared" si="36"/>
        <v>8.9416756047563874E-4</v>
      </c>
      <c r="E1171" s="53">
        <v>1.2857523373155639E-2</v>
      </c>
      <c r="G1171" s="90">
        <v>1163</v>
      </c>
      <c r="H1171" s="90">
        <f t="shared" ca="1" si="37"/>
        <v>5.2257352625808308E-3</v>
      </c>
    </row>
    <row r="1172" spans="2:8" x14ac:dyDescent="0.3">
      <c r="B1172" s="58">
        <f>'DATA HISTORICAL'!$B1817</f>
        <v>44193</v>
      </c>
      <c r="C1172" s="60">
        <f>'DATA HISTORICAL'!$C1817</f>
        <v>5142.1499999999996</v>
      </c>
      <c r="D1172" s="53">
        <f t="shared" si="36"/>
        <v>1.9123181382948488E-2</v>
      </c>
      <c r="E1172" s="53">
        <v>1.2852929102106137E-2</v>
      </c>
      <c r="G1172" s="90">
        <v>1164</v>
      </c>
      <c r="H1172" s="90">
        <f t="shared" ca="1" si="37"/>
        <v>-2.0114022024882498E-2</v>
      </c>
    </row>
    <row r="1173" spans="2:8" x14ac:dyDescent="0.3">
      <c r="B1173" s="58">
        <f>'DATA HISTORICAL'!$B1818</f>
        <v>44189</v>
      </c>
      <c r="C1173" s="60">
        <f>'DATA HISTORICAL'!$C1818</f>
        <v>5044.75</v>
      </c>
      <c r="D1173" s="53">
        <f t="shared" si="36"/>
        <v>2.1431343593363728E-3</v>
      </c>
      <c r="E1173" s="53">
        <v>1.2839745844372056E-2</v>
      </c>
      <c r="G1173" s="90">
        <v>1165</v>
      </c>
      <c r="H1173" s="90">
        <f t="shared" ca="1" si="37"/>
        <v>9.0943446217080625E-3</v>
      </c>
    </row>
    <row r="1174" spans="2:8" x14ac:dyDescent="0.3">
      <c r="B1174" s="58">
        <f>'DATA HISTORICAL'!$B1819</f>
        <v>44188</v>
      </c>
      <c r="C1174" s="60">
        <f>'DATA HISTORICAL'!$C1819</f>
        <v>5033.95</v>
      </c>
      <c r="D1174" s="53">
        <f t="shared" si="36"/>
        <v>2.5160998828817004E-3</v>
      </c>
      <c r="E1174" s="53">
        <v>1.2830279742760528E-2</v>
      </c>
      <c r="G1174" s="90">
        <v>1166</v>
      </c>
      <c r="H1174" s="90">
        <f t="shared" ca="1" si="37"/>
        <v>2.3763447843225597E-2</v>
      </c>
    </row>
    <row r="1175" spans="2:8" x14ac:dyDescent="0.3">
      <c r="B1175" s="58">
        <f>'DATA HISTORICAL'!$B1820</f>
        <v>44187</v>
      </c>
      <c r="C1175" s="60">
        <f>'DATA HISTORICAL'!$C1820</f>
        <v>5021.3</v>
      </c>
      <c r="D1175" s="53">
        <f t="shared" si="36"/>
        <v>2.6821830490903506E-3</v>
      </c>
      <c r="E1175" s="53">
        <v>1.2827013559754399E-2</v>
      </c>
      <c r="G1175" s="90">
        <v>1167</v>
      </c>
      <c r="H1175" s="90">
        <f t="shared" ca="1" si="37"/>
        <v>2.1753544168963152E-4</v>
      </c>
    </row>
    <row r="1176" spans="2:8" x14ac:dyDescent="0.3">
      <c r="B1176" s="58">
        <f>'DATA HISTORICAL'!$B1821</f>
        <v>44186</v>
      </c>
      <c r="C1176" s="60">
        <f>'DATA HISTORICAL'!$C1821</f>
        <v>5007.8500000000004</v>
      </c>
      <c r="D1176" s="53">
        <f t="shared" si="36"/>
        <v>-2.8475352509929299E-2</v>
      </c>
      <c r="E1176" s="53">
        <v>1.2817708277086276E-2</v>
      </c>
      <c r="G1176" s="90">
        <v>1168</v>
      </c>
      <c r="H1176" s="90">
        <f t="shared" ca="1" si="37"/>
        <v>1.8132064580674449E-2</v>
      </c>
    </row>
    <row r="1177" spans="2:8" x14ac:dyDescent="0.3">
      <c r="B1177" s="58">
        <f>'DATA HISTORICAL'!$B1822</f>
        <v>44183</v>
      </c>
      <c r="C1177" s="60">
        <f>'DATA HISTORICAL'!$C1822</f>
        <v>5152.5</v>
      </c>
      <c r="D1177" s="53">
        <f t="shared" si="36"/>
        <v>-3.7387566191920455E-3</v>
      </c>
      <c r="E1177" s="53">
        <v>1.2802257903102491E-2</v>
      </c>
      <c r="G1177" s="90">
        <v>1169</v>
      </c>
      <c r="H1177" s="90">
        <f t="shared" ca="1" si="37"/>
        <v>-4.8412765670477554E-3</v>
      </c>
    </row>
    <row r="1178" spans="2:8" x14ac:dyDescent="0.3">
      <c r="B1178" s="58">
        <f>'DATA HISTORICAL'!$B1823</f>
        <v>44182</v>
      </c>
      <c r="C1178" s="60">
        <f>'DATA HISTORICAL'!$C1823</f>
        <v>5171.8</v>
      </c>
      <c r="D1178" s="53">
        <f t="shared" si="36"/>
        <v>1.1434474303807039E-2</v>
      </c>
      <c r="E1178" s="53">
        <v>1.2800016002738014E-2</v>
      </c>
      <c r="G1178" s="90">
        <v>1170</v>
      </c>
      <c r="H1178" s="90">
        <f t="shared" ca="1" si="37"/>
        <v>-1.5081494097355028E-2</v>
      </c>
    </row>
    <row r="1179" spans="2:8" x14ac:dyDescent="0.3">
      <c r="B1179" s="58">
        <f>'DATA HISTORICAL'!$B1824</f>
        <v>44181</v>
      </c>
      <c r="C1179" s="60">
        <f>'DATA HISTORICAL'!$C1824</f>
        <v>5113</v>
      </c>
      <c r="D1179" s="53">
        <f t="shared" si="36"/>
        <v>-8.5396118696328613E-3</v>
      </c>
      <c r="E1179" s="53">
        <v>1.2772875497148369E-2</v>
      </c>
      <c r="G1179" s="90">
        <v>1171</v>
      </c>
      <c r="H1179" s="90">
        <f t="shared" ca="1" si="37"/>
        <v>5.8254824951765472E-3</v>
      </c>
    </row>
    <row r="1180" spans="2:8" x14ac:dyDescent="0.3">
      <c r="B1180" s="58">
        <f>'DATA HISTORICAL'!$B1825</f>
        <v>44180</v>
      </c>
      <c r="C1180" s="60">
        <f>'DATA HISTORICAL'!$C1825</f>
        <v>5156.8500000000004</v>
      </c>
      <c r="D1180" s="53">
        <f t="shared" si="36"/>
        <v>1.6245738796524474E-2</v>
      </c>
      <c r="E1180" s="53">
        <v>1.2763617856322292E-2</v>
      </c>
      <c r="G1180" s="90">
        <v>1172</v>
      </c>
      <c r="H1180" s="90">
        <f t="shared" ca="1" si="37"/>
        <v>3.6765801315349185E-2</v>
      </c>
    </row>
    <row r="1181" spans="2:8" x14ac:dyDescent="0.3">
      <c r="B1181" s="58">
        <f>'DATA HISTORICAL'!$B1826</f>
        <v>44179</v>
      </c>
      <c r="C1181" s="60">
        <f>'DATA HISTORICAL'!$C1826</f>
        <v>5073.75</v>
      </c>
      <c r="D1181" s="53">
        <f t="shared" si="36"/>
        <v>1.1646767757071666E-2</v>
      </c>
      <c r="E1181" s="53">
        <v>1.2760726013791919E-2</v>
      </c>
      <c r="G1181" s="90">
        <v>1173</v>
      </c>
      <c r="H1181" s="90">
        <f t="shared" ca="1" si="37"/>
        <v>1.5627829040751915E-2</v>
      </c>
    </row>
    <row r="1182" spans="2:8" x14ac:dyDescent="0.3">
      <c r="B1182" s="58">
        <f>'DATA HISTORICAL'!$B1827</f>
        <v>44176</v>
      </c>
      <c r="C1182" s="60">
        <f>'DATA HISTORICAL'!$C1827</f>
        <v>5015</v>
      </c>
      <c r="D1182" s="53">
        <f t="shared" si="36"/>
        <v>1.0161120764709826E-2</v>
      </c>
      <c r="E1182" s="53">
        <v>1.2759207175472312E-2</v>
      </c>
      <c r="G1182" s="90">
        <v>1174</v>
      </c>
      <c r="H1182" s="90">
        <f t="shared" ca="1" si="37"/>
        <v>-1.4411953164931202E-2</v>
      </c>
    </row>
    <row r="1183" spans="2:8" x14ac:dyDescent="0.3">
      <c r="B1183" s="58">
        <f>'DATA HISTORICAL'!$B1828</f>
        <v>44175</v>
      </c>
      <c r="C1183" s="60">
        <f>'DATA HISTORICAL'!$C1828</f>
        <v>4964.3</v>
      </c>
      <c r="D1183" s="53">
        <f t="shared" si="36"/>
        <v>-3.5714195189327294E-2</v>
      </c>
      <c r="E1183" s="53">
        <v>1.2741419810923646E-2</v>
      </c>
      <c r="G1183" s="90">
        <v>1175</v>
      </c>
      <c r="H1183" s="90">
        <f t="shared" ca="1" si="37"/>
        <v>-2.0057262362759246E-2</v>
      </c>
    </row>
    <row r="1184" spans="2:8" x14ac:dyDescent="0.3">
      <c r="B1184" s="58">
        <f>'DATA HISTORICAL'!$B1829</f>
        <v>44174</v>
      </c>
      <c r="C1184" s="60">
        <f>'DATA HISTORICAL'!$C1829</f>
        <v>5144.8</v>
      </c>
      <c r="D1184" s="53">
        <f t="shared" si="36"/>
        <v>-1.4079778651206947E-2</v>
      </c>
      <c r="E1184" s="53">
        <v>1.273795820261274E-2</v>
      </c>
      <c r="G1184" s="90">
        <v>1176</v>
      </c>
      <c r="H1184" s="90">
        <f t="shared" ca="1" si="37"/>
        <v>9.3038201531270778E-3</v>
      </c>
    </row>
    <row r="1185" spans="2:8" x14ac:dyDescent="0.3">
      <c r="B1185" s="58">
        <f>'DATA HISTORICAL'!$B1830</f>
        <v>44173</v>
      </c>
      <c r="C1185" s="60">
        <f>'DATA HISTORICAL'!$C1830</f>
        <v>5217.75</v>
      </c>
      <c r="D1185" s="53">
        <f t="shared" si="36"/>
        <v>3.1391730129635247E-2</v>
      </c>
      <c r="E1185" s="53">
        <v>1.273483915452721E-2</v>
      </c>
      <c r="G1185" s="90">
        <v>1177</v>
      </c>
      <c r="H1185" s="90">
        <f t="shared" ca="1" si="37"/>
        <v>1.9175911707394286E-2</v>
      </c>
    </row>
    <row r="1186" spans="2:8" x14ac:dyDescent="0.3">
      <c r="B1186" s="58">
        <f>'DATA HISTORICAL'!$B1831</f>
        <v>44172</v>
      </c>
      <c r="C1186" s="60">
        <f>'DATA HISTORICAL'!$C1831</f>
        <v>5056.5</v>
      </c>
      <c r="D1186" s="53">
        <f t="shared" si="36"/>
        <v>-6.878297499183306E-3</v>
      </c>
      <c r="E1186" s="53">
        <v>1.2728103062231037E-2</v>
      </c>
      <c r="G1186" s="90">
        <v>1178</v>
      </c>
      <c r="H1186" s="90">
        <f t="shared" ca="1" si="37"/>
        <v>2.2131039774154516E-3</v>
      </c>
    </row>
    <row r="1187" spans="2:8" x14ac:dyDescent="0.3">
      <c r="B1187" s="58">
        <f>'DATA HISTORICAL'!$B1832</f>
        <v>44169</v>
      </c>
      <c r="C1187" s="60">
        <f>'DATA HISTORICAL'!$C1832</f>
        <v>5091.3999999999996</v>
      </c>
      <c r="D1187" s="53">
        <f t="shared" si="36"/>
        <v>3.9645047975534135E-2</v>
      </c>
      <c r="E1187" s="53">
        <v>1.272329604971436E-2</v>
      </c>
      <c r="G1187" s="90">
        <v>1179</v>
      </c>
      <c r="H1187" s="90">
        <f t="shared" ca="1" si="37"/>
        <v>2.0477806742097631E-2</v>
      </c>
    </row>
    <row r="1188" spans="2:8" x14ac:dyDescent="0.3">
      <c r="B1188" s="58">
        <f>'DATA HISTORICAL'!$B1833</f>
        <v>44168</v>
      </c>
      <c r="C1188" s="60">
        <f>'DATA HISTORICAL'!$C1833</f>
        <v>4893.5</v>
      </c>
      <c r="D1188" s="53">
        <f t="shared" si="36"/>
        <v>-8.0597998023728377E-3</v>
      </c>
      <c r="E1188" s="53">
        <v>1.2712265557901697E-2</v>
      </c>
      <c r="G1188" s="90">
        <v>1180</v>
      </c>
      <c r="H1188" s="90">
        <f t="shared" ca="1" si="37"/>
        <v>-4.3250135986250661E-3</v>
      </c>
    </row>
    <row r="1189" spans="2:8" x14ac:dyDescent="0.3">
      <c r="B1189" s="58">
        <f>'DATA HISTORICAL'!$B1834</f>
        <v>44167</v>
      </c>
      <c r="C1189" s="60">
        <f>'DATA HISTORICAL'!$C1834</f>
        <v>4933.1000000000004</v>
      </c>
      <c r="D1189" s="53">
        <f t="shared" si="36"/>
        <v>4.5918240704181769E-3</v>
      </c>
      <c r="E1189" s="53">
        <v>1.2663882337466339E-2</v>
      </c>
      <c r="G1189" s="90">
        <v>1181</v>
      </c>
      <c r="H1189" s="90">
        <f t="shared" ca="1" si="37"/>
        <v>-3.5406996587835906E-3</v>
      </c>
    </row>
    <row r="1190" spans="2:8" x14ac:dyDescent="0.3">
      <c r="B1190" s="58">
        <f>'DATA HISTORICAL'!$B1835</f>
        <v>44166</v>
      </c>
      <c r="C1190" s="60">
        <f>'DATA HISTORICAL'!$C1835</f>
        <v>4910.5</v>
      </c>
      <c r="D1190" s="53">
        <f t="shared" si="36"/>
        <v>2.2343271816630501E-2</v>
      </c>
      <c r="E1190" s="53">
        <v>1.2656063751292877E-2</v>
      </c>
      <c r="G1190" s="90">
        <v>1182</v>
      </c>
      <c r="H1190" s="90">
        <f t="shared" ca="1" si="37"/>
        <v>-9.7427348654293561E-5</v>
      </c>
    </row>
    <row r="1191" spans="2:8" x14ac:dyDescent="0.3">
      <c r="B1191" s="58">
        <f>'DATA HISTORICAL'!$B1836</f>
        <v>44162</v>
      </c>
      <c r="C1191" s="60">
        <f>'DATA HISTORICAL'!$C1836</f>
        <v>4802</v>
      </c>
      <c r="D1191" s="53">
        <f t="shared" si="36"/>
        <v>-6.6728142035335372E-3</v>
      </c>
      <c r="E1191" s="53">
        <v>1.2641223034909986E-2</v>
      </c>
      <c r="G1191" s="90">
        <v>1183</v>
      </c>
      <c r="H1191" s="90">
        <f t="shared" ca="1" si="37"/>
        <v>-3.4471865523209941E-4</v>
      </c>
    </row>
    <row r="1192" spans="2:8" x14ac:dyDescent="0.3">
      <c r="B1192" s="58">
        <f>'DATA HISTORICAL'!$B1837</f>
        <v>44161</v>
      </c>
      <c r="C1192" s="60">
        <f>'DATA HISTORICAL'!$C1837</f>
        <v>4834.1499999999996</v>
      </c>
      <c r="D1192" s="53">
        <f t="shared" si="36"/>
        <v>2.962504756283769E-3</v>
      </c>
      <c r="E1192" s="53">
        <v>1.2620488365453229E-2</v>
      </c>
      <c r="G1192" s="90">
        <v>1184</v>
      </c>
      <c r="H1192" s="90">
        <f t="shared" ca="1" si="37"/>
        <v>4.9250144217213854E-4</v>
      </c>
    </row>
    <row r="1193" spans="2:8" x14ac:dyDescent="0.3">
      <c r="B1193" s="58">
        <f>'DATA HISTORICAL'!$B1838</f>
        <v>44160</v>
      </c>
      <c r="C1193" s="60">
        <f>'DATA HISTORICAL'!$C1838</f>
        <v>4819.8500000000004</v>
      </c>
      <c r="D1193" s="53">
        <f t="shared" si="36"/>
        <v>-1.1007998251804067E-2</v>
      </c>
      <c r="E1193" s="53">
        <v>1.2613847626150938E-2</v>
      </c>
      <c r="G1193" s="90">
        <v>1185</v>
      </c>
      <c r="H1193" s="90">
        <f t="shared" ca="1" si="37"/>
        <v>2.3130400195147935E-2</v>
      </c>
    </row>
    <row r="1194" spans="2:8" x14ac:dyDescent="0.3">
      <c r="B1194" s="58">
        <f>'DATA HISTORICAL'!$B1839</f>
        <v>44159</v>
      </c>
      <c r="C1194" s="60">
        <f>'DATA HISTORICAL'!$C1839</f>
        <v>4873.2</v>
      </c>
      <c r="D1194" s="53">
        <f t="shared" si="36"/>
        <v>-3.3392432720774703E-3</v>
      </c>
      <c r="E1194" s="53">
        <v>1.2607181544547092E-2</v>
      </c>
      <c r="G1194" s="90">
        <v>1186</v>
      </c>
      <c r="H1194" s="90">
        <f t="shared" ca="1" si="37"/>
        <v>-8.0901185808316799E-4</v>
      </c>
    </row>
    <row r="1195" spans="2:8" x14ac:dyDescent="0.3">
      <c r="B1195" s="58">
        <f>'DATA HISTORICAL'!$B1840</f>
        <v>44158</v>
      </c>
      <c r="C1195" s="60">
        <f>'DATA HISTORICAL'!$C1840</f>
        <v>4889.5</v>
      </c>
      <c r="D1195" s="53">
        <f t="shared" si="36"/>
        <v>5.5270571021457928E-3</v>
      </c>
      <c r="E1195" s="53">
        <v>1.2603390998068249E-2</v>
      </c>
      <c r="G1195" s="90">
        <v>1187</v>
      </c>
      <c r="H1195" s="90">
        <f t="shared" ca="1" si="37"/>
        <v>3.019086174949193E-3</v>
      </c>
    </row>
    <row r="1196" spans="2:8" x14ac:dyDescent="0.3">
      <c r="B1196" s="58">
        <f>'DATA HISTORICAL'!$B1841</f>
        <v>44155</v>
      </c>
      <c r="C1196" s="60">
        <f>'DATA HISTORICAL'!$C1841</f>
        <v>4862.55</v>
      </c>
      <c r="D1196" s="53">
        <f t="shared" si="36"/>
        <v>1.7540942764429083E-2</v>
      </c>
      <c r="E1196" s="53">
        <v>1.2600177454927171E-2</v>
      </c>
      <c r="G1196" s="90">
        <v>1188</v>
      </c>
      <c r="H1196" s="90">
        <f t="shared" ca="1" si="37"/>
        <v>2.2152204980862587E-2</v>
      </c>
    </row>
    <row r="1197" spans="2:8" x14ac:dyDescent="0.3">
      <c r="B1197" s="58">
        <f>'DATA HISTORICAL'!$B1842</f>
        <v>44154</v>
      </c>
      <c r="C1197" s="60">
        <f>'DATA HISTORICAL'!$C1842</f>
        <v>4778</v>
      </c>
      <c r="D1197" s="53">
        <f t="shared" si="36"/>
        <v>-3.0809711141120459E-2</v>
      </c>
      <c r="E1197" s="53">
        <v>1.2587987462504873E-2</v>
      </c>
      <c r="G1197" s="90">
        <v>1189</v>
      </c>
      <c r="H1197" s="90">
        <f t="shared" ca="1" si="37"/>
        <v>3.186015216579751E-2</v>
      </c>
    </row>
    <row r="1198" spans="2:8" x14ac:dyDescent="0.3">
      <c r="B1198" s="58">
        <f>'DATA HISTORICAL'!$B1843</f>
        <v>44153</v>
      </c>
      <c r="C1198" s="60">
        <f>'DATA HISTORICAL'!$C1843</f>
        <v>4927.5</v>
      </c>
      <c r="D1198" s="53">
        <f t="shared" si="36"/>
        <v>3.7513196468901538E-3</v>
      </c>
      <c r="E1198" s="53">
        <v>1.2582391043043994E-2</v>
      </c>
      <c r="G1198" s="90">
        <v>1190</v>
      </c>
      <c r="H1198" s="90">
        <f t="shared" ca="1" si="37"/>
        <v>1.7829789961445058E-2</v>
      </c>
    </row>
    <row r="1199" spans="2:8" x14ac:dyDescent="0.3">
      <c r="B1199" s="58">
        <f>'DATA HISTORICAL'!$B1844</f>
        <v>44152</v>
      </c>
      <c r="C1199" s="60">
        <f>'DATA HISTORICAL'!$C1844</f>
        <v>4909.05</v>
      </c>
      <c r="D1199" s="53">
        <f t="shared" si="36"/>
        <v>1.8962569910156591E-3</v>
      </c>
      <c r="E1199" s="53">
        <v>1.2560535681371237E-2</v>
      </c>
      <c r="G1199" s="90">
        <v>1191</v>
      </c>
      <c r="H1199" s="90">
        <f t="shared" ca="1" si="37"/>
        <v>-1.0238905641222335E-2</v>
      </c>
    </row>
    <row r="1200" spans="2:8" x14ac:dyDescent="0.3">
      <c r="B1200" s="58">
        <f>'DATA HISTORICAL'!$B1845</f>
        <v>44148</v>
      </c>
      <c r="C1200" s="60">
        <f>'DATA HISTORICAL'!$C1845</f>
        <v>4899.75</v>
      </c>
      <c r="D1200" s="53">
        <f t="shared" si="36"/>
        <v>1.1009925649676341E-2</v>
      </c>
      <c r="E1200" s="53">
        <v>1.2559120376622011E-2</v>
      </c>
      <c r="G1200" s="90">
        <v>1192</v>
      </c>
      <c r="H1200" s="90">
        <f t="shared" ca="1" si="37"/>
        <v>-1.7170222389101611E-2</v>
      </c>
    </row>
    <row r="1201" spans="2:8" x14ac:dyDescent="0.3">
      <c r="B1201" s="58">
        <f>'DATA HISTORICAL'!$B1846</f>
        <v>44147</v>
      </c>
      <c r="C1201" s="60">
        <f>'DATA HISTORICAL'!$C1846</f>
        <v>4846.1000000000004</v>
      </c>
      <c r="D1201" s="53">
        <f t="shared" si="36"/>
        <v>4.6122585615526257E-3</v>
      </c>
      <c r="E1201" s="53">
        <v>1.2536326186741772E-2</v>
      </c>
      <c r="G1201" s="90">
        <v>1193</v>
      </c>
      <c r="H1201" s="90">
        <f t="shared" ca="1" si="37"/>
        <v>1.037034263856459E-2</v>
      </c>
    </row>
    <row r="1202" spans="2:8" x14ac:dyDescent="0.3">
      <c r="B1202" s="58">
        <f>'DATA HISTORICAL'!$B1847</f>
        <v>44146</v>
      </c>
      <c r="C1202" s="60">
        <f>'DATA HISTORICAL'!$C1847</f>
        <v>4823.8</v>
      </c>
      <c r="D1202" s="53">
        <f t="shared" si="36"/>
        <v>2.1848543126239777E-2</v>
      </c>
      <c r="E1202" s="53">
        <v>1.251589731762907E-2</v>
      </c>
      <c r="G1202" s="90">
        <v>1194</v>
      </c>
      <c r="H1202" s="90">
        <f t="shared" ca="1" si="37"/>
        <v>2.1128667975359654E-3</v>
      </c>
    </row>
    <row r="1203" spans="2:8" x14ac:dyDescent="0.3">
      <c r="B1203" s="58">
        <f>'DATA HISTORICAL'!$B1848</f>
        <v>44145</v>
      </c>
      <c r="C1203" s="60">
        <f>'DATA HISTORICAL'!$C1848</f>
        <v>4719.55</v>
      </c>
      <c r="D1203" s="53">
        <f t="shared" si="36"/>
        <v>2.0183032511788612E-2</v>
      </c>
      <c r="E1203" s="53">
        <v>1.2511103355038423E-2</v>
      </c>
      <c r="G1203" s="90">
        <v>1195</v>
      </c>
      <c r="H1203" s="90">
        <f t="shared" ca="1" si="37"/>
        <v>-3.7855408451153594E-2</v>
      </c>
    </row>
    <row r="1204" spans="2:8" x14ac:dyDescent="0.3">
      <c r="B1204" s="58">
        <f>'DATA HISTORICAL'!$B1849</f>
        <v>44144</v>
      </c>
      <c r="C1204" s="60">
        <f>'DATA HISTORICAL'!$C1849</f>
        <v>4625.25</v>
      </c>
      <c r="D1204" s="53">
        <f t="shared" si="36"/>
        <v>1.5085377972639123E-2</v>
      </c>
      <c r="E1204" s="53">
        <v>1.2491794326116301E-2</v>
      </c>
      <c r="G1204" s="90">
        <v>1196</v>
      </c>
      <c r="H1204" s="90">
        <f t="shared" ca="1" si="37"/>
        <v>1.012221065800082E-2</v>
      </c>
    </row>
    <row r="1205" spans="2:8" x14ac:dyDescent="0.3">
      <c r="B1205" s="58">
        <f>'DATA HISTORICAL'!$B1850</f>
        <v>44141</v>
      </c>
      <c r="C1205" s="60">
        <f>'DATA HISTORICAL'!$C1850</f>
        <v>4556</v>
      </c>
      <c r="D1205" s="53">
        <f t="shared" si="36"/>
        <v>-1.3495010717065624E-2</v>
      </c>
      <c r="E1205" s="53">
        <v>1.2478891373188064E-2</v>
      </c>
      <c r="G1205" s="90">
        <v>1197</v>
      </c>
      <c r="H1205" s="90">
        <f t="shared" ca="1" si="37"/>
        <v>-1.2608678982410065E-3</v>
      </c>
    </row>
    <row r="1206" spans="2:8" x14ac:dyDescent="0.3">
      <c r="B1206" s="58">
        <f>'DATA HISTORICAL'!$B1851</f>
        <v>44140</v>
      </c>
      <c r="C1206" s="60">
        <f>'DATA HISTORICAL'!$C1851</f>
        <v>4617.8999999999996</v>
      </c>
      <c r="D1206" s="53">
        <f t="shared" si="36"/>
        <v>1.8864978284804743E-2</v>
      </c>
      <c r="E1206" s="53">
        <v>1.2477408166843123E-2</v>
      </c>
      <c r="G1206" s="90">
        <v>1198</v>
      </c>
      <c r="H1206" s="90">
        <f t="shared" ca="1" si="37"/>
        <v>3.0958208350309772E-2</v>
      </c>
    </row>
    <row r="1207" spans="2:8" x14ac:dyDescent="0.3">
      <c r="B1207" s="58">
        <f>'DATA HISTORICAL'!$B1852</f>
        <v>44139</v>
      </c>
      <c r="C1207" s="60">
        <f>'DATA HISTORICAL'!$C1852</f>
        <v>4531.6000000000004</v>
      </c>
      <c r="D1207" s="53">
        <f t="shared" si="36"/>
        <v>-3.9532489557252519E-3</v>
      </c>
      <c r="E1207" s="53">
        <v>1.2477017010612662E-2</v>
      </c>
      <c r="G1207" s="90">
        <v>1199</v>
      </c>
      <c r="H1207" s="90">
        <f t="shared" ca="1" si="37"/>
        <v>6.7455507280216537E-3</v>
      </c>
    </row>
    <row r="1208" spans="2:8" x14ac:dyDescent="0.3">
      <c r="B1208" s="58">
        <f>'DATA HISTORICAL'!$B1853</f>
        <v>44138</v>
      </c>
      <c r="C1208" s="60">
        <f>'DATA HISTORICAL'!$C1853</f>
        <v>4549.55</v>
      </c>
      <c r="D1208" s="53">
        <f t="shared" si="36"/>
        <v>-2.7471471050266409E-4</v>
      </c>
      <c r="E1208" s="53">
        <v>1.2470421675787595E-2</v>
      </c>
      <c r="G1208" s="90">
        <v>1200</v>
      </c>
      <c r="H1208" s="90">
        <f t="shared" ca="1" si="37"/>
        <v>-2.9111666667364011E-3</v>
      </c>
    </row>
    <row r="1209" spans="2:8" x14ac:dyDescent="0.3">
      <c r="B1209" s="58">
        <f>'DATA HISTORICAL'!$B1854</f>
        <v>44137</v>
      </c>
      <c r="C1209" s="60">
        <f>'DATA HISTORICAL'!$C1854</f>
        <v>4550.8</v>
      </c>
      <c r="D1209" s="53">
        <f t="shared" si="36"/>
        <v>-5.095985208533182E-3</v>
      </c>
      <c r="E1209" s="53">
        <v>1.2467465374748394E-2</v>
      </c>
      <c r="G1209" s="90">
        <v>1201</v>
      </c>
      <c r="H1209" s="90">
        <f t="shared" ca="1" si="37"/>
        <v>-5.8478644941300281E-4</v>
      </c>
    </row>
    <row r="1210" spans="2:8" x14ac:dyDescent="0.3">
      <c r="B1210" s="58">
        <f>'DATA HISTORICAL'!$B1855</f>
        <v>44134</v>
      </c>
      <c r="C1210" s="60">
        <f>'DATA HISTORICAL'!$C1855</f>
        <v>4574.05</v>
      </c>
      <c r="D1210" s="53">
        <f t="shared" si="36"/>
        <v>-6.0103708022430291E-4</v>
      </c>
      <c r="E1210" s="53">
        <v>1.2462329708150569E-2</v>
      </c>
      <c r="G1210" s="90">
        <v>1202</v>
      </c>
      <c r="H1210" s="90">
        <f t="shared" ca="1" si="37"/>
        <v>-2.0563385185407811E-2</v>
      </c>
    </row>
    <row r="1211" spans="2:8" x14ac:dyDescent="0.3">
      <c r="B1211" s="58">
        <f>'DATA HISTORICAL'!$B1856</f>
        <v>44133</v>
      </c>
      <c r="C1211" s="60">
        <f>'DATA HISTORICAL'!$C1856</f>
        <v>4576.8</v>
      </c>
      <c r="D1211" s="53">
        <f t="shared" si="36"/>
        <v>2.3768267162267449E-2</v>
      </c>
      <c r="E1211" s="53">
        <v>1.2455218338006776E-2</v>
      </c>
      <c r="G1211" s="90">
        <v>1203</v>
      </c>
      <c r="H1211" s="90">
        <f t="shared" ca="1" si="37"/>
        <v>3.3823412226666617E-4</v>
      </c>
    </row>
    <row r="1212" spans="2:8" x14ac:dyDescent="0.3">
      <c r="B1212" s="58">
        <f>'DATA HISTORICAL'!$B1857</f>
        <v>44132</v>
      </c>
      <c r="C1212" s="60">
        <f>'DATA HISTORICAL'!$C1857</f>
        <v>4469.3</v>
      </c>
      <c r="D1212" s="53">
        <f t="shared" si="36"/>
        <v>-2.1613789227038684E-2</v>
      </c>
      <c r="E1212" s="53">
        <v>1.2429806833900109E-2</v>
      </c>
      <c r="G1212" s="90">
        <v>1204</v>
      </c>
      <c r="H1212" s="90">
        <f t="shared" ca="1" si="37"/>
        <v>8.5145193665430684E-3</v>
      </c>
    </row>
    <row r="1213" spans="2:8" x14ac:dyDescent="0.3">
      <c r="B1213" s="58">
        <f>'DATA HISTORICAL'!$B1858</f>
        <v>44131</v>
      </c>
      <c r="C1213" s="60">
        <f>'DATA HISTORICAL'!$C1858</f>
        <v>4566.95</v>
      </c>
      <c r="D1213" s="53">
        <f t="shared" si="36"/>
        <v>1.8017908326901703E-2</v>
      </c>
      <c r="E1213" s="53">
        <v>1.2423858738743432E-2</v>
      </c>
      <c r="G1213" s="90">
        <v>1205</v>
      </c>
      <c r="H1213" s="90">
        <f t="shared" ca="1" si="37"/>
        <v>3.7005793201077518E-3</v>
      </c>
    </row>
    <row r="1214" spans="2:8" x14ac:dyDescent="0.3">
      <c r="B1214" s="58">
        <f>'DATA HISTORICAL'!$B1859</f>
        <v>44130</v>
      </c>
      <c r="C1214" s="60">
        <f>'DATA HISTORICAL'!$C1859</f>
        <v>4485.3999999999996</v>
      </c>
      <c r="D1214" s="53">
        <f t="shared" si="36"/>
        <v>-4.2603193488014784E-3</v>
      </c>
      <c r="E1214" s="53">
        <v>1.240354484651841E-2</v>
      </c>
      <c r="G1214" s="90">
        <v>1206</v>
      </c>
      <c r="H1214" s="90">
        <f t="shared" ca="1" si="37"/>
        <v>-1.6596180857471613E-2</v>
      </c>
    </row>
    <row r="1215" spans="2:8" x14ac:dyDescent="0.3">
      <c r="B1215" s="58">
        <f>'DATA HISTORICAL'!$B1860</f>
        <v>44127</v>
      </c>
      <c r="C1215" s="60">
        <f>'DATA HISTORICAL'!$C1860</f>
        <v>4504.55</v>
      </c>
      <c r="D1215" s="53">
        <f t="shared" si="36"/>
        <v>-2.4126358016059033E-2</v>
      </c>
      <c r="E1215" s="53">
        <v>1.2398128012368895E-2</v>
      </c>
      <c r="G1215" s="90">
        <v>1207</v>
      </c>
      <c r="H1215" s="90">
        <f t="shared" ca="1" si="37"/>
        <v>1.3215475307538747E-2</v>
      </c>
    </row>
    <row r="1216" spans="2:8" x14ac:dyDescent="0.3">
      <c r="B1216" s="58">
        <f>'DATA HISTORICAL'!$B1861</f>
        <v>44126</v>
      </c>
      <c r="C1216" s="60">
        <f>'DATA HISTORICAL'!$C1861</f>
        <v>4614.55</v>
      </c>
      <c r="D1216" s="53">
        <f t="shared" si="36"/>
        <v>-3.1481096788809814E-3</v>
      </c>
      <c r="E1216" s="53">
        <v>1.238470183173678E-2</v>
      </c>
      <c r="G1216" s="90">
        <v>1208</v>
      </c>
      <c r="H1216" s="90">
        <f t="shared" ca="1" si="37"/>
        <v>4.1913170612422626E-2</v>
      </c>
    </row>
    <row r="1217" spans="2:8" x14ac:dyDescent="0.3">
      <c r="B1217" s="58">
        <f>'DATA HISTORICAL'!$B1862</f>
        <v>44125</v>
      </c>
      <c r="C1217" s="60">
        <f>'DATA HISTORICAL'!$C1862</f>
        <v>4629.1000000000004</v>
      </c>
      <c r="D1217" s="53">
        <f t="shared" si="36"/>
        <v>1.847776165330136E-2</v>
      </c>
      <c r="E1217" s="53">
        <v>1.2381077783845068E-2</v>
      </c>
      <c r="G1217" s="90">
        <v>1209</v>
      </c>
      <c r="H1217" s="90">
        <f t="shared" ca="1" si="37"/>
        <v>1.8717609508772982E-2</v>
      </c>
    </row>
    <row r="1218" spans="2:8" x14ac:dyDescent="0.3">
      <c r="B1218" s="58">
        <f>'DATA HISTORICAL'!$B1863</f>
        <v>44124</v>
      </c>
      <c r="C1218" s="60">
        <f>'DATA HISTORICAL'!$C1863</f>
        <v>4544.3500000000004</v>
      </c>
      <c r="D1218" s="53">
        <f t="shared" si="36"/>
        <v>6.5681137331512545E-3</v>
      </c>
      <c r="E1218" s="53">
        <v>1.2375974026997008E-2</v>
      </c>
      <c r="G1218" s="90">
        <v>1210</v>
      </c>
      <c r="H1218" s="90">
        <f t="shared" ca="1" si="37"/>
        <v>2.7661234018828924E-2</v>
      </c>
    </row>
    <row r="1219" spans="2:8" x14ac:dyDescent="0.3">
      <c r="B1219" s="58">
        <f>'DATA HISTORICAL'!$B1864</f>
        <v>44123</v>
      </c>
      <c r="C1219" s="60">
        <f>'DATA HISTORICAL'!$C1864</f>
        <v>4514.6000000000004</v>
      </c>
      <c r="D1219" s="53">
        <f t="shared" si="36"/>
        <v>7.2249027694075776E-3</v>
      </c>
      <c r="E1219" s="53">
        <v>1.2357106369916718E-2</v>
      </c>
      <c r="G1219" s="90">
        <v>1211</v>
      </c>
      <c r="H1219" s="90">
        <f t="shared" ca="1" si="37"/>
        <v>4.2822627897184462E-3</v>
      </c>
    </row>
    <row r="1220" spans="2:8" x14ac:dyDescent="0.3">
      <c r="B1220" s="58">
        <f>'DATA HISTORICAL'!$B1865</f>
        <v>44120</v>
      </c>
      <c r="C1220" s="60">
        <f>'DATA HISTORICAL'!$C1865</f>
        <v>4482.1000000000004</v>
      </c>
      <c r="D1220" s="53">
        <f t="shared" si="36"/>
        <v>2.2289821233921352E-2</v>
      </c>
      <c r="E1220" s="53">
        <v>1.2344398050155877E-2</v>
      </c>
      <c r="G1220" s="90">
        <v>1212</v>
      </c>
      <c r="H1220" s="90">
        <f t="shared" ca="1" si="37"/>
        <v>-7.5639347129053047E-3</v>
      </c>
    </row>
    <row r="1221" spans="2:8" x14ac:dyDescent="0.3">
      <c r="B1221" s="58">
        <f>'DATA HISTORICAL'!$B1866</f>
        <v>44119</v>
      </c>
      <c r="C1221" s="60">
        <f>'DATA HISTORICAL'!$C1866</f>
        <v>4383.3</v>
      </c>
      <c r="D1221" s="53">
        <f t="shared" si="36"/>
        <v>-1.3494197047529601E-2</v>
      </c>
      <c r="E1221" s="53">
        <v>1.2338384917552491E-2</v>
      </c>
      <c r="G1221" s="90">
        <v>1213</v>
      </c>
      <c r="H1221" s="90">
        <f t="shared" ca="1" si="37"/>
        <v>6.2329000142770322E-3</v>
      </c>
    </row>
    <row r="1222" spans="2:8" x14ac:dyDescent="0.3">
      <c r="B1222" s="58">
        <f>'DATA HISTORICAL'!$B1867</f>
        <v>44118</v>
      </c>
      <c r="C1222" s="60">
        <f>'DATA HISTORICAL'!$C1867</f>
        <v>4442.8500000000004</v>
      </c>
      <c r="D1222" s="53">
        <f t="shared" si="36"/>
        <v>1.3619681159694554E-2</v>
      </c>
      <c r="E1222" s="53">
        <v>1.2321692113862711E-2</v>
      </c>
      <c r="G1222" s="90">
        <v>1214</v>
      </c>
      <c r="H1222" s="90">
        <f t="shared" ca="1" si="37"/>
        <v>6.1528370392617635E-3</v>
      </c>
    </row>
    <row r="1223" spans="2:8" x14ac:dyDescent="0.3">
      <c r="B1223" s="58">
        <f>'DATA HISTORICAL'!$B1868</f>
        <v>44117</v>
      </c>
      <c r="C1223" s="60">
        <f>'DATA HISTORICAL'!$C1868</f>
        <v>4382.75</v>
      </c>
      <c r="D1223" s="53">
        <f t="shared" si="36"/>
        <v>1.7597314508943335E-2</v>
      </c>
      <c r="E1223" s="53">
        <v>1.2262214154094436E-2</v>
      </c>
      <c r="G1223" s="90">
        <v>1215</v>
      </c>
      <c r="H1223" s="90">
        <f t="shared" ca="1" si="37"/>
        <v>3.0395925544119805E-3</v>
      </c>
    </row>
    <row r="1224" spans="2:8" x14ac:dyDescent="0.3">
      <c r="B1224" s="58">
        <f>'DATA HISTORICAL'!$B1869</f>
        <v>44116</v>
      </c>
      <c r="C1224" s="60">
        <f>'DATA HISTORICAL'!$C1869</f>
        <v>4306.3</v>
      </c>
      <c r="D1224" s="53">
        <f t="shared" si="36"/>
        <v>1.8478386133337025E-3</v>
      </c>
      <c r="E1224" s="53">
        <v>1.223127859237612E-2</v>
      </c>
      <c r="G1224" s="90">
        <v>1216</v>
      </c>
      <c r="H1224" s="90">
        <f t="shared" ca="1" si="37"/>
        <v>4.3576933347918005E-2</v>
      </c>
    </row>
    <row r="1225" spans="2:8" x14ac:dyDescent="0.3">
      <c r="B1225" s="58">
        <f>'DATA HISTORICAL'!$B1870</f>
        <v>44113</v>
      </c>
      <c r="C1225" s="60">
        <f>'DATA HISTORICAL'!$C1870</f>
        <v>4298.3500000000004</v>
      </c>
      <c r="D1225" s="53">
        <f t="shared" ref="D1225:D1288" si="38">LN(C1225/C1226)</f>
        <v>-1.1024653704668498E-2</v>
      </c>
      <c r="E1225" s="53">
        <v>1.2226255822401859E-2</v>
      </c>
      <c r="G1225" s="90">
        <v>1217</v>
      </c>
      <c r="H1225" s="90">
        <f t="shared" ref="H1225:H1288" ca="1" si="39">_xlfn.NORM.INV(RAND(),N$10,N$11)</f>
        <v>-2.3659039429964664E-2</v>
      </c>
    </row>
    <row r="1226" spans="2:8" x14ac:dyDescent="0.3">
      <c r="B1226" s="58">
        <f>'DATA HISTORICAL'!$B1871</f>
        <v>44112</v>
      </c>
      <c r="C1226" s="60">
        <f>'DATA HISTORICAL'!$C1871</f>
        <v>4346</v>
      </c>
      <c r="D1226" s="53">
        <f t="shared" si="38"/>
        <v>3.0997826095257357E-2</v>
      </c>
      <c r="E1226" s="53">
        <v>1.2223837329419717E-2</v>
      </c>
      <c r="G1226" s="90">
        <v>1218</v>
      </c>
      <c r="H1226" s="90">
        <f t="shared" ca="1" si="39"/>
        <v>2.1053642705466787E-2</v>
      </c>
    </row>
    <row r="1227" spans="2:8" x14ac:dyDescent="0.3">
      <c r="B1227" s="58">
        <f>'DATA HISTORICAL'!$B1872</f>
        <v>44111</v>
      </c>
      <c r="C1227" s="60">
        <f>'DATA HISTORICAL'!$C1872</f>
        <v>4213.3500000000004</v>
      </c>
      <c r="D1227" s="53">
        <f t="shared" si="38"/>
        <v>1.8504740875424527E-2</v>
      </c>
      <c r="E1227" s="53">
        <v>1.2219667473677039E-2</v>
      </c>
      <c r="G1227" s="90">
        <v>1219</v>
      </c>
      <c r="H1227" s="90">
        <f t="shared" ca="1" si="39"/>
        <v>-1.0033027405071109E-2</v>
      </c>
    </row>
    <row r="1228" spans="2:8" x14ac:dyDescent="0.3">
      <c r="B1228" s="58">
        <f>'DATA HISTORICAL'!$B1873</f>
        <v>44110</v>
      </c>
      <c r="C1228" s="60">
        <f>'DATA HISTORICAL'!$C1873</f>
        <v>4136.1000000000004</v>
      </c>
      <c r="D1228" s="53">
        <f t="shared" si="38"/>
        <v>2.1740385164482394E-2</v>
      </c>
      <c r="E1228" s="53">
        <v>1.2200639293236969E-2</v>
      </c>
      <c r="G1228" s="90">
        <v>1220</v>
      </c>
      <c r="H1228" s="90">
        <f t="shared" ca="1" si="39"/>
        <v>-1.7965130075264521E-3</v>
      </c>
    </row>
    <row r="1229" spans="2:8" x14ac:dyDescent="0.3">
      <c r="B1229" s="58">
        <f>'DATA HISTORICAL'!$B1874</f>
        <v>44109</v>
      </c>
      <c r="C1229" s="60">
        <f>'DATA HISTORICAL'!$C1874</f>
        <v>4047.15</v>
      </c>
      <c r="D1229" s="53">
        <f t="shared" si="38"/>
        <v>-1.2425112888258731E-2</v>
      </c>
      <c r="E1229" s="53">
        <v>1.2198884029899243E-2</v>
      </c>
      <c r="G1229" s="90">
        <v>1221</v>
      </c>
      <c r="H1229" s="90">
        <f t="shared" ca="1" si="39"/>
        <v>-2.4809596836500025E-2</v>
      </c>
    </row>
    <row r="1230" spans="2:8" x14ac:dyDescent="0.3">
      <c r="B1230" s="58">
        <f>'DATA HISTORICAL'!$B1875</f>
        <v>44105</v>
      </c>
      <c r="C1230" s="60">
        <f>'DATA HISTORICAL'!$C1875</f>
        <v>4097.75</v>
      </c>
      <c r="D1230" s="53">
        <f t="shared" si="38"/>
        <v>1.1832278753292539E-2</v>
      </c>
      <c r="E1230" s="53">
        <v>1.2191704701566313E-2</v>
      </c>
      <c r="G1230" s="90">
        <v>1222</v>
      </c>
      <c r="H1230" s="90">
        <f t="shared" ca="1" si="39"/>
        <v>3.0490750192477416E-2</v>
      </c>
    </row>
    <row r="1231" spans="2:8" x14ac:dyDescent="0.3">
      <c r="B1231" s="58">
        <f>'DATA HISTORICAL'!$B1876</f>
        <v>44104</v>
      </c>
      <c r="C1231" s="60">
        <f>'DATA HISTORICAL'!$C1876</f>
        <v>4049.55</v>
      </c>
      <c r="D1231" s="53">
        <f t="shared" si="38"/>
        <v>-3.0943174356989358E-3</v>
      </c>
      <c r="E1231" s="53">
        <v>1.2169987038444303E-2</v>
      </c>
      <c r="G1231" s="90">
        <v>1223</v>
      </c>
      <c r="H1231" s="90">
        <f t="shared" ca="1" si="39"/>
        <v>-5.7062414177727052E-3</v>
      </c>
    </row>
    <row r="1232" spans="2:8" x14ac:dyDescent="0.3">
      <c r="B1232" s="58">
        <f>'DATA HISTORICAL'!$B1877</f>
        <v>44103</v>
      </c>
      <c r="C1232" s="60">
        <f>'DATA HISTORICAL'!$C1877</f>
        <v>4062.1</v>
      </c>
      <c r="D1232" s="53">
        <f t="shared" si="38"/>
        <v>3.5098353495584225E-2</v>
      </c>
      <c r="E1232" s="53">
        <v>1.214912886767705E-2</v>
      </c>
      <c r="G1232" s="90">
        <v>1224</v>
      </c>
      <c r="H1232" s="90">
        <f t="shared" ca="1" si="39"/>
        <v>2.067639864073097E-2</v>
      </c>
    </row>
    <row r="1233" spans="2:8" x14ac:dyDescent="0.3">
      <c r="B1233" s="58">
        <f>'DATA HISTORICAL'!$B1878</f>
        <v>44102</v>
      </c>
      <c r="C1233" s="60">
        <f>'DATA HISTORICAL'!$C1878</f>
        <v>3922</v>
      </c>
      <c r="D1233" s="53">
        <f t="shared" si="38"/>
        <v>1.6323220858633861E-2</v>
      </c>
      <c r="E1233" s="53">
        <v>1.2136132481717033E-2</v>
      </c>
      <c r="G1233" s="90">
        <v>1225</v>
      </c>
      <c r="H1233" s="90">
        <f t="shared" ca="1" si="39"/>
        <v>3.8953667219433297E-3</v>
      </c>
    </row>
    <row r="1234" spans="2:8" x14ac:dyDescent="0.3">
      <c r="B1234" s="58">
        <f>'DATA HISTORICAL'!$B1879</f>
        <v>44099</v>
      </c>
      <c r="C1234" s="60">
        <f>'DATA HISTORICAL'!$C1879</f>
        <v>3858.5</v>
      </c>
      <c r="D1234" s="53">
        <f t="shared" si="38"/>
        <v>2.113667729993839E-2</v>
      </c>
      <c r="E1234" s="53">
        <v>1.2123311233573153E-2</v>
      </c>
      <c r="G1234" s="90">
        <v>1226</v>
      </c>
      <c r="H1234" s="90">
        <f t="shared" ca="1" si="39"/>
        <v>3.4407038112363323E-3</v>
      </c>
    </row>
    <row r="1235" spans="2:8" x14ac:dyDescent="0.3">
      <c r="B1235" s="58">
        <f>'DATA HISTORICAL'!$B1880</f>
        <v>44098</v>
      </c>
      <c r="C1235" s="60">
        <f>'DATA HISTORICAL'!$C1880</f>
        <v>3777.8</v>
      </c>
      <c r="D1235" s="53">
        <f t="shared" si="38"/>
        <v>-2.3893015059202879E-2</v>
      </c>
      <c r="E1235" s="53">
        <v>1.2059962858127871E-2</v>
      </c>
      <c r="G1235" s="90">
        <v>1227</v>
      </c>
      <c r="H1235" s="90">
        <f t="shared" ca="1" si="39"/>
        <v>-2.0228386698298531E-2</v>
      </c>
    </row>
    <row r="1236" spans="2:8" x14ac:dyDescent="0.3">
      <c r="B1236" s="58">
        <f>'DATA HISTORICAL'!$B1881</f>
        <v>44097</v>
      </c>
      <c r="C1236" s="60">
        <f>'DATA HISTORICAL'!$C1881</f>
        <v>3869.15</v>
      </c>
      <c r="D1236" s="53">
        <f t="shared" si="38"/>
        <v>-3.6118352539442839E-3</v>
      </c>
      <c r="E1236" s="53">
        <v>1.2020442483385952E-2</v>
      </c>
      <c r="G1236" s="90">
        <v>1228</v>
      </c>
      <c r="H1236" s="90">
        <f t="shared" ca="1" si="39"/>
        <v>-1.3931386085699965E-2</v>
      </c>
    </row>
    <row r="1237" spans="2:8" x14ac:dyDescent="0.3">
      <c r="B1237" s="58">
        <f>'DATA HISTORICAL'!$B1882</f>
        <v>44096</v>
      </c>
      <c r="C1237" s="60">
        <f>'DATA HISTORICAL'!$C1882</f>
        <v>3883.15</v>
      </c>
      <c r="D1237" s="53">
        <f t="shared" si="38"/>
        <v>1.0950716433700668E-3</v>
      </c>
      <c r="E1237" s="53">
        <v>1.2012549417388146E-2</v>
      </c>
      <c r="G1237" s="90">
        <v>1229</v>
      </c>
      <c r="H1237" s="90">
        <f t="shared" ca="1" si="39"/>
        <v>1.5135689666657272E-2</v>
      </c>
    </row>
    <row r="1238" spans="2:8" x14ac:dyDescent="0.3">
      <c r="B1238" s="58">
        <f>'DATA HISTORICAL'!$B1883</f>
        <v>44095</v>
      </c>
      <c r="C1238" s="60">
        <f>'DATA HISTORICAL'!$C1883</f>
        <v>3878.9</v>
      </c>
      <c r="D1238" s="53">
        <f t="shared" si="38"/>
        <v>-3.1392541676028347E-2</v>
      </c>
      <c r="E1238" s="53">
        <v>1.2007900845783013E-2</v>
      </c>
      <c r="G1238" s="90">
        <v>1230</v>
      </c>
      <c r="H1238" s="90">
        <f t="shared" ca="1" si="39"/>
        <v>4.5915795824822712E-2</v>
      </c>
    </row>
    <row r="1239" spans="2:8" x14ac:dyDescent="0.3">
      <c r="B1239" s="58">
        <f>'DATA HISTORICAL'!$B1884</f>
        <v>44092</v>
      </c>
      <c r="C1239" s="60">
        <f>'DATA HISTORICAL'!$C1884</f>
        <v>4002.6</v>
      </c>
      <c r="D1239" s="53">
        <f t="shared" si="38"/>
        <v>8.442573871455545E-3</v>
      </c>
      <c r="E1239" s="53">
        <v>1.2000293078651985E-2</v>
      </c>
      <c r="G1239" s="90">
        <v>1231</v>
      </c>
      <c r="H1239" s="90">
        <f t="shared" ca="1" si="39"/>
        <v>-3.602481752991776E-4</v>
      </c>
    </row>
    <row r="1240" spans="2:8" x14ac:dyDescent="0.3">
      <c r="B1240" s="58">
        <f>'DATA HISTORICAL'!$B1885</f>
        <v>44091</v>
      </c>
      <c r="C1240" s="60">
        <f>'DATA HISTORICAL'!$C1885</f>
        <v>3968.95</v>
      </c>
      <c r="D1240" s="53">
        <f t="shared" si="38"/>
        <v>-1.4980144672101913E-3</v>
      </c>
      <c r="E1240" s="53">
        <v>1.1983167442082061E-2</v>
      </c>
      <c r="G1240" s="90">
        <v>1232</v>
      </c>
      <c r="H1240" s="90">
        <f t="shared" ca="1" si="39"/>
        <v>-1.0303618225145951E-2</v>
      </c>
    </row>
    <row r="1241" spans="2:8" x14ac:dyDescent="0.3">
      <c r="B1241" s="58">
        <f>'DATA HISTORICAL'!$B1886</f>
        <v>44090</v>
      </c>
      <c r="C1241" s="60">
        <f>'DATA HISTORICAL'!$C1886</f>
        <v>3974.9</v>
      </c>
      <c r="D1241" s="53">
        <f t="shared" si="38"/>
        <v>1.0991275980771726E-2</v>
      </c>
      <c r="E1241" s="53">
        <v>1.1973648486158787E-2</v>
      </c>
      <c r="G1241" s="90">
        <v>1233</v>
      </c>
      <c r="H1241" s="90">
        <f t="shared" ca="1" si="39"/>
        <v>3.0779767837828341E-2</v>
      </c>
    </row>
    <row r="1242" spans="2:8" x14ac:dyDescent="0.3">
      <c r="B1242" s="58">
        <f>'DATA HISTORICAL'!$B1887</f>
        <v>44089</v>
      </c>
      <c r="C1242" s="60">
        <f>'DATA HISTORICAL'!$C1887</f>
        <v>3931.45</v>
      </c>
      <c r="D1242" s="53">
        <f t="shared" si="38"/>
        <v>4.422896618695521E-3</v>
      </c>
      <c r="E1242" s="53">
        <v>1.1956907267694229E-2</v>
      </c>
      <c r="G1242" s="90">
        <v>1234</v>
      </c>
      <c r="H1242" s="90">
        <f t="shared" ca="1" si="39"/>
        <v>-4.7596108969427068E-4</v>
      </c>
    </row>
    <row r="1243" spans="2:8" x14ac:dyDescent="0.3">
      <c r="B1243" s="58">
        <f>'DATA HISTORICAL'!$B1888</f>
        <v>44088</v>
      </c>
      <c r="C1243" s="60">
        <f>'DATA HISTORICAL'!$C1888</f>
        <v>3914.1</v>
      </c>
      <c r="D1243" s="53">
        <f t="shared" si="38"/>
        <v>2.5581349807827355E-3</v>
      </c>
      <c r="E1243" s="53">
        <v>1.1938085509173572E-2</v>
      </c>
      <c r="G1243" s="90">
        <v>1235</v>
      </c>
      <c r="H1243" s="90">
        <f t="shared" ca="1" si="39"/>
        <v>2.6909213076452554E-2</v>
      </c>
    </row>
    <row r="1244" spans="2:8" x14ac:dyDescent="0.3">
      <c r="B1244" s="58">
        <f>'DATA HISTORICAL'!$B1889</f>
        <v>44085</v>
      </c>
      <c r="C1244" s="60">
        <f>'DATA HISTORICAL'!$C1889</f>
        <v>3904.1</v>
      </c>
      <c r="D1244" s="53">
        <f t="shared" si="38"/>
        <v>-2.915752231963083E-3</v>
      </c>
      <c r="E1244" s="53">
        <v>1.1897033911846064E-2</v>
      </c>
      <c r="G1244" s="90">
        <v>1236</v>
      </c>
      <c r="H1244" s="90">
        <f t="shared" ca="1" si="39"/>
        <v>2.0659873856875392E-2</v>
      </c>
    </row>
    <row r="1245" spans="2:8" x14ac:dyDescent="0.3">
      <c r="B1245" s="58">
        <f>'DATA HISTORICAL'!$B1890</f>
        <v>44084</v>
      </c>
      <c r="C1245" s="60">
        <f>'DATA HISTORICAL'!$C1890</f>
        <v>3915.5</v>
      </c>
      <c r="D1245" s="53">
        <f t="shared" si="38"/>
        <v>2.0617158911466284E-2</v>
      </c>
      <c r="E1245" s="53">
        <v>1.1886231563022499E-2</v>
      </c>
      <c r="G1245" s="90">
        <v>1237</v>
      </c>
      <c r="H1245" s="90">
        <f t="shared" ca="1" si="39"/>
        <v>3.5792403727286523E-2</v>
      </c>
    </row>
    <row r="1246" spans="2:8" x14ac:dyDescent="0.3">
      <c r="B1246" s="58">
        <f>'DATA HISTORICAL'!$B1891</f>
        <v>44083</v>
      </c>
      <c r="C1246" s="60">
        <f>'DATA HISTORICAL'!$C1891</f>
        <v>3835.6</v>
      </c>
      <c r="D1246" s="53">
        <f t="shared" si="38"/>
        <v>3.0942598144128872E-3</v>
      </c>
      <c r="E1246" s="53">
        <v>1.1874847872480668E-2</v>
      </c>
      <c r="G1246" s="90">
        <v>1238</v>
      </c>
      <c r="H1246" s="90">
        <f t="shared" ca="1" si="39"/>
        <v>2.1334613549095674E-2</v>
      </c>
    </row>
    <row r="1247" spans="2:8" x14ac:dyDescent="0.3">
      <c r="B1247" s="58">
        <f>'DATA HISTORICAL'!$B1892</f>
        <v>44082</v>
      </c>
      <c r="C1247" s="60">
        <f>'DATA HISTORICAL'!$C1892</f>
        <v>3823.75</v>
      </c>
      <c r="D1247" s="53">
        <f t="shared" si="38"/>
        <v>-6.4908209742086378E-3</v>
      </c>
      <c r="E1247" s="53">
        <v>1.1872569872266061E-2</v>
      </c>
      <c r="G1247" s="90">
        <v>1239</v>
      </c>
      <c r="H1247" s="90">
        <f t="shared" ca="1" si="39"/>
        <v>6.9316614560225196E-3</v>
      </c>
    </row>
    <row r="1248" spans="2:8" x14ac:dyDescent="0.3">
      <c r="B1248" s="58">
        <f>'DATA HISTORICAL'!$B1893</f>
        <v>44081</v>
      </c>
      <c r="C1248" s="60">
        <f>'DATA HISTORICAL'!$C1893</f>
        <v>3848.65</v>
      </c>
      <c r="D1248" s="53">
        <f t="shared" si="38"/>
        <v>-1.7373823146525681E-2</v>
      </c>
      <c r="E1248" s="53">
        <v>1.1869989947727189E-2</v>
      </c>
      <c r="G1248" s="90">
        <v>1240</v>
      </c>
      <c r="H1248" s="90">
        <f t="shared" ca="1" si="39"/>
        <v>-7.6866036221682173E-3</v>
      </c>
    </row>
    <row r="1249" spans="2:8" x14ac:dyDescent="0.3">
      <c r="B1249" s="58">
        <f>'DATA HISTORICAL'!$B1894</f>
        <v>44078</v>
      </c>
      <c r="C1249" s="60">
        <f>'DATA HISTORICAL'!$C1894</f>
        <v>3916.1</v>
      </c>
      <c r="D1249" s="53">
        <f t="shared" si="38"/>
        <v>-8.3661217008019137E-3</v>
      </c>
      <c r="E1249" s="53">
        <v>1.1869623217441998E-2</v>
      </c>
      <c r="G1249" s="90">
        <v>1241</v>
      </c>
      <c r="H1249" s="90">
        <f t="shared" ca="1" si="39"/>
        <v>-4.8693985658418938E-3</v>
      </c>
    </row>
    <row r="1250" spans="2:8" x14ac:dyDescent="0.3">
      <c r="B1250" s="58">
        <f>'DATA HISTORICAL'!$B1895</f>
        <v>44077</v>
      </c>
      <c r="C1250" s="60">
        <f>'DATA HISTORICAL'!$C1895</f>
        <v>3949</v>
      </c>
      <c r="D1250" s="53">
        <f t="shared" si="38"/>
        <v>1.8502799707632853E-3</v>
      </c>
      <c r="E1250" s="53">
        <v>1.1868258621150084E-2</v>
      </c>
      <c r="G1250" s="90">
        <v>1242</v>
      </c>
      <c r="H1250" s="90">
        <f t="shared" ca="1" si="39"/>
        <v>2.0827497370146563E-2</v>
      </c>
    </row>
    <row r="1251" spans="2:8" x14ac:dyDescent="0.3">
      <c r="B1251" s="58">
        <f>'DATA HISTORICAL'!$B1896</f>
        <v>44076</v>
      </c>
      <c r="C1251" s="60">
        <f>'DATA HISTORICAL'!$C1896</f>
        <v>3941.7</v>
      </c>
      <c r="D1251" s="53">
        <f t="shared" si="38"/>
        <v>7.3972085442380242E-3</v>
      </c>
      <c r="E1251" s="53">
        <v>1.185616525216898E-2</v>
      </c>
      <c r="G1251" s="90">
        <v>1243</v>
      </c>
      <c r="H1251" s="90">
        <f t="shared" ca="1" si="39"/>
        <v>-5.2152357059420144E-3</v>
      </c>
    </row>
    <row r="1252" spans="2:8" x14ac:dyDescent="0.3">
      <c r="B1252" s="58">
        <f>'DATA HISTORICAL'!$B1897</f>
        <v>44075</v>
      </c>
      <c r="C1252" s="60">
        <f>'DATA HISTORICAL'!$C1897</f>
        <v>3912.65</v>
      </c>
      <c r="D1252" s="53">
        <f t="shared" si="38"/>
        <v>2.251648107961439E-3</v>
      </c>
      <c r="E1252" s="53">
        <v>1.1848532033262058E-2</v>
      </c>
      <c r="G1252" s="90">
        <v>1244</v>
      </c>
      <c r="H1252" s="90">
        <f t="shared" ca="1" si="39"/>
        <v>2.9767458338491565E-2</v>
      </c>
    </row>
    <row r="1253" spans="2:8" x14ac:dyDescent="0.3">
      <c r="B1253" s="58">
        <f>'DATA HISTORICAL'!$B1898</f>
        <v>44074</v>
      </c>
      <c r="C1253" s="60">
        <f>'DATA HISTORICAL'!$C1898</f>
        <v>3903.85</v>
      </c>
      <c r="D1253" s="53">
        <f t="shared" si="38"/>
        <v>-3.9847609590875084E-2</v>
      </c>
      <c r="E1253" s="53">
        <v>1.1842734456623847E-2</v>
      </c>
      <c r="G1253" s="90">
        <v>1245</v>
      </c>
      <c r="H1253" s="90">
        <f t="shared" ca="1" si="39"/>
        <v>-3.9643122062618047E-3</v>
      </c>
    </row>
    <row r="1254" spans="2:8" x14ac:dyDescent="0.3">
      <c r="B1254" s="58">
        <f>'DATA HISTORICAL'!$B1899</f>
        <v>44071</v>
      </c>
      <c r="C1254" s="60">
        <f>'DATA HISTORICAL'!$C1899</f>
        <v>4062.55</v>
      </c>
      <c r="D1254" s="53">
        <f t="shared" si="38"/>
        <v>3.7979255733508587E-3</v>
      </c>
      <c r="E1254" s="53">
        <v>1.1838044805692121E-2</v>
      </c>
      <c r="G1254" s="90">
        <v>1246</v>
      </c>
      <c r="H1254" s="90">
        <f t="shared" ca="1" si="39"/>
        <v>3.1941346729609535E-2</v>
      </c>
    </row>
    <row r="1255" spans="2:8" x14ac:dyDescent="0.3">
      <c r="B1255" s="58">
        <f>'DATA HISTORICAL'!$B1900</f>
        <v>44070</v>
      </c>
      <c r="C1255" s="60">
        <f>'DATA HISTORICAL'!$C1900</f>
        <v>4047.15</v>
      </c>
      <c r="D1255" s="53">
        <f t="shared" si="38"/>
        <v>-7.9982707235864599E-3</v>
      </c>
      <c r="E1255" s="53">
        <v>1.1836088536927945E-2</v>
      </c>
      <c r="G1255" s="90">
        <v>1247</v>
      </c>
      <c r="H1255" s="90">
        <f t="shared" ca="1" si="39"/>
        <v>-1.370855449293884E-4</v>
      </c>
    </row>
    <row r="1256" spans="2:8" x14ac:dyDescent="0.3">
      <c r="B1256" s="58">
        <f>'DATA HISTORICAL'!$B1901</f>
        <v>44069</v>
      </c>
      <c r="C1256" s="60">
        <f>'DATA HISTORICAL'!$C1901</f>
        <v>4079.65</v>
      </c>
      <c r="D1256" s="53">
        <f t="shared" si="38"/>
        <v>-2.2468225814526788E-2</v>
      </c>
      <c r="E1256" s="53">
        <v>1.1832476054020014E-2</v>
      </c>
      <c r="G1256" s="90">
        <v>1248</v>
      </c>
      <c r="H1256" s="90">
        <f t="shared" ca="1" si="39"/>
        <v>2.1352543216188756E-2</v>
      </c>
    </row>
    <row r="1257" spans="2:8" x14ac:dyDescent="0.3">
      <c r="B1257" s="58">
        <f>'DATA HISTORICAL'!$B1902</f>
        <v>44068</v>
      </c>
      <c r="C1257" s="60">
        <f>'DATA HISTORICAL'!$C1902</f>
        <v>4172.3500000000004</v>
      </c>
      <c r="D1257" s="53">
        <f t="shared" si="38"/>
        <v>-4.1258377459540817E-3</v>
      </c>
      <c r="E1257" s="53">
        <v>1.175948747346359E-2</v>
      </c>
      <c r="G1257" s="90">
        <v>1249</v>
      </c>
      <c r="H1257" s="90">
        <f t="shared" ca="1" si="39"/>
        <v>2.92823745240841E-3</v>
      </c>
    </row>
    <row r="1258" spans="2:8" x14ac:dyDescent="0.3">
      <c r="B1258" s="58">
        <f>'DATA HISTORICAL'!$B1903</f>
        <v>44067</v>
      </c>
      <c r="C1258" s="60">
        <f>'DATA HISTORICAL'!$C1903</f>
        <v>4189.6000000000004</v>
      </c>
      <c r="D1258" s="53">
        <f t="shared" si="38"/>
        <v>4.2972760706179588E-4</v>
      </c>
      <c r="E1258" s="53">
        <v>1.1747146880386939E-2</v>
      </c>
      <c r="G1258" s="90">
        <v>1250</v>
      </c>
      <c r="H1258" s="90">
        <f t="shared" ca="1" si="39"/>
        <v>-1.7584694786139322E-2</v>
      </c>
    </row>
    <row r="1259" spans="2:8" x14ac:dyDescent="0.3">
      <c r="B1259" s="58">
        <f>'DATA HISTORICAL'!$B1904</f>
        <v>44064</v>
      </c>
      <c r="C1259" s="60">
        <f>'DATA HISTORICAL'!$C1904</f>
        <v>4187.8</v>
      </c>
      <c r="D1259" s="53">
        <f t="shared" si="38"/>
        <v>1.0453705053240819E-2</v>
      </c>
      <c r="E1259" s="53">
        <v>1.1719315996477108E-2</v>
      </c>
      <c r="G1259" s="90">
        <v>1251</v>
      </c>
      <c r="H1259" s="90">
        <f t="shared" ca="1" si="39"/>
        <v>1.6047493103044694E-2</v>
      </c>
    </row>
    <row r="1260" spans="2:8" x14ac:dyDescent="0.3">
      <c r="B1260" s="58">
        <f>'DATA HISTORICAL'!$B1905</f>
        <v>44063</v>
      </c>
      <c r="C1260" s="60">
        <f>'DATA HISTORICAL'!$C1905</f>
        <v>4144.25</v>
      </c>
      <c r="D1260" s="53">
        <f t="shared" si="38"/>
        <v>-1.3326979042999747E-2</v>
      </c>
      <c r="E1260" s="53">
        <v>1.1687607783143874E-2</v>
      </c>
      <c r="G1260" s="90">
        <v>1252</v>
      </c>
      <c r="H1260" s="90">
        <f t="shared" ca="1" si="39"/>
        <v>5.4782809426411E-3</v>
      </c>
    </row>
    <row r="1261" spans="2:8" x14ac:dyDescent="0.3">
      <c r="B1261" s="58">
        <f>'DATA HISTORICAL'!$B1906</f>
        <v>44062</v>
      </c>
      <c r="C1261" s="60">
        <f>'DATA HISTORICAL'!$C1906</f>
        <v>4199.8500000000004</v>
      </c>
      <c r="D1261" s="53">
        <f t="shared" si="38"/>
        <v>7.3846048228594146E-3</v>
      </c>
      <c r="E1261" s="53">
        <v>1.1683949071895875E-2</v>
      </c>
      <c r="G1261" s="90">
        <v>1253</v>
      </c>
      <c r="H1261" s="90">
        <f t="shared" ca="1" si="39"/>
        <v>2.3766770231356121E-2</v>
      </c>
    </row>
    <row r="1262" spans="2:8" x14ac:dyDescent="0.3">
      <c r="B1262" s="58">
        <f>'DATA HISTORICAL'!$B1907</f>
        <v>44061</v>
      </c>
      <c r="C1262" s="60">
        <f>'DATA HISTORICAL'!$C1907</f>
        <v>4168.95</v>
      </c>
      <c r="D1262" s="53">
        <f t="shared" si="38"/>
        <v>3.250921599089153E-2</v>
      </c>
      <c r="E1262" s="53">
        <v>1.1649506017292944E-2</v>
      </c>
      <c r="G1262" s="90">
        <v>1254</v>
      </c>
      <c r="H1262" s="90">
        <f t="shared" ca="1" si="39"/>
        <v>-4.6996391024956988E-3</v>
      </c>
    </row>
    <row r="1263" spans="2:8" x14ac:dyDescent="0.3">
      <c r="B1263" s="58">
        <f>'DATA HISTORICAL'!$B1908</f>
        <v>44060</v>
      </c>
      <c r="C1263" s="60">
        <f>'DATA HISTORICAL'!$C1908</f>
        <v>4035.6</v>
      </c>
      <c r="D1263" s="53">
        <f t="shared" si="38"/>
        <v>6.3388108886871745E-3</v>
      </c>
      <c r="E1263" s="53">
        <v>1.1637109611562068E-2</v>
      </c>
      <c r="G1263" s="90">
        <v>1255</v>
      </c>
      <c r="H1263" s="90">
        <f t="shared" ca="1" si="39"/>
        <v>1.6939039577565672E-2</v>
      </c>
    </row>
    <row r="1264" spans="2:8" x14ac:dyDescent="0.3">
      <c r="B1264" s="58">
        <f>'DATA HISTORICAL'!$B1909</f>
        <v>44057</v>
      </c>
      <c r="C1264" s="60">
        <f>'DATA HISTORICAL'!$C1909</f>
        <v>4010.1</v>
      </c>
      <c r="D1264" s="53">
        <f t="shared" si="38"/>
        <v>-9.2338134673441014E-3</v>
      </c>
      <c r="E1264" s="53">
        <v>1.1602281821454789E-2</v>
      </c>
      <c r="G1264" s="90">
        <v>1256</v>
      </c>
      <c r="H1264" s="90">
        <f t="shared" ca="1" si="39"/>
        <v>3.7010399833294225E-2</v>
      </c>
    </row>
    <row r="1265" spans="2:8" x14ac:dyDescent="0.3">
      <c r="B1265" s="58">
        <f>'DATA HISTORICAL'!$B1910</f>
        <v>44056</v>
      </c>
      <c r="C1265" s="60">
        <f>'DATA HISTORICAL'!$C1910</f>
        <v>4047.3</v>
      </c>
      <c r="D1265" s="53">
        <f t="shared" si="38"/>
        <v>1.1843134839201696E-2</v>
      </c>
      <c r="E1265" s="53">
        <v>1.1592118019490009E-2</v>
      </c>
      <c r="G1265" s="90">
        <v>1257</v>
      </c>
      <c r="H1265" s="90">
        <f t="shared" ca="1" si="39"/>
        <v>-7.1434856861923674E-3</v>
      </c>
    </row>
    <row r="1266" spans="2:8" x14ac:dyDescent="0.3">
      <c r="B1266" s="58">
        <f>'DATA HISTORICAL'!$B1911</f>
        <v>44055</v>
      </c>
      <c r="C1266" s="60">
        <f>'DATA HISTORICAL'!$C1911</f>
        <v>3999.65</v>
      </c>
      <c r="D1266" s="53">
        <f t="shared" si="38"/>
        <v>7.7556736326775426E-3</v>
      </c>
      <c r="E1266" s="53">
        <v>1.1583812941618874E-2</v>
      </c>
      <c r="G1266" s="90">
        <v>1258</v>
      </c>
      <c r="H1266" s="90">
        <f t="shared" ca="1" si="39"/>
        <v>3.3433923034541062E-2</v>
      </c>
    </row>
    <row r="1267" spans="2:8" x14ac:dyDescent="0.3">
      <c r="B1267" s="58">
        <f>'DATA HISTORICAL'!$B1912</f>
        <v>44054</v>
      </c>
      <c r="C1267" s="60">
        <f>'DATA HISTORICAL'!$C1912</f>
        <v>3968.75</v>
      </c>
      <c r="D1267" s="53">
        <f t="shared" si="38"/>
        <v>1.0079248096625404E-4</v>
      </c>
      <c r="E1267" s="53">
        <v>1.1579911489853847E-2</v>
      </c>
      <c r="G1267" s="90">
        <v>1259</v>
      </c>
      <c r="H1267" s="90">
        <f t="shared" ca="1" si="39"/>
        <v>2.1432094969664427E-2</v>
      </c>
    </row>
    <row r="1268" spans="2:8" x14ac:dyDescent="0.3">
      <c r="B1268" s="58">
        <f>'DATA HISTORICAL'!$B1913</f>
        <v>44053</v>
      </c>
      <c r="C1268" s="60">
        <f>'DATA HISTORICAL'!$C1913</f>
        <v>3968.35</v>
      </c>
      <c r="D1268" s="53">
        <f t="shared" si="38"/>
        <v>-9.005905888369815E-3</v>
      </c>
      <c r="E1268" s="53">
        <v>1.1567936036421131E-2</v>
      </c>
      <c r="G1268" s="90">
        <v>1260</v>
      </c>
      <c r="H1268" s="90">
        <f t="shared" ca="1" si="39"/>
        <v>4.5523475654483926E-2</v>
      </c>
    </row>
    <row r="1269" spans="2:8" x14ac:dyDescent="0.3">
      <c r="B1269" s="58">
        <f>'DATA HISTORICAL'!$B1914</f>
        <v>44050</v>
      </c>
      <c r="C1269" s="60">
        <f>'DATA HISTORICAL'!$C1914</f>
        <v>4004.25</v>
      </c>
      <c r="D1269" s="53">
        <f t="shared" si="38"/>
        <v>-6.0005657728736126E-3</v>
      </c>
      <c r="E1269" s="53">
        <v>1.1556051010334979E-2</v>
      </c>
      <c r="G1269" s="90">
        <v>1261</v>
      </c>
      <c r="H1269" s="90">
        <f t="shared" ca="1" si="39"/>
        <v>-1.4479627252297705E-2</v>
      </c>
    </row>
    <row r="1270" spans="2:8" x14ac:dyDescent="0.3">
      <c r="B1270" s="58">
        <f>'DATA HISTORICAL'!$B1915</f>
        <v>44049</v>
      </c>
      <c r="C1270" s="60">
        <f>'DATA HISTORICAL'!$C1915</f>
        <v>4028.35</v>
      </c>
      <c r="D1270" s="53">
        <f t="shared" si="38"/>
        <v>-3.1476963556043738E-3</v>
      </c>
      <c r="E1270" s="53">
        <v>1.1554716338446734E-2</v>
      </c>
      <c r="G1270" s="90">
        <v>1262</v>
      </c>
      <c r="H1270" s="90">
        <f t="shared" ca="1" si="39"/>
        <v>8.520122877139661E-3</v>
      </c>
    </row>
    <row r="1271" spans="2:8" x14ac:dyDescent="0.3">
      <c r="B1271" s="58">
        <f>'DATA HISTORICAL'!$B1916</f>
        <v>44048</v>
      </c>
      <c r="C1271" s="60">
        <f>'DATA HISTORICAL'!$C1916</f>
        <v>4041.05</v>
      </c>
      <c r="D1271" s="53">
        <f t="shared" si="38"/>
        <v>9.1357754735902092E-3</v>
      </c>
      <c r="E1271" s="53">
        <v>1.1550771161291407E-2</v>
      </c>
      <c r="G1271" s="90">
        <v>1263</v>
      </c>
      <c r="H1271" s="90">
        <f t="shared" ca="1" si="39"/>
        <v>-3.4894361869936961E-2</v>
      </c>
    </row>
    <row r="1272" spans="2:8" x14ac:dyDescent="0.3">
      <c r="B1272" s="58">
        <f>'DATA HISTORICAL'!$B1917</f>
        <v>44047</v>
      </c>
      <c r="C1272" s="60">
        <f>'DATA HISTORICAL'!$C1917</f>
        <v>4004.3</v>
      </c>
      <c r="D1272" s="53">
        <f t="shared" si="38"/>
        <v>-1.0248727879916418E-2</v>
      </c>
      <c r="E1272" s="53">
        <v>1.1542573768012307E-2</v>
      </c>
      <c r="G1272" s="90">
        <v>1264</v>
      </c>
      <c r="H1272" s="90">
        <f t="shared" ca="1" si="39"/>
        <v>3.1755553530421608E-2</v>
      </c>
    </row>
    <row r="1273" spans="2:8" x14ac:dyDescent="0.3">
      <c r="B1273" s="58">
        <f>'DATA HISTORICAL'!$B1918</f>
        <v>44046</v>
      </c>
      <c r="C1273" s="60">
        <f>'DATA HISTORICAL'!$C1918</f>
        <v>4045.55</v>
      </c>
      <c r="D1273" s="53">
        <f t="shared" si="38"/>
        <v>-1.7580097125544421E-2</v>
      </c>
      <c r="E1273" s="53">
        <v>1.1535695923081943E-2</v>
      </c>
      <c r="G1273" s="90">
        <v>1265</v>
      </c>
      <c r="H1273" s="90">
        <f t="shared" ca="1" si="39"/>
        <v>-8.942227802208793E-3</v>
      </c>
    </row>
    <row r="1274" spans="2:8" x14ac:dyDescent="0.3">
      <c r="B1274" s="58">
        <f>'DATA HISTORICAL'!$B1919</f>
        <v>44043</v>
      </c>
      <c r="C1274" s="60">
        <f>'DATA HISTORICAL'!$C1919</f>
        <v>4117.3</v>
      </c>
      <c r="D1274" s="53">
        <f t="shared" si="38"/>
        <v>-9.2471814583607453E-3</v>
      </c>
      <c r="E1274" s="53">
        <v>1.1484082449982117E-2</v>
      </c>
      <c r="G1274" s="90">
        <v>1266</v>
      </c>
      <c r="H1274" s="90">
        <f t="shared" ca="1" si="39"/>
        <v>-1.2510910339259855E-3</v>
      </c>
    </row>
    <row r="1275" spans="2:8" x14ac:dyDescent="0.3">
      <c r="B1275" s="58">
        <f>'DATA HISTORICAL'!$B1920</f>
        <v>44042</v>
      </c>
      <c r="C1275" s="60">
        <f>'DATA HISTORICAL'!$C1920</f>
        <v>4155.55</v>
      </c>
      <c r="D1275" s="53">
        <f t="shared" si="38"/>
        <v>-6.0937032564262038E-3</v>
      </c>
      <c r="E1275" s="53">
        <v>1.1479230562120503E-2</v>
      </c>
      <c r="G1275" s="90">
        <v>1267</v>
      </c>
      <c r="H1275" s="90">
        <f t="shared" ca="1" si="39"/>
        <v>3.4070388396955503E-2</v>
      </c>
    </row>
    <row r="1276" spans="2:8" x14ac:dyDescent="0.3">
      <c r="B1276" s="58">
        <f>'DATA HISTORICAL'!$B1921</f>
        <v>44041</v>
      </c>
      <c r="C1276" s="60">
        <f>'DATA HISTORICAL'!$C1921</f>
        <v>4180.95</v>
      </c>
      <c r="D1276" s="53">
        <f t="shared" si="38"/>
        <v>1.0724736991600316E-2</v>
      </c>
      <c r="E1276" s="53">
        <v>1.1472714545635318E-2</v>
      </c>
      <c r="G1276" s="90">
        <v>1268</v>
      </c>
      <c r="H1276" s="90">
        <f t="shared" ca="1" si="39"/>
        <v>2.5324016826326845E-2</v>
      </c>
    </row>
    <row r="1277" spans="2:8" x14ac:dyDescent="0.3">
      <c r="B1277" s="58">
        <f>'DATA HISTORICAL'!$B1922</f>
        <v>44040</v>
      </c>
      <c r="C1277" s="60">
        <f>'DATA HISTORICAL'!$C1922</f>
        <v>4136.3500000000004</v>
      </c>
      <c r="D1277" s="53">
        <f t="shared" si="38"/>
        <v>6.9120666572886388E-2</v>
      </c>
      <c r="E1277" s="53">
        <v>1.1464429890699434E-2</v>
      </c>
      <c r="G1277" s="90">
        <v>1269</v>
      </c>
      <c r="H1277" s="90">
        <f t="shared" ca="1" si="39"/>
        <v>-1.4057854442767647E-2</v>
      </c>
    </row>
    <row r="1278" spans="2:8" x14ac:dyDescent="0.3">
      <c r="B1278" s="58">
        <f>'DATA HISTORICAL'!$B1923</f>
        <v>44039</v>
      </c>
      <c r="C1278" s="60">
        <f>'DATA HISTORICAL'!$C1923</f>
        <v>3860.1</v>
      </c>
      <c r="D1278" s="53">
        <f t="shared" si="38"/>
        <v>2.0307923196543152E-2</v>
      </c>
      <c r="E1278" s="53">
        <v>1.1451278107821879E-2</v>
      </c>
      <c r="G1278" s="90">
        <v>1270</v>
      </c>
      <c r="H1278" s="90">
        <f t="shared" ca="1" si="39"/>
        <v>8.3299895130177874E-3</v>
      </c>
    </row>
    <row r="1279" spans="2:8" x14ac:dyDescent="0.3">
      <c r="B1279" s="58">
        <f>'DATA HISTORICAL'!$B1924</f>
        <v>44036</v>
      </c>
      <c r="C1279" s="60">
        <f>'DATA HISTORICAL'!$C1924</f>
        <v>3782.5</v>
      </c>
      <c r="D1279" s="53">
        <f t="shared" si="38"/>
        <v>-1.4540175328588022E-2</v>
      </c>
      <c r="E1279" s="53">
        <v>1.1418979680737065E-2</v>
      </c>
      <c r="G1279" s="90">
        <v>1271</v>
      </c>
      <c r="H1279" s="90">
        <f t="shared" ca="1" si="39"/>
        <v>-4.6087833180199047E-3</v>
      </c>
    </row>
    <row r="1280" spans="2:8" x14ac:dyDescent="0.3">
      <c r="B1280" s="58">
        <f>'DATA HISTORICAL'!$B1925</f>
        <v>44035</v>
      </c>
      <c r="C1280" s="60">
        <f>'DATA HISTORICAL'!$C1925</f>
        <v>3837.9</v>
      </c>
      <c r="D1280" s="53">
        <f t="shared" si="38"/>
        <v>-6.428134412301066E-3</v>
      </c>
      <c r="E1280" s="53">
        <v>1.1415186433341785E-2</v>
      </c>
      <c r="G1280" s="90">
        <v>1272</v>
      </c>
      <c r="H1280" s="90">
        <f t="shared" ca="1" si="39"/>
        <v>9.7224212590249492E-3</v>
      </c>
    </row>
    <row r="1281" spans="2:8" x14ac:dyDescent="0.3">
      <c r="B1281" s="58">
        <f>'DATA HISTORICAL'!$B1926</f>
        <v>44034</v>
      </c>
      <c r="C1281" s="60">
        <f>'DATA HISTORICAL'!$C1926</f>
        <v>3862.65</v>
      </c>
      <c r="D1281" s="53">
        <f t="shared" si="38"/>
        <v>-1.6826409736893973E-4</v>
      </c>
      <c r="E1281" s="53">
        <v>1.1394932327264823E-2</v>
      </c>
      <c r="G1281" s="90">
        <v>1273</v>
      </c>
      <c r="H1281" s="90">
        <f t="shared" ca="1" si="39"/>
        <v>-3.2700267848191966E-2</v>
      </c>
    </row>
    <row r="1282" spans="2:8" x14ac:dyDescent="0.3">
      <c r="B1282" s="58">
        <f>'DATA HISTORICAL'!$B1927</f>
        <v>44033</v>
      </c>
      <c r="C1282" s="60">
        <f>'DATA HISTORICAL'!$C1927</f>
        <v>3863.3</v>
      </c>
      <c r="D1282" s="53">
        <f t="shared" si="38"/>
        <v>-4.658144072634396E-4</v>
      </c>
      <c r="E1282" s="53">
        <v>1.1394753267585584E-2</v>
      </c>
      <c r="G1282" s="90">
        <v>1274</v>
      </c>
      <c r="H1282" s="90">
        <f t="shared" ca="1" si="39"/>
        <v>-7.859498980575131E-3</v>
      </c>
    </row>
    <row r="1283" spans="2:8" x14ac:dyDescent="0.3">
      <c r="B1283" s="58">
        <f>'DATA HISTORICAL'!$B1928</f>
        <v>44032</v>
      </c>
      <c r="C1283" s="60">
        <f>'DATA HISTORICAL'!$C1928</f>
        <v>3865.1</v>
      </c>
      <c r="D1283" s="53">
        <f t="shared" si="38"/>
        <v>5.8230192058102864E-4</v>
      </c>
      <c r="E1283" s="53">
        <v>1.1391463234000438E-2</v>
      </c>
      <c r="G1283" s="90">
        <v>1275</v>
      </c>
      <c r="H1283" s="90">
        <f t="shared" ca="1" si="39"/>
        <v>9.636107865219205E-3</v>
      </c>
    </row>
    <row r="1284" spans="2:8" x14ac:dyDescent="0.3">
      <c r="B1284" s="58">
        <f>'DATA HISTORICAL'!$B1929</f>
        <v>44029</v>
      </c>
      <c r="C1284" s="60">
        <f>'DATA HISTORICAL'!$C1929</f>
        <v>3862.85</v>
      </c>
      <c r="D1284" s="53">
        <f t="shared" si="38"/>
        <v>1.2136987938363729E-2</v>
      </c>
      <c r="E1284" s="53">
        <v>1.1368755071628323E-2</v>
      </c>
      <c r="G1284" s="90">
        <v>1276</v>
      </c>
      <c r="H1284" s="90">
        <f t="shared" ca="1" si="39"/>
        <v>1.7753101343646029E-2</v>
      </c>
    </row>
    <row r="1285" spans="2:8" x14ac:dyDescent="0.3">
      <c r="B1285" s="58">
        <f>'DATA HISTORICAL'!$B1930</f>
        <v>44028</v>
      </c>
      <c r="C1285" s="60">
        <f>'DATA HISTORICAL'!$C1930</f>
        <v>3816.25</v>
      </c>
      <c r="D1285" s="53">
        <f t="shared" si="38"/>
        <v>-1.1523001445242027E-3</v>
      </c>
      <c r="E1285" s="53">
        <v>1.1363322984156423E-2</v>
      </c>
      <c r="G1285" s="90">
        <v>1277</v>
      </c>
      <c r="H1285" s="90">
        <f t="shared" ca="1" si="39"/>
        <v>-2.1937336203854078E-4</v>
      </c>
    </row>
    <row r="1286" spans="2:8" x14ac:dyDescent="0.3">
      <c r="B1286" s="58">
        <f>'DATA HISTORICAL'!$B1931</f>
        <v>44027</v>
      </c>
      <c r="C1286" s="60">
        <f>'DATA HISTORICAL'!$C1931</f>
        <v>3820.65</v>
      </c>
      <c r="D1286" s="53">
        <f t="shared" si="38"/>
        <v>1.3106865451810506E-2</v>
      </c>
      <c r="E1286" s="53">
        <v>1.1360027609830455E-2</v>
      </c>
      <c r="G1286" s="90">
        <v>1278</v>
      </c>
      <c r="H1286" s="90">
        <f t="shared" ca="1" si="39"/>
        <v>1.1594381189898433E-2</v>
      </c>
    </row>
    <row r="1287" spans="2:8" x14ac:dyDescent="0.3">
      <c r="B1287" s="58">
        <f>'DATA HISTORICAL'!$B1932</f>
        <v>44026</v>
      </c>
      <c r="C1287" s="60">
        <f>'DATA HISTORICAL'!$C1932</f>
        <v>3770.9</v>
      </c>
      <c r="D1287" s="53">
        <f t="shared" si="38"/>
        <v>-4.4980760604766403E-3</v>
      </c>
      <c r="E1287" s="53">
        <v>1.1353873741864822E-2</v>
      </c>
      <c r="G1287" s="90">
        <v>1279</v>
      </c>
      <c r="H1287" s="90">
        <f t="shared" ca="1" si="39"/>
        <v>-2.1126010923439046E-3</v>
      </c>
    </row>
    <row r="1288" spans="2:8" x14ac:dyDescent="0.3">
      <c r="B1288" s="58">
        <f>'DATA HISTORICAL'!$B1933</f>
        <v>44025</v>
      </c>
      <c r="C1288" s="60">
        <f>'DATA HISTORICAL'!$C1933</f>
        <v>3787.9</v>
      </c>
      <c r="D1288" s="53">
        <f t="shared" si="38"/>
        <v>-2.7944761409982462E-3</v>
      </c>
      <c r="E1288" s="53">
        <v>1.1352812177200347E-2</v>
      </c>
      <c r="G1288" s="90">
        <v>1280</v>
      </c>
      <c r="H1288" s="90">
        <f t="shared" ca="1" si="39"/>
        <v>5.2397429344331354E-3</v>
      </c>
    </row>
    <row r="1289" spans="2:8" x14ac:dyDescent="0.3">
      <c r="B1289" s="58">
        <f>'DATA HISTORICAL'!$B1934</f>
        <v>44022</v>
      </c>
      <c r="C1289" s="60">
        <f>'DATA HISTORICAL'!$C1934</f>
        <v>3798.5</v>
      </c>
      <c r="D1289" s="53">
        <f t="shared" ref="D1289:D1352" si="40">LN(C1289/C1290)</f>
        <v>-1.1764148785099286E-2</v>
      </c>
      <c r="E1289" s="53">
        <v>1.1351261421790916E-2</v>
      </c>
      <c r="G1289" s="90">
        <v>1281</v>
      </c>
      <c r="H1289" s="90">
        <f t="shared" ref="H1289:H1352" ca="1" si="41">_xlfn.NORM.INV(RAND(),N$10,N$11)</f>
        <v>-2.8695856249751042E-2</v>
      </c>
    </row>
    <row r="1290" spans="2:8" x14ac:dyDescent="0.3">
      <c r="B1290" s="58">
        <f>'DATA HISTORICAL'!$B1935</f>
        <v>44021</v>
      </c>
      <c r="C1290" s="60">
        <f>'DATA HISTORICAL'!$C1935</f>
        <v>3843.45</v>
      </c>
      <c r="D1290" s="53">
        <f t="shared" si="40"/>
        <v>1.4888677539479915E-2</v>
      </c>
      <c r="E1290" s="53">
        <v>1.1340185142222405E-2</v>
      </c>
      <c r="G1290" s="90">
        <v>1282</v>
      </c>
      <c r="H1290" s="90">
        <f t="shared" ca="1" si="41"/>
        <v>1.2846362957517975E-2</v>
      </c>
    </row>
    <row r="1291" spans="2:8" x14ac:dyDescent="0.3">
      <c r="B1291" s="58">
        <f>'DATA HISTORICAL'!$B1936</f>
        <v>44020</v>
      </c>
      <c r="C1291" s="60">
        <f>'DATA HISTORICAL'!$C1936</f>
        <v>3786.65</v>
      </c>
      <c r="D1291" s="53">
        <f t="shared" si="40"/>
        <v>-1.9703460799563956E-2</v>
      </c>
      <c r="E1291" s="53">
        <v>1.1337876843457455E-2</v>
      </c>
      <c r="G1291" s="90">
        <v>1283</v>
      </c>
      <c r="H1291" s="90">
        <f t="shared" ca="1" si="41"/>
        <v>-1.8545181665023315E-2</v>
      </c>
    </row>
    <row r="1292" spans="2:8" x14ac:dyDescent="0.3">
      <c r="B1292" s="58">
        <f>'DATA HISTORICAL'!$B1937</f>
        <v>44019</v>
      </c>
      <c r="C1292" s="60">
        <f>'DATA HISTORICAL'!$C1937</f>
        <v>3862</v>
      </c>
      <c r="D1292" s="53">
        <f t="shared" si="40"/>
        <v>-1.7683223290189537E-2</v>
      </c>
      <c r="E1292" s="53">
        <v>1.133483494356816E-2</v>
      </c>
      <c r="G1292" s="90">
        <v>1284</v>
      </c>
      <c r="H1292" s="90">
        <f t="shared" ca="1" si="41"/>
        <v>-1.3948113075505423E-2</v>
      </c>
    </row>
    <row r="1293" spans="2:8" x14ac:dyDescent="0.3">
      <c r="B1293" s="58">
        <f>'DATA HISTORICAL'!$B1938</f>
        <v>44018</v>
      </c>
      <c r="C1293" s="60">
        <f>'DATA HISTORICAL'!$C1938</f>
        <v>3930.9</v>
      </c>
      <c r="D1293" s="53">
        <f t="shared" si="40"/>
        <v>1.0562082716790324E-2</v>
      </c>
      <c r="E1293" s="53">
        <v>1.1329664946201403E-2</v>
      </c>
      <c r="G1293" s="90">
        <v>1285</v>
      </c>
      <c r="H1293" s="90">
        <f t="shared" ca="1" si="41"/>
        <v>-2.1729792236383546E-4</v>
      </c>
    </row>
    <row r="1294" spans="2:8" x14ac:dyDescent="0.3">
      <c r="B1294" s="58">
        <f>'DATA HISTORICAL'!$B1939</f>
        <v>44015</v>
      </c>
      <c r="C1294" s="60">
        <f>'DATA HISTORICAL'!$C1939</f>
        <v>3889.6</v>
      </c>
      <c r="D1294" s="53">
        <f t="shared" si="40"/>
        <v>-6.4962333894078919E-3</v>
      </c>
      <c r="E1294" s="53">
        <v>1.1323157313276265E-2</v>
      </c>
      <c r="G1294" s="90">
        <v>1286</v>
      </c>
      <c r="H1294" s="90">
        <f t="shared" ca="1" si="41"/>
        <v>1.1686103558516958E-2</v>
      </c>
    </row>
    <row r="1295" spans="2:8" x14ac:dyDescent="0.3">
      <c r="B1295" s="58">
        <f>'DATA HISTORICAL'!$B1940</f>
        <v>44014</v>
      </c>
      <c r="C1295" s="60">
        <f>'DATA HISTORICAL'!$C1940</f>
        <v>3914.95</v>
      </c>
      <c r="D1295" s="53">
        <f t="shared" si="40"/>
        <v>4.1850436392222214E-3</v>
      </c>
      <c r="E1295" s="53">
        <v>1.1320818814663628E-2</v>
      </c>
      <c r="G1295" s="90">
        <v>1287</v>
      </c>
      <c r="H1295" s="90">
        <f t="shared" ca="1" si="41"/>
        <v>2.0103645234915965E-2</v>
      </c>
    </row>
    <row r="1296" spans="2:8" x14ac:dyDescent="0.3">
      <c r="B1296" s="58">
        <f>'DATA HISTORICAL'!$B1941</f>
        <v>44013</v>
      </c>
      <c r="C1296" s="60">
        <f>'DATA HISTORICAL'!$C1941</f>
        <v>3898.6</v>
      </c>
      <c r="D1296" s="53">
        <f t="shared" si="40"/>
        <v>1.2961764614466762E-3</v>
      </c>
      <c r="E1296" s="53">
        <v>1.1311382906718419E-2</v>
      </c>
      <c r="G1296" s="90">
        <v>1288</v>
      </c>
      <c r="H1296" s="90">
        <f t="shared" ca="1" si="41"/>
        <v>2.3669487703263978E-2</v>
      </c>
    </row>
    <row r="1297" spans="2:8" x14ac:dyDescent="0.3">
      <c r="B1297" s="58">
        <f>'DATA HISTORICAL'!$B1942</f>
        <v>44012</v>
      </c>
      <c r="C1297" s="60">
        <f>'DATA HISTORICAL'!$C1942</f>
        <v>3893.55</v>
      </c>
      <c r="D1297" s="53">
        <f t="shared" si="40"/>
        <v>2.2479860468100708E-2</v>
      </c>
      <c r="E1297" s="53">
        <v>1.1305778112432647E-2</v>
      </c>
      <c r="G1297" s="90">
        <v>1289</v>
      </c>
      <c r="H1297" s="90">
        <f t="shared" ca="1" si="41"/>
        <v>1.7033761408577645E-2</v>
      </c>
    </row>
    <row r="1298" spans="2:8" x14ac:dyDescent="0.3">
      <c r="B1298" s="58">
        <f>'DATA HISTORICAL'!$B1943</f>
        <v>44011</v>
      </c>
      <c r="C1298" s="60">
        <f>'DATA HISTORICAL'!$C1943</f>
        <v>3807</v>
      </c>
      <c r="D1298" s="53">
        <f t="shared" si="40"/>
        <v>-1.3981134411277503E-2</v>
      </c>
      <c r="E1298" s="53">
        <v>1.1291822288689081E-2</v>
      </c>
      <c r="G1298" s="90">
        <v>1290</v>
      </c>
      <c r="H1298" s="90">
        <f t="shared" ca="1" si="41"/>
        <v>2.7674775505208388E-2</v>
      </c>
    </row>
    <row r="1299" spans="2:8" x14ac:dyDescent="0.3">
      <c r="B1299" s="58">
        <f>'DATA HISTORICAL'!$B1944</f>
        <v>44008</v>
      </c>
      <c r="C1299" s="60">
        <f>'DATA HISTORICAL'!$C1944</f>
        <v>3860.6</v>
      </c>
      <c r="D1299" s="53">
        <f t="shared" si="40"/>
        <v>1.5203315170164556E-2</v>
      </c>
      <c r="E1299" s="53">
        <v>1.1274205452915862E-2</v>
      </c>
      <c r="G1299" s="90">
        <v>1291</v>
      </c>
      <c r="H1299" s="90">
        <f t="shared" ca="1" si="41"/>
        <v>1.1139831158044823E-2</v>
      </c>
    </row>
    <row r="1300" spans="2:8" x14ac:dyDescent="0.3">
      <c r="B1300" s="58">
        <f>'DATA HISTORICAL'!$B1945</f>
        <v>44007</v>
      </c>
      <c r="C1300" s="60">
        <f>'DATA HISTORICAL'!$C1945</f>
        <v>3802.35</v>
      </c>
      <c r="D1300" s="53">
        <f t="shared" si="40"/>
        <v>-5.0498864521418317E-3</v>
      </c>
      <c r="E1300" s="53">
        <v>1.1270684506245002E-2</v>
      </c>
      <c r="G1300" s="90">
        <v>1292</v>
      </c>
      <c r="H1300" s="90">
        <f t="shared" ca="1" si="41"/>
        <v>-4.1946573759236846E-3</v>
      </c>
    </row>
    <row r="1301" spans="2:8" x14ac:dyDescent="0.3">
      <c r="B1301" s="58">
        <f>'DATA HISTORICAL'!$B1946</f>
        <v>44006</v>
      </c>
      <c r="C1301" s="60">
        <f>'DATA HISTORICAL'!$C1946</f>
        <v>3821.6</v>
      </c>
      <c r="D1301" s="53">
        <f t="shared" si="40"/>
        <v>-3.1221947715531859E-2</v>
      </c>
      <c r="E1301" s="53">
        <v>1.1267605968414508E-2</v>
      </c>
      <c r="G1301" s="90">
        <v>1293</v>
      </c>
      <c r="H1301" s="90">
        <f t="shared" ca="1" si="41"/>
        <v>7.7666566713928235E-4</v>
      </c>
    </row>
    <row r="1302" spans="2:8" x14ac:dyDescent="0.3">
      <c r="B1302" s="58">
        <f>'DATA HISTORICAL'!$B1947</f>
        <v>44005</v>
      </c>
      <c r="C1302" s="60">
        <f>'DATA HISTORICAL'!$C1947</f>
        <v>3942.8</v>
      </c>
      <c r="D1302" s="53">
        <f t="shared" si="40"/>
        <v>3.0267306189361125E-2</v>
      </c>
      <c r="E1302" s="53">
        <v>1.1251157490767254E-2</v>
      </c>
      <c r="G1302" s="90">
        <v>1294</v>
      </c>
      <c r="H1302" s="90">
        <f t="shared" ca="1" si="41"/>
        <v>-3.4347310481712455E-3</v>
      </c>
    </row>
    <row r="1303" spans="2:8" x14ac:dyDescent="0.3">
      <c r="B1303" s="58">
        <f>'DATA HISTORICAL'!$B1948</f>
        <v>44004</v>
      </c>
      <c r="C1303" s="60">
        <f>'DATA HISTORICAL'!$C1948</f>
        <v>3825.25</v>
      </c>
      <c r="D1303" s="53">
        <f t="shared" si="40"/>
        <v>-2.8975691151228991E-3</v>
      </c>
      <c r="E1303" s="53">
        <v>1.1242389348933806E-2</v>
      </c>
      <c r="G1303" s="90">
        <v>1295</v>
      </c>
      <c r="H1303" s="90">
        <f t="shared" ca="1" si="41"/>
        <v>-7.359680639600681E-3</v>
      </c>
    </row>
    <row r="1304" spans="2:8" x14ac:dyDescent="0.3">
      <c r="B1304" s="58">
        <f>'DATA HISTORICAL'!$B1949</f>
        <v>44001</v>
      </c>
      <c r="C1304" s="60">
        <f>'DATA HISTORICAL'!$C1949</f>
        <v>3836.35</v>
      </c>
      <c r="D1304" s="53">
        <f t="shared" si="40"/>
        <v>-2.0571316787565659E-3</v>
      </c>
      <c r="E1304" s="53">
        <v>1.1234454901717462E-2</v>
      </c>
      <c r="G1304" s="90">
        <v>1296</v>
      </c>
      <c r="H1304" s="90">
        <f t="shared" ca="1" si="41"/>
        <v>6.7625478579407643E-3</v>
      </c>
    </row>
    <row r="1305" spans="2:8" x14ac:dyDescent="0.3">
      <c r="B1305" s="58">
        <f>'DATA HISTORICAL'!$B1950</f>
        <v>44000</v>
      </c>
      <c r="C1305" s="60">
        <f>'DATA HISTORICAL'!$C1950</f>
        <v>3844.25</v>
      </c>
      <c r="D1305" s="53">
        <f t="shared" si="40"/>
        <v>9.1593320759112747E-3</v>
      </c>
      <c r="E1305" s="53">
        <v>1.121446447969853E-2</v>
      </c>
      <c r="G1305" s="90">
        <v>1297</v>
      </c>
      <c r="H1305" s="90">
        <f t="shared" ca="1" si="41"/>
        <v>-1.2518738017541411E-2</v>
      </c>
    </row>
    <row r="1306" spans="2:8" x14ac:dyDescent="0.3">
      <c r="B1306" s="58">
        <f>'DATA HISTORICAL'!$B1951</f>
        <v>43999</v>
      </c>
      <c r="C1306" s="60">
        <f>'DATA HISTORICAL'!$C1951</f>
        <v>3809.2</v>
      </c>
      <c r="D1306" s="53">
        <f t="shared" si="40"/>
        <v>7.7084113069693459E-3</v>
      </c>
      <c r="E1306" s="53">
        <v>1.1210371486763465E-2</v>
      </c>
      <c r="G1306" s="90">
        <v>1298</v>
      </c>
      <c r="H1306" s="90">
        <f t="shared" ca="1" si="41"/>
        <v>3.1801166211132145E-2</v>
      </c>
    </row>
    <row r="1307" spans="2:8" x14ac:dyDescent="0.3">
      <c r="B1307" s="58">
        <f>'DATA HISTORICAL'!$B1952</f>
        <v>43998</v>
      </c>
      <c r="C1307" s="60">
        <f>'DATA HISTORICAL'!$C1952</f>
        <v>3779.95</v>
      </c>
      <c r="D1307" s="53">
        <f t="shared" si="40"/>
        <v>9.3425710270606723E-3</v>
      </c>
      <c r="E1307" s="53">
        <v>1.1207310106842127E-2</v>
      </c>
      <c r="G1307" s="90">
        <v>1299</v>
      </c>
      <c r="H1307" s="90">
        <f t="shared" ca="1" si="41"/>
        <v>2.7030622750991367E-2</v>
      </c>
    </row>
    <row r="1308" spans="2:8" x14ac:dyDescent="0.3">
      <c r="B1308" s="58">
        <f>'DATA HISTORICAL'!$B1953</f>
        <v>43997</v>
      </c>
      <c r="C1308" s="60">
        <f>'DATA HISTORICAL'!$C1953</f>
        <v>3744.8</v>
      </c>
      <c r="D1308" s="53">
        <f t="shared" si="40"/>
        <v>-1.1615149134031524E-2</v>
      </c>
      <c r="E1308" s="53">
        <v>1.1199132752429021E-2</v>
      </c>
      <c r="G1308" s="90">
        <v>1300</v>
      </c>
      <c r="H1308" s="90">
        <f t="shared" ca="1" si="41"/>
        <v>-2.1532083599524778E-2</v>
      </c>
    </row>
    <row r="1309" spans="2:8" x14ac:dyDescent="0.3">
      <c r="B1309" s="58">
        <f>'DATA HISTORICAL'!$B1954</f>
        <v>43994</v>
      </c>
      <c r="C1309" s="60">
        <f>'DATA HISTORICAL'!$C1954</f>
        <v>3788.55</v>
      </c>
      <c r="D1309" s="53">
        <f t="shared" si="40"/>
        <v>2.2327092307263111E-2</v>
      </c>
      <c r="E1309" s="53">
        <v>1.1174482211511717E-2</v>
      </c>
      <c r="G1309" s="90">
        <v>1301</v>
      </c>
      <c r="H1309" s="90">
        <f t="shared" ca="1" si="41"/>
        <v>9.6677015066366518E-4</v>
      </c>
    </row>
    <row r="1310" spans="2:8" x14ac:dyDescent="0.3">
      <c r="B1310" s="58">
        <f>'DATA HISTORICAL'!$B1955</f>
        <v>43993</v>
      </c>
      <c r="C1310" s="60">
        <f>'DATA HISTORICAL'!$C1955</f>
        <v>3704.9</v>
      </c>
      <c r="D1310" s="53">
        <f t="shared" si="40"/>
        <v>-2.3355980407526396E-2</v>
      </c>
      <c r="E1310" s="53">
        <v>1.1172245678480974E-2</v>
      </c>
      <c r="G1310" s="90">
        <v>1302</v>
      </c>
      <c r="H1310" s="90">
        <f t="shared" ca="1" si="41"/>
        <v>4.742357361210911E-2</v>
      </c>
    </row>
    <row r="1311" spans="2:8" x14ac:dyDescent="0.3">
      <c r="B1311" s="58">
        <f>'DATA HISTORICAL'!$B1956</f>
        <v>43992</v>
      </c>
      <c r="C1311" s="60">
        <f>'DATA HISTORICAL'!$C1956</f>
        <v>3792.45</v>
      </c>
      <c r="D1311" s="53">
        <f t="shared" si="40"/>
        <v>2.9009204032653729E-4</v>
      </c>
      <c r="E1311" s="53">
        <v>1.1164647608949915E-2</v>
      </c>
      <c r="G1311" s="90">
        <v>1303</v>
      </c>
      <c r="H1311" s="90">
        <f t="shared" ca="1" si="41"/>
        <v>1.3282226014605179E-2</v>
      </c>
    </row>
    <row r="1312" spans="2:8" x14ac:dyDescent="0.3">
      <c r="B1312" s="58">
        <f>'DATA HISTORICAL'!$B1957</f>
        <v>43991</v>
      </c>
      <c r="C1312" s="60">
        <f>'DATA HISTORICAL'!$C1957</f>
        <v>3791.35</v>
      </c>
      <c r="D1312" s="53">
        <f t="shared" si="40"/>
        <v>3.4744504570772628E-3</v>
      </c>
      <c r="E1312" s="53">
        <v>1.1161837742934142E-2</v>
      </c>
      <c r="G1312" s="90">
        <v>1304</v>
      </c>
      <c r="H1312" s="90">
        <f t="shared" ca="1" si="41"/>
        <v>2.9526365267155352E-2</v>
      </c>
    </row>
    <row r="1313" spans="2:8" x14ac:dyDescent="0.3">
      <c r="B1313" s="58">
        <f>'DATA HISTORICAL'!$B1958</f>
        <v>43990</v>
      </c>
      <c r="C1313" s="60">
        <f>'DATA HISTORICAL'!$C1958</f>
        <v>3778.2</v>
      </c>
      <c r="D1313" s="53">
        <f t="shared" si="40"/>
        <v>-2.3890515470372957E-2</v>
      </c>
      <c r="E1313" s="53">
        <v>1.1132868305331072E-2</v>
      </c>
      <c r="G1313" s="90">
        <v>1305</v>
      </c>
      <c r="H1313" s="90">
        <f t="shared" ca="1" si="41"/>
        <v>3.2024850911663177E-3</v>
      </c>
    </row>
    <row r="1314" spans="2:8" x14ac:dyDescent="0.3">
      <c r="B1314" s="58">
        <f>'DATA HISTORICAL'!$B1959</f>
        <v>43987</v>
      </c>
      <c r="C1314" s="60">
        <f>'DATA HISTORICAL'!$C1959</f>
        <v>3869.55</v>
      </c>
      <c r="D1314" s="53">
        <f t="shared" si="40"/>
        <v>1.7111364991153427E-2</v>
      </c>
      <c r="E1314" s="53">
        <v>1.1131958726501603E-2</v>
      </c>
      <c r="G1314" s="90">
        <v>1306</v>
      </c>
      <c r="H1314" s="90">
        <f t="shared" ca="1" si="41"/>
        <v>1.9483883990918289E-2</v>
      </c>
    </row>
    <row r="1315" spans="2:8" x14ac:dyDescent="0.3">
      <c r="B1315" s="58">
        <f>'DATA HISTORICAL'!$B1960</f>
        <v>43986</v>
      </c>
      <c r="C1315" s="60">
        <f>'DATA HISTORICAL'!$C1960</f>
        <v>3803.9</v>
      </c>
      <c r="D1315" s="53">
        <f t="shared" si="40"/>
        <v>-1.3577586582224341E-2</v>
      </c>
      <c r="E1315" s="53">
        <v>1.1121831764694175E-2</v>
      </c>
      <c r="G1315" s="90">
        <v>1307</v>
      </c>
      <c r="H1315" s="90">
        <f t="shared" ca="1" si="41"/>
        <v>1.0845352646021995E-2</v>
      </c>
    </row>
    <row r="1316" spans="2:8" x14ac:dyDescent="0.3">
      <c r="B1316" s="58">
        <f>'DATA HISTORICAL'!$B1961</f>
        <v>43985</v>
      </c>
      <c r="C1316" s="60">
        <f>'DATA HISTORICAL'!$C1961</f>
        <v>3855.9</v>
      </c>
      <c r="D1316" s="53">
        <f t="shared" si="40"/>
        <v>5.6305942533066387E-3</v>
      </c>
      <c r="E1316" s="53">
        <v>1.112026647823309E-2</v>
      </c>
      <c r="G1316" s="90">
        <v>1308</v>
      </c>
      <c r="H1316" s="90">
        <f t="shared" ca="1" si="41"/>
        <v>-1.9145615671622936E-2</v>
      </c>
    </row>
    <row r="1317" spans="2:8" x14ac:dyDescent="0.3">
      <c r="B1317" s="58">
        <f>'DATA HISTORICAL'!$B1962</f>
        <v>43984</v>
      </c>
      <c r="C1317" s="60">
        <f>'DATA HISTORICAL'!$C1962</f>
        <v>3834.25</v>
      </c>
      <c r="D1317" s="53">
        <f t="shared" si="40"/>
        <v>4.8497144053407911E-3</v>
      </c>
      <c r="E1317" s="53">
        <v>1.1085121379157549E-2</v>
      </c>
      <c r="G1317" s="90">
        <v>1309</v>
      </c>
      <c r="H1317" s="90">
        <f t="shared" ca="1" si="41"/>
        <v>1.4907562293585919E-2</v>
      </c>
    </row>
    <row r="1318" spans="2:8" x14ac:dyDescent="0.3">
      <c r="B1318" s="58">
        <f>'DATA HISTORICAL'!$B1963</f>
        <v>43983</v>
      </c>
      <c r="C1318" s="60">
        <f>'DATA HISTORICAL'!$C1963</f>
        <v>3815.7</v>
      </c>
      <c r="D1318" s="53">
        <f t="shared" si="40"/>
        <v>-2.3095236118533424E-2</v>
      </c>
      <c r="E1318" s="53">
        <v>1.1033902928922848E-2</v>
      </c>
      <c r="G1318" s="90">
        <v>1310</v>
      </c>
      <c r="H1318" s="90">
        <f t="shared" ca="1" si="41"/>
        <v>4.6163301721183297E-2</v>
      </c>
    </row>
    <row r="1319" spans="2:8" x14ac:dyDescent="0.3">
      <c r="B1319" s="58">
        <f>'DATA HISTORICAL'!$B1964</f>
        <v>43980</v>
      </c>
      <c r="C1319" s="60">
        <f>'DATA HISTORICAL'!$C1964</f>
        <v>3904.85</v>
      </c>
      <c r="D1319" s="53">
        <f t="shared" si="40"/>
        <v>2.4800176924191064E-2</v>
      </c>
      <c r="E1319" s="53">
        <v>1.1032420803576632E-2</v>
      </c>
      <c r="G1319" s="90">
        <v>1311</v>
      </c>
      <c r="H1319" s="90">
        <f t="shared" ca="1" si="41"/>
        <v>1.8773760385029623E-2</v>
      </c>
    </row>
    <row r="1320" spans="2:8" x14ac:dyDescent="0.3">
      <c r="B1320" s="58">
        <f>'DATA HISTORICAL'!$B1965</f>
        <v>43979</v>
      </c>
      <c r="C1320" s="60">
        <f>'DATA HISTORICAL'!$C1965</f>
        <v>3809.2</v>
      </c>
      <c r="D1320" s="53">
        <f t="shared" si="40"/>
        <v>2.1708253673326235E-2</v>
      </c>
      <c r="E1320" s="53">
        <v>1.1003909558506036E-2</v>
      </c>
      <c r="G1320" s="90">
        <v>1312</v>
      </c>
      <c r="H1320" s="90">
        <f t="shared" ca="1" si="41"/>
        <v>3.450547356533009E-2</v>
      </c>
    </row>
    <row r="1321" spans="2:8" x14ac:dyDescent="0.3">
      <c r="B1321" s="58">
        <f>'DATA HISTORICAL'!$B1966</f>
        <v>43978</v>
      </c>
      <c r="C1321" s="60">
        <f>'DATA HISTORICAL'!$C1966</f>
        <v>3727.4</v>
      </c>
      <c r="D1321" s="53">
        <f t="shared" si="40"/>
        <v>-1.5599113122703453E-2</v>
      </c>
      <c r="E1321" s="53">
        <v>1.1000399366208835E-2</v>
      </c>
      <c r="G1321" s="90">
        <v>1313</v>
      </c>
      <c r="H1321" s="90">
        <f t="shared" ca="1" si="41"/>
        <v>-1.5222001530231115E-2</v>
      </c>
    </row>
    <row r="1322" spans="2:8" x14ac:dyDescent="0.3">
      <c r="B1322" s="58">
        <f>'DATA HISTORICAL'!$B1967</f>
        <v>43977</v>
      </c>
      <c r="C1322" s="60">
        <f>'DATA HISTORICAL'!$C1967</f>
        <v>3786</v>
      </c>
      <c r="D1322" s="53">
        <f t="shared" si="40"/>
        <v>3.9614874289975635E-2</v>
      </c>
      <c r="E1322" s="53">
        <v>1.0990869213734999E-2</v>
      </c>
      <c r="G1322" s="90">
        <v>1314</v>
      </c>
      <c r="H1322" s="90">
        <f t="shared" ca="1" si="41"/>
        <v>9.5805809720020084E-3</v>
      </c>
    </row>
    <row r="1323" spans="2:8" x14ac:dyDescent="0.3">
      <c r="B1323" s="58">
        <f>'DATA HISTORICAL'!$B1968</f>
        <v>43973</v>
      </c>
      <c r="C1323" s="60">
        <f>'DATA HISTORICAL'!$C1968</f>
        <v>3638.95</v>
      </c>
      <c r="D1323" s="53">
        <f t="shared" si="40"/>
        <v>1.8709502884265303E-2</v>
      </c>
      <c r="E1323" s="53">
        <v>1.0989431230495601E-2</v>
      </c>
      <c r="G1323" s="90">
        <v>1315</v>
      </c>
      <c r="H1323" s="90">
        <f t="shared" ca="1" si="41"/>
        <v>2.8335431187032981E-3</v>
      </c>
    </row>
    <row r="1324" spans="2:8" x14ac:dyDescent="0.3">
      <c r="B1324" s="58">
        <f>'DATA HISTORICAL'!$B1969</f>
        <v>43972</v>
      </c>
      <c r="C1324" s="60">
        <f>'DATA HISTORICAL'!$C1969</f>
        <v>3571.5</v>
      </c>
      <c r="D1324" s="53">
        <f t="shared" si="40"/>
        <v>1.2112824154142237E-2</v>
      </c>
      <c r="E1324" s="53">
        <v>1.0980272826064308E-2</v>
      </c>
      <c r="G1324" s="90">
        <v>1316</v>
      </c>
      <c r="H1324" s="90">
        <f t="shared" ca="1" si="41"/>
        <v>4.8921287362608361E-3</v>
      </c>
    </row>
    <row r="1325" spans="2:8" x14ac:dyDescent="0.3">
      <c r="B1325" s="58">
        <f>'DATA HISTORICAL'!$B1970</f>
        <v>43971</v>
      </c>
      <c r="C1325" s="60">
        <f>'DATA HISTORICAL'!$C1970</f>
        <v>3528.5</v>
      </c>
      <c r="D1325" s="53">
        <f t="shared" si="40"/>
        <v>2.5939315432399818E-2</v>
      </c>
      <c r="E1325" s="53">
        <v>1.0975940443202234E-2</v>
      </c>
      <c r="G1325" s="90">
        <v>1317</v>
      </c>
      <c r="H1325" s="90">
        <f t="shared" ca="1" si="41"/>
        <v>-1.391433114526722E-2</v>
      </c>
    </row>
    <row r="1326" spans="2:8" x14ac:dyDescent="0.3">
      <c r="B1326" s="58">
        <f>'DATA HISTORICAL'!$B1971</f>
        <v>43970</v>
      </c>
      <c r="C1326" s="60">
        <f>'DATA HISTORICAL'!$C1971</f>
        <v>3438.15</v>
      </c>
      <c r="D1326" s="53">
        <f t="shared" si="40"/>
        <v>3.8650220184792104E-2</v>
      </c>
      <c r="E1326" s="53">
        <v>1.0952681837394129E-2</v>
      </c>
      <c r="G1326" s="90">
        <v>1318</v>
      </c>
      <c r="H1326" s="90">
        <f t="shared" ca="1" si="41"/>
        <v>-3.9399303919280754E-3</v>
      </c>
    </row>
    <row r="1327" spans="2:8" x14ac:dyDescent="0.3">
      <c r="B1327" s="58">
        <f>'DATA HISTORICAL'!$B1972</f>
        <v>43969</v>
      </c>
      <c r="C1327" s="60">
        <f>'DATA HISTORICAL'!$C1972</f>
        <v>3307.8</v>
      </c>
      <c r="D1327" s="53">
        <f t="shared" si="40"/>
        <v>-7.9958985964448309E-2</v>
      </c>
      <c r="E1327" s="53">
        <v>1.0943033794846294E-2</v>
      </c>
      <c r="G1327" s="90">
        <v>1319</v>
      </c>
      <c r="H1327" s="90">
        <f t="shared" ca="1" si="41"/>
        <v>1.7925884696584068E-2</v>
      </c>
    </row>
    <row r="1328" spans="2:8" x14ac:dyDescent="0.3">
      <c r="B1328" s="58">
        <f>'DATA HISTORICAL'!$B1973</f>
        <v>43966</v>
      </c>
      <c r="C1328" s="60">
        <f>'DATA HISTORICAL'!$C1973</f>
        <v>3583.15</v>
      </c>
      <c r="D1328" s="53">
        <f t="shared" si="40"/>
        <v>-7.3269567910743943E-3</v>
      </c>
      <c r="E1328" s="53">
        <v>1.0910012083102683E-2</v>
      </c>
      <c r="G1328" s="90">
        <v>1320</v>
      </c>
      <c r="H1328" s="90">
        <f t="shared" ca="1" si="41"/>
        <v>-5.053966027493053E-4</v>
      </c>
    </row>
    <row r="1329" spans="2:8" x14ac:dyDescent="0.3">
      <c r="B1329" s="58">
        <f>'DATA HISTORICAL'!$B1974</f>
        <v>43965</v>
      </c>
      <c r="C1329" s="60">
        <f>'DATA HISTORICAL'!$C1974</f>
        <v>3609.5</v>
      </c>
      <c r="D1329" s="53">
        <f t="shared" si="40"/>
        <v>1.7551664899615134E-2</v>
      </c>
      <c r="E1329" s="53">
        <v>1.0908254643989651E-2</v>
      </c>
      <c r="G1329" s="90">
        <v>1321</v>
      </c>
      <c r="H1329" s="90">
        <f t="shared" ca="1" si="41"/>
        <v>-1.2526303330205928E-2</v>
      </c>
    </row>
    <row r="1330" spans="2:8" x14ac:dyDescent="0.3">
      <c r="B1330" s="58">
        <f>'DATA HISTORICAL'!$B1975</f>
        <v>43964</v>
      </c>
      <c r="C1330" s="60">
        <f>'DATA HISTORICAL'!$C1975</f>
        <v>3546.7</v>
      </c>
      <c r="D1330" s="53">
        <f t="shared" si="40"/>
        <v>5.7251296537461506E-2</v>
      </c>
      <c r="E1330" s="53">
        <v>1.0901028840407501E-2</v>
      </c>
      <c r="G1330" s="90">
        <v>1322</v>
      </c>
      <c r="H1330" s="90">
        <f t="shared" ca="1" si="41"/>
        <v>1.4006864625501745E-2</v>
      </c>
    </row>
    <row r="1331" spans="2:8" x14ac:dyDescent="0.3">
      <c r="B1331" s="58">
        <f>'DATA HISTORICAL'!$B1976</f>
        <v>43963</v>
      </c>
      <c r="C1331" s="60">
        <f>'DATA HISTORICAL'!$C1976</f>
        <v>3349.35</v>
      </c>
      <c r="D1331" s="53">
        <f t="shared" si="40"/>
        <v>-3.397866192222986E-3</v>
      </c>
      <c r="E1331" s="53">
        <v>1.0900404281616679E-2</v>
      </c>
      <c r="G1331" s="90">
        <v>1323</v>
      </c>
      <c r="H1331" s="90">
        <f t="shared" ca="1" si="41"/>
        <v>1.7758946813522396E-2</v>
      </c>
    </row>
    <row r="1332" spans="2:8" x14ac:dyDescent="0.3">
      <c r="B1332" s="58">
        <f>'DATA HISTORICAL'!$B1977</f>
        <v>43962</v>
      </c>
      <c r="C1332" s="60">
        <f>'DATA HISTORICAL'!$C1977</f>
        <v>3360.75</v>
      </c>
      <c r="D1332" s="53">
        <f t="shared" si="40"/>
        <v>1.6485661851109071E-2</v>
      </c>
      <c r="E1332" s="53">
        <v>1.0893958408002205E-2</v>
      </c>
      <c r="G1332" s="90">
        <v>1324</v>
      </c>
      <c r="H1332" s="90">
        <f t="shared" ca="1" si="41"/>
        <v>-2.659058237273287E-2</v>
      </c>
    </row>
    <row r="1333" spans="2:8" x14ac:dyDescent="0.3">
      <c r="B1333" s="58">
        <f>'DATA HISTORICAL'!$B1978</f>
        <v>43959</v>
      </c>
      <c r="C1333" s="60">
        <f>'DATA HISTORICAL'!$C1978</f>
        <v>3305.8</v>
      </c>
      <c r="D1333" s="53">
        <f t="shared" si="40"/>
        <v>1.61469663549531E-2</v>
      </c>
      <c r="E1333" s="53">
        <v>1.0892903294881139E-2</v>
      </c>
      <c r="G1333" s="90">
        <v>1325</v>
      </c>
      <c r="H1333" s="90">
        <f t="shared" ca="1" si="41"/>
        <v>2.5454893752715163E-3</v>
      </c>
    </row>
    <row r="1334" spans="2:8" x14ac:dyDescent="0.3">
      <c r="B1334" s="58">
        <f>'DATA HISTORICAL'!$B1979</f>
        <v>43958</v>
      </c>
      <c r="C1334" s="60">
        <f>'DATA HISTORICAL'!$C1979</f>
        <v>3252.85</v>
      </c>
      <c r="D1334" s="53">
        <f t="shared" si="40"/>
        <v>-2.1757671550571317E-2</v>
      </c>
      <c r="E1334" s="53">
        <v>1.0882061836513159E-2</v>
      </c>
      <c r="G1334" s="90">
        <v>1326</v>
      </c>
      <c r="H1334" s="90">
        <f t="shared" ca="1" si="41"/>
        <v>-2.8788322343367969E-3</v>
      </c>
    </row>
    <row r="1335" spans="2:8" x14ac:dyDescent="0.3">
      <c r="B1335" s="58">
        <f>'DATA HISTORICAL'!$B1980</f>
        <v>43957</v>
      </c>
      <c r="C1335" s="60">
        <f>'DATA HISTORICAL'!$C1980</f>
        <v>3324.4</v>
      </c>
      <c r="D1335" s="53">
        <f t="shared" si="40"/>
        <v>1.2120443440812603E-2</v>
      </c>
      <c r="E1335" s="53">
        <v>1.0880194589455936E-2</v>
      </c>
      <c r="G1335" s="90">
        <v>1327</v>
      </c>
      <c r="H1335" s="90">
        <f t="shared" ca="1" si="41"/>
        <v>2.5865072483245016E-2</v>
      </c>
    </row>
    <row r="1336" spans="2:8" x14ac:dyDescent="0.3">
      <c r="B1336" s="58">
        <f>'DATA HISTORICAL'!$B1981</f>
        <v>43956</v>
      </c>
      <c r="C1336" s="60">
        <f>'DATA HISTORICAL'!$C1981</f>
        <v>3284.35</v>
      </c>
      <c r="D1336" s="53">
        <f t="shared" si="40"/>
        <v>-1.9074907920660283E-2</v>
      </c>
      <c r="E1336" s="53">
        <v>1.0876615692870214E-2</v>
      </c>
      <c r="G1336" s="90">
        <v>1328</v>
      </c>
      <c r="H1336" s="90">
        <f t="shared" ca="1" si="41"/>
        <v>1.0863387848822209E-2</v>
      </c>
    </row>
    <row r="1337" spans="2:8" x14ac:dyDescent="0.3">
      <c r="B1337" s="58">
        <f>'DATA HISTORICAL'!$B1982</f>
        <v>43955</v>
      </c>
      <c r="C1337" s="60">
        <f>'DATA HISTORICAL'!$C1982</f>
        <v>3347.6</v>
      </c>
      <c r="D1337" s="53">
        <f t="shared" si="40"/>
        <v>-5.427158876146438E-2</v>
      </c>
      <c r="E1337" s="53">
        <v>1.0875117162487817E-2</v>
      </c>
      <c r="G1337" s="90">
        <v>1329</v>
      </c>
      <c r="H1337" s="90">
        <f t="shared" ca="1" si="41"/>
        <v>-3.3570674413199345E-2</v>
      </c>
    </row>
    <row r="1338" spans="2:8" x14ac:dyDescent="0.3">
      <c r="B1338" s="58">
        <f>'DATA HISTORICAL'!$B1983</f>
        <v>43951</v>
      </c>
      <c r="C1338" s="60">
        <f>'DATA HISTORICAL'!$C1983</f>
        <v>3534.3</v>
      </c>
      <c r="D1338" s="53">
        <f t="shared" si="40"/>
        <v>2.8687580699550842E-2</v>
      </c>
      <c r="E1338" s="53">
        <v>1.0856709014014022E-2</v>
      </c>
      <c r="G1338" s="90">
        <v>1330</v>
      </c>
      <c r="H1338" s="90">
        <f t="shared" ca="1" si="41"/>
        <v>7.4561172405079087E-4</v>
      </c>
    </row>
    <row r="1339" spans="2:8" x14ac:dyDescent="0.3">
      <c r="B1339" s="58">
        <f>'DATA HISTORICAL'!$B1984</f>
        <v>43950</v>
      </c>
      <c r="C1339" s="60">
        <f>'DATA HISTORICAL'!$C1984</f>
        <v>3434.35</v>
      </c>
      <c r="D1339" s="53">
        <f t="shared" si="40"/>
        <v>1.1818512426460931E-2</v>
      </c>
      <c r="E1339" s="53">
        <v>1.0845633288537427E-2</v>
      </c>
      <c r="G1339" s="90">
        <v>1331</v>
      </c>
      <c r="H1339" s="90">
        <f t="shared" ca="1" si="41"/>
        <v>1.693029449943332E-2</v>
      </c>
    </row>
    <row r="1340" spans="2:8" x14ac:dyDescent="0.3">
      <c r="B1340" s="58">
        <f>'DATA HISTORICAL'!$B1985</f>
        <v>43949</v>
      </c>
      <c r="C1340" s="60">
        <f>'DATA HISTORICAL'!$C1985</f>
        <v>3394</v>
      </c>
      <c r="D1340" s="53">
        <f t="shared" si="40"/>
        <v>9.8747591654681794E-3</v>
      </c>
      <c r="E1340" s="53">
        <v>1.0840867433308095E-2</v>
      </c>
      <c r="G1340" s="90">
        <v>1332</v>
      </c>
      <c r="H1340" s="90">
        <f t="shared" ca="1" si="41"/>
        <v>-3.6604675583635594E-2</v>
      </c>
    </row>
    <row r="1341" spans="2:8" x14ac:dyDescent="0.3">
      <c r="B1341" s="58">
        <f>'DATA HISTORICAL'!$B1986</f>
        <v>43948</v>
      </c>
      <c r="C1341" s="60">
        <f>'DATA HISTORICAL'!$C1986</f>
        <v>3360.65</v>
      </c>
      <c r="D1341" s="53">
        <f t="shared" si="40"/>
        <v>1.5805745472387382E-2</v>
      </c>
      <c r="E1341" s="53">
        <v>1.0834761410927018E-2</v>
      </c>
      <c r="G1341" s="90">
        <v>1333</v>
      </c>
      <c r="H1341" s="90">
        <f t="shared" ca="1" si="41"/>
        <v>1.9996510129220608E-2</v>
      </c>
    </row>
    <row r="1342" spans="2:8" x14ac:dyDescent="0.3">
      <c r="B1342" s="58">
        <f>'DATA HISTORICAL'!$B1987</f>
        <v>43945</v>
      </c>
      <c r="C1342" s="60">
        <f>'DATA HISTORICAL'!$C1987</f>
        <v>3307.95</v>
      </c>
      <c r="D1342" s="53">
        <f t="shared" si="40"/>
        <v>-3.9782139679564371E-2</v>
      </c>
      <c r="E1342" s="53">
        <v>1.082769320743562E-2</v>
      </c>
      <c r="G1342" s="90">
        <v>1334</v>
      </c>
      <c r="H1342" s="90">
        <f t="shared" ca="1" si="41"/>
        <v>2.2373874800509217E-3</v>
      </c>
    </row>
    <row r="1343" spans="2:8" x14ac:dyDescent="0.3">
      <c r="B1343" s="58">
        <f>'DATA HISTORICAL'!$B1988</f>
        <v>43944</v>
      </c>
      <c r="C1343" s="60">
        <f>'DATA HISTORICAL'!$C1988</f>
        <v>3442.2</v>
      </c>
      <c r="D1343" s="53">
        <f t="shared" si="40"/>
        <v>3.0508400942687021E-4</v>
      </c>
      <c r="E1343" s="53">
        <v>1.0803222173695729E-2</v>
      </c>
      <c r="G1343" s="90">
        <v>1335</v>
      </c>
      <c r="H1343" s="90">
        <f t="shared" ca="1" si="41"/>
        <v>1.7829586257755589E-2</v>
      </c>
    </row>
    <row r="1344" spans="2:8" x14ac:dyDescent="0.3">
      <c r="B1344" s="58">
        <f>'DATA HISTORICAL'!$B1989</f>
        <v>43943</v>
      </c>
      <c r="C1344" s="60">
        <f>'DATA HISTORICAL'!$C1989</f>
        <v>3441.15</v>
      </c>
      <c r="D1344" s="53">
        <f t="shared" si="40"/>
        <v>1.1074860433871157E-2</v>
      </c>
      <c r="E1344" s="53">
        <v>1.0802177272541659E-2</v>
      </c>
      <c r="G1344" s="90">
        <v>1336</v>
      </c>
      <c r="H1344" s="90">
        <f t="shared" ca="1" si="41"/>
        <v>-2.0422041078969146E-2</v>
      </c>
    </row>
    <row r="1345" spans="2:8" x14ac:dyDescent="0.3">
      <c r="B1345" s="58">
        <f>'DATA HISTORICAL'!$B1990</f>
        <v>43942</v>
      </c>
      <c r="C1345" s="60">
        <f>'DATA HISTORICAL'!$C1990</f>
        <v>3403.25</v>
      </c>
      <c r="D1345" s="53">
        <f t="shared" si="40"/>
        <v>-3.274953793775591E-2</v>
      </c>
      <c r="E1345" s="53">
        <v>1.0797841706221388E-2</v>
      </c>
      <c r="G1345" s="90">
        <v>1337</v>
      </c>
      <c r="H1345" s="90">
        <f t="shared" ca="1" si="41"/>
        <v>-3.7224912852957311E-4</v>
      </c>
    </row>
    <row r="1346" spans="2:8" x14ac:dyDescent="0.3">
      <c r="B1346" s="58">
        <f>'DATA HISTORICAL'!$B1991</f>
        <v>43941</v>
      </c>
      <c r="C1346" s="60">
        <f>'DATA HISTORICAL'!$C1991</f>
        <v>3516.55</v>
      </c>
      <c r="D1346" s="53">
        <f t="shared" si="40"/>
        <v>-4.9641267231280064E-3</v>
      </c>
      <c r="E1346" s="53">
        <v>1.0794245130880394E-2</v>
      </c>
      <c r="G1346" s="90">
        <v>1338</v>
      </c>
      <c r="H1346" s="90">
        <f t="shared" ca="1" si="41"/>
        <v>6.4891649928392617E-3</v>
      </c>
    </row>
    <row r="1347" spans="2:8" x14ac:dyDescent="0.3">
      <c r="B1347" s="58">
        <f>'DATA HISTORICAL'!$B1992</f>
        <v>43938</v>
      </c>
      <c r="C1347" s="60">
        <f>'DATA HISTORICAL'!$C1992</f>
        <v>3534.05</v>
      </c>
      <c r="D1347" s="53">
        <f t="shared" si="40"/>
        <v>-1.4279354624399687E-3</v>
      </c>
      <c r="E1347" s="53">
        <v>1.0789415933510712E-2</v>
      </c>
      <c r="G1347" s="90">
        <v>1339</v>
      </c>
      <c r="H1347" s="90">
        <f t="shared" ca="1" si="41"/>
        <v>2.401936727184948E-2</v>
      </c>
    </row>
    <row r="1348" spans="2:8" x14ac:dyDescent="0.3">
      <c r="B1348" s="58">
        <f>'DATA HISTORICAL'!$B1993</f>
        <v>43937</v>
      </c>
      <c r="C1348" s="60">
        <f>'DATA HISTORICAL'!$C1993</f>
        <v>3539.1</v>
      </c>
      <c r="D1348" s="53">
        <f t="shared" si="40"/>
        <v>-1.7103053726930138E-2</v>
      </c>
      <c r="E1348" s="53">
        <v>1.0783594012403438E-2</v>
      </c>
      <c r="G1348" s="90">
        <v>1340</v>
      </c>
      <c r="H1348" s="90">
        <f t="shared" ca="1" si="41"/>
        <v>3.084064730501275E-4</v>
      </c>
    </row>
    <row r="1349" spans="2:8" x14ac:dyDescent="0.3">
      <c r="B1349" s="58">
        <f>'DATA HISTORICAL'!$B1994</f>
        <v>43936</v>
      </c>
      <c r="C1349" s="60">
        <f>'DATA HISTORICAL'!$C1994</f>
        <v>3600.15</v>
      </c>
      <c r="D1349" s="53">
        <f t="shared" si="40"/>
        <v>3.7945468681237202E-2</v>
      </c>
      <c r="E1349" s="53">
        <v>1.0770367175882796E-2</v>
      </c>
      <c r="G1349" s="90">
        <v>1341</v>
      </c>
      <c r="H1349" s="90">
        <f t="shared" ca="1" si="41"/>
        <v>1.4186199993726388E-3</v>
      </c>
    </row>
    <row r="1350" spans="2:8" x14ac:dyDescent="0.3">
      <c r="B1350" s="58">
        <f>'DATA HISTORICAL'!$B1995</f>
        <v>43934</v>
      </c>
      <c r="C1350" s="60">
        <f>'DATA HISTORICAL'!$C1995</f>
        <v>3466.1</v>
      </c>
      <c r="D1350" s="53">
        <f t="shared" si="40"/>
        <v>2.9290092494554769E-2</v>
      </c>
      <c r="E1350" s="53">
        <v>1.0753816387196998E-2</v>
      </c>
      <c r="G1350" s="90">
        <v>1342</v>
      </c>
      <c r="H1350" s="90">
        <f t="shared" ca="1" si="41"/>
        <v>-1.3756584437352778E-3</v>
      </c>
    </row>
    <row r="1351" spans="2:8" x14ac:dyDescent="0.3">
      <c r="B1351" s="58">
        <f>'DATA HISTORICAL'!$B1996</f>
        <v>43930</v>
      </c>
      <c r="C1351" s="60">
        <f>'DATA HISTORICAL'!$C1996</f>
        <v>3366.05</v>
      </c>
      <c r="D1351" s="53">
        <f t="shared" si="40"/>
        <v>3.3102305106030419E-2</v>
      </c>
      <c r="E1351" s="53">
        <v>1.0753150867896504E-2</v>
      </c>
      <c r="G1351" s="90">
        <v>1343</v>
      </c>
      <c r="H1351" s="90">
        <f t="shared" ca="1" si="41"/>
        <v>-1.4538969215008902E-2</v>
      </c>
    </row>
    <row r="1352" spans="2:8" x14ac:dyDescent="0.3">
      <c r="B1352" s="58">
        <f>'DATA HISTORICAL'!$B1997</f>
        <v>43929</v>
      </c>
      <c r="C1352" s="60">
        <f>'DATA HISTORICAL'!$C1997</f>
        <v>3256.45</v>
      </c>
      <c r="D1352" s="53">
        <f t="shared" si="40"/>
        <v>-7.0533267727759469E-3</v>
      </c>
      <c r="E1352" s="53">
        <v>1.0748006365372317E-2</v>
      </c>
      <c r="G1352" s="90">
        <v>1344</v>
      </c>
      <c r="H1352" s="90">
        <f t="shared" ca="1" si="41"/>
        <v>3.7778674088106627E-3</v>
      </c>
    </row>
    <row r="1353" spans="2:8" x14ac:dyDescent="0.3">
      <c r="B1353" s="58">
        <f>'DATA HISTORICAL'!$B1998</f>
        <v>43928</v>
      </c>
      <c r="C1353" s="60">
        <f>'DATA HISTORICAL'!$C1998</f>
        <v>3279.5</v>
      </c>
      <c r="D1353" s="53">
        <f t="shared" ref="D1353:D1416" si="42">LN(C1353/C1354)</f>
        <v>7.530727899962554E-2</v>
      </c>
      <c r="E1353" s="53">
        <v>1.0746499123877297E-2</v>
      </c>
      <c r="G1353" s="90">
        <v>1345</v>
      </c>
      <c r="H1353" s="90">
        <f t="shared" ref="H1353:H1416" ca="1" si="43">_xlfn.NORM.INV(RAND(),N$10,N$11)</f>
        <v>-2.5709684663573752E-2</v>
      </c>
    </row>
    <row r="1354" spans="2:8" x14ac:dyDescent="0.3">
      <c r="B1354" s="58">
        <f>'DATA HISTORICAL'!$B1999</f>
        <v>43924</v>
      </c>
      <c r="C1354" s="60">
        <f>'DATA HISTORICAL'!$C1999</f>
        <v>3041.6</v>
      </c>
      <c r="D1354" s="53">
        <f t="shared" si="42"/>
        <v>-3.2046092114698992E-2</v>
      </c>
      <c r="E1354" s="53">
        <v>1.0734679265643136E-2</v>
      </c>
      <c r="G1354" s="90">
        <v>1346</v>
      </c>
      <c r="H1354" s="90">
        <f t="shared" ca="1" si="43"/>
        <v>2.4422937237029745E-2</v>
      </c>
    </row>
    <row r="1355" spans="2:8" x14ac:dyDescent="0.3">
      <c r="B1355" s="58">
        <f>'DATA HISTORICAL'!$B2000</f>
        <v>43922</v>
      </c>
      <c r="C1355" s="60">
        <f>'DATA HISTORICAL'!$C2000</f>
        <v>3140.65</v>
      </c>
      <c r="D1355" s="53">
        <f t="shared" si="42"/>
        <v>-3.2639339259440958E-2</v>
      </c>
      <c r="E1355" s="53">
        <v>1.0718443391169688E-2</v>
      </c>
      <c r="G1355" s="90">
        <v>1347</v>
      </c>
      <c r="H1355" s="90">
        <f t="shared" ca="1" si="43"/>
        <v>3.3003986877422058E-2</v>
      </c>
    </row>
    <row r="1356" spans="2:8" x14ac:dyDescent="0.3">
      <c r="B1356" s="58">
        <f>'DATA HISTORICAL'!$B2001</f>
        <v>43921</v>
      </c>
      <c r="C1356" s="60">
        <f>'DATA HISTORICAL'!$C2001</f>
        <v>3244.85</v>
      </c>
      <c r="D1356" s="53">
        <f t="shared" si="42"/>
        <v>5.0225775117232085E-2</v>
      </c>
      <c r="E1356" s="53">
        <v>1.0714810409143077E-2</v>
      </c>
      <c r="G1356" s="90">
        <v>1348</v>
      </c>
      <c r="H1356" s="90">
        <f t="shared" ca="1" si="43"/>
        <v>-2.3568723427295404E-2</v>
      </c>
    </row>
    <row r="1357" spans="2:8" x14ac:dyDescent="0.3">
      <c r="B1357" s="58">
        <f>'DATA HISTORICAL'!$B2002</f>
        <v>43920</v>
      </c>
      <c r="C1357" s="60">
        <f>'DATA HISTORICAL'!$C2002</f>
        <v>3085.9</v>
      </c>
      <c r="D1357" s="53">
        <f t="shared" si="42"/>
        <v>-1.8525291000947137E-2</v>
      </c>
      <c r="E1357" s="53">
        <v>1.0687231124271527E-2</v>
      </c>
      <c r="G1357" s="90">
        <v>1349</v>
      </c>
      <c r="H1357" s="90">
        <f t="shared" ca="1" si="43"/>
        <v>3.0128626457499433E-2</v>
      </c>
    </row>
    <row r="1358" spans="2:8" x14ac:dyDescent="0.3">
      <c r="B1358" s="58">
        <f>'DATA HISTORICAL'!$B2003</f>
        <v>43917</v>
      </c>
      <c r="C1358" s="60">
        <f>'DATA HISTORICAL'!$C2003</f>
        <v>3143.6</v>
      </c>
      <c r="D1358" s="53">
        <f t="shared" si="42"/>
        <v>-2.6850304697830823E-2</v>
      </c>
      <c r="E1358" s="53">
        <v>1.0679638381842662E-2</v>
      </c>
      <c r="G1358" s="90">
        <v>1350</v>
      </c>
      <c r="H1358" s="90">
        <f t="shared" ca="1" si="43"/>
        <v>9.7009557852495033E-3</v>
      </c>
    </row>
    <row r="1359" spans="2:8" x14ac:dyDescent="0.3">
      <c r="B1359" s="58">
        <f>'DATA HISTORICAL'!$B2004</f>
        <v>43916</v>
      </c>
      <c r="C1359" s="60">
        <f>'DATA HISTORICAL'!$C2004</f>
        <v>3229.15</v>
      </c>
      <c r="D1359" s="53">
        <f t="shared" si="42"/>
        <v>1.7033796642177662E-4</v>
      </c>
      <c r="E1359" s="53">
        <v>1.0658205515934908E-2</v>
      </c>
      <c r="G1359" s="90">
        <v>1351</v>
      </c>
      <c r="H1359" s="90">
        <f t="shared" ca="1" si="43"/>
        <v>1.3744592464844826E-2</v>
      </c>
    </row>
    <row r="1360" spans="2:8" x14ac:dyDescent="0.3">
      <c r="B1360" s="58">
        <f>'DATA HISTORICAL'!$B2005</f>
        <v>43915</v>
      </c>
      <c r="C1360" s="60">
        <f>'DATA HISTORICAL'!$C2005</f>
        <v>3228.6</v>
      </c>
      <c r="D1360" s="53">
        <f t="shared" si="42"/>
        <v>6.7421112418394796E-2</v>
      </c>
      <c r="E1360" s="53">
        <v>1.0656886299143971E-2</v>
      </c>
      <c r="G1360" s="90">
        <v>1352</v>
      </c>
      <c r="H1360" s="90">
        <f t="shared" ca="1" si="43"/>
        <v>3.6975026082791802E-2</v>
      </c>
    </row>
    <row r="1361" spans="2:8" x14ac:dyDescent="0.3">
      <c r="B1361" s="58">
        <f>'DATA HISTORICAL'!$B2006</f>
        <v>43914</v>
      </c>
      <c r="C1361" s="60">
        <f>'DATA HISTORICAL'!$C2006</f>
        <v>3018.1</v>
      </c>
      <c r="D1361" s="53">
        <f t="shared" si="42"/>
        <v>-1.2102997258891236E-2</v>
      </c>
      <c r="E1361" s="53">
        <v>1.0632982553726463E-2</v>
      </c>
      <c r="G1361" s="90">
        <v>1353</v>
      </c>
      <c r="H1361" s="90">
        <f t="shared" ca="1" si="43"/>
        <v>2.3271858092640901E-2</v>
      </c>
    </row>
    <row r="1362" spans="2:8" x14ac:dyDescent="0.3">
      <c r="B1362" s="58">
        <f>'DATA HISTORICAL'!$B2007</f>
        <v>43913</v>
      </c>
      <c r="C1362" s="60">
        <f>'DATA HISTORICAL'!$C2007</f>
        <v>3054.85</v>
      </c>
      <c r="D1362" s="53">
        <f t="shared" si="42"/>
        <v>-0.15691295449293485</v>
      </c>
      <c r="E1362" s="53">
        <v>1.0625894901528573E-2</v>
      </c>
      <c r="G1362" s="90">
        <v>1354</v>
      </c>
      <c r="H1362" s="90">
        <f t="shared" ca="1" si="43"/>
        <v>-3.7969465919044987E-2</v>
      </c>
    </row>
    <row r="1363" spans="2:8" x14ac:dyDescent="0.3">
      <c r="B1363" s="58">
        <f>'DATA HISTORICAL'!$B2008</f>
        <v>43910</v>
      </c>
      <c r="C1363" s="60">
        <f>'DATA HISTORICAL'!$C2008</f>
        <v>3573.85</v>
      </c>
      <c r="D1363" s="53">
        <f t="shared" si="42"/>
        <v>0.12115869194212368</v>
      </c>
      <c r="E1363" s="53">
        <v>1.0609246839657216E-2</v>
      </c>
      <c r="G1363" s="90">
        <v>1355</v>
      </c>
      <c r="H1363" s="90">
        <f t="shared" ca="1" si="43"/>
        <v>4.5910474942949774E-2</v>
      </c>
    </row>
    <row r="1364" spans="2:8" x14ac:dyDescent="0.3">
      <c r="B1364" s="58">
        <f>'DATA HISTORICAL'!$B2009</f>
        <v>43909</v>
      </c>
      <c r="C1364" s="60">
        <f>'DATA HISTORICAL'!$C2009</f>
        <v>3166.05</v>
      </c>
      <c r="D1364" s="53">
        <f t="shared" si="42"/>
        <v>-4.2512893703052362E-2</v>
      </c>
      <c r="E1364" s="53">
        <v>1.0601388945449146E-2</v>
      </c>
      <c r="G1364" s="90">
        <v>1356</v>
      </c>
      <c r="H1364" s="90">
        <f t="shared" ca="1" si="43"/>
        <v>1.0648585354874653E-2</v>
      </c>
    </row>
    <row r="1365" spans="2:8" x14ac:dyDescent="0.3">
      <c r="B1365" s="58">
        <f>'DATA HISTORICAL'!$B2010</f>
        <v>43908</v>
      </c>
      <c r="C1365" s="60">
        <f>'DATA HISTORICAL'!$C2010</f>
        <v>3303.55</v>
      </c>
      <c r="D1365" s="53">
        <f t="shared" si="42"/>
        <v>-4.9286620712121143E-2</v>
      </c>
      <c r="E1365" s="53">
        <v>1.0599796958662817E-2</v>
      </c>
      <c r="G1365" s="90">
        <v>1357</v>
      </c>
      <c r="H1365" s="90">
        <f t="shared" ca="1" si="43"/>
        <v>1.2775632194837671E-2</v>
      </c>
    </row>
    <row r="1366" spans="2:8" x14ac:dyDescent="0.3">
      <c r="B1366" s="58">
        <f>'DATA HISTORICAL'!$B2011</f>
        <v>43907</v>
      </c>
      <c r="C1366" s="60">
        <f>'DATA HISTORICAL'!$C2011</f>
        <v>3470.45</v>
      </c>
      <c r="D1366" s="53">
        <f t="shared" si="42"/>
        <v>-1.3622590287402498E-2</v>
      </c>
      <c r="E1366" s="53">
        <v>1.0576147887447502E-2</v>
      </c>
      <c r="G1366" s="90">
        <v>1358</v>
      </c>
      <c r="H1366" s="90">
        <f t="shared" ca="1" si="43"/>
        <v>-2.905451400347352E-2</v>
      </c>
    </row>
    <row r="1367" spans="2:8" x14ac:dyDescent="0.3">
      <c r="B1367" s="58">
        <f>'DATA HISTORICAL'!$B2012</f>
        <v>43906</v>
      </c>
      <c r="C1367" s="60">
        <f>'DATA HISTORICAL'!$C2012</f>
        <v>3518.05</v>
      </c>
      <c r="D1367" s="53">
        <f t="shared" si="42"/>
        <v>-7.4168880665096096E-2</v>
      </c>
      <c r="E1367" s="53">
        <v>1.0570362928940239E-2</v>
      </c>
      <c r="G1367" s="90">
        <v>1359</v>
      </c>
      <c r="H1367" s="90">
        <f t="shared" ca="1" si="43"/>
        <v>7.2032253837560302E-3</v>
      </c>
    </row>
    <row r="1368" spans="2:8" x14ac:dyDescent="0.3">
      <c r="B1368" s="58">
        <f>'DATA HISTORICAL'!$B2013</f>
        <v>43903</v>
      </c>
      <c r="C1368" s="60">
        <f>'DATA HISTORICAL'!$C2013</f>
        <v>3788.9</v>
      </c>
      <c r="D1368" s="53">
        <f t="shared" si="42"/>
        <v>3.3656764882389958E-2</v>
      </c>
      <c r="E1368" s="53">
        <v>1.054529237601135E-2</v>
      </c>
      <c r="G1368" s="90">
        <v>1360</v>
      </c>
      <c r="H1368" s="90">
        <f t="shared" ca="1" si="43"/>
        <v>-1.0923988777718056E-2</v>
      </c>
    </row>
    <row r="1369" spans="2:8" x14ac:dyDescent="0.3">
      <c r="B1369" s="58">
        <f>'DATA HISTORICAL'!$B2014</f>
        <v>43902</v>
      </c>
      <c r="C1369" s="60">
        <f>'DATA HISTORICAL'!$C2014</f>
        <v>3663.5</v>
      </c>
      <c r="D1369" s="53">
        <f t="shared" si="42"/>
        <v>-8.6224023752778739E-2</v>
      </c>
      <c r="E1369" s="53">
        <v>1.0539158585470353E-2</v>
      </c>
      <c r="G1369" s="90">
        <v>1361</v>
      </c>
      <c r="H1369" s="90">
        <f t="shared" ca="1" si="43"/>
        <v>3.3236175494109746E-2</v>
      </c>
    </row>
    <row r="1370" spans="2:8" x14ac:dyDescent="0.3">
      <c r="B1370" s="58">
        <f>'DATA HISTORICAL'!$B2015</f>
        <v>43901</v>
      </c>
      <c r="C1370" s="60">
        <f>'DATA HISTORICAL'!$C2015</f>
        <v>3993.4</v>
      </c>
      <c r="D1370" s="53">
        <f t="shared" si="42"/>
        <v>-2.5697424907495426E-2</v>
      </c>
      <c r="E1370" s="53">
        <v>1.0520077698611709E-2</v>
      </c>
      <c r="G1370" s="90">
        <v>1362</v>
      </c>
      <c r="H1370" s="90">
        <f t="shared" ca="1" si="43"/>
        <v>9.1313324119629835E-3</v>
      </c>
    </row>
    <row r="1371" spans="2:8" x14ac:dyDescent="0.3">
      <c r="B1371" s="58">
        <f>'DATA HISTORICAL'!$B2016</f>
        <v>43899</v>
      </c>
      <c r="C1371" s="60">
        <f>'DATA HISTORICAL'!$C2016</f>
        <v>4097.3500000000004</v>
      </c>
      <c r="D1371" s="53">
        <f t="shared" si="42"/>
        <v>-1.7059892041623975E-2</v>
      </c>
      <c r="E1371" s="53">
        <v>1.0510987253946467E-2</v>
      </c>
      <c r="G1371" s="90">
        <v>1363</v>
      </c>
      <c r="H1371" s="90">
        <f t="shared" ca="1" si="43"/>
        <v>2.8089913525934179E-2</v>
      </c>
    </row>
    <row r="1372" spans="2:8" x14ac:dyDescent="0.3">
      <c r="B1372" s="58">
        <f>'DATA HISTORICAL'!$B2017</f>
        <v>43896</v>
      </c>
      <c r="C1372" s="60">
        <f>'DATA HISTORICAL'!$C2017</f>
        <v>4167.8500000000004</v>
      </c>
      <c r="D1372" s="53">
        <f t="shared" si="42"/>
        <v>-9.0047662226232766E-3</v>
      </c>
      <c r="E1372" s="53">
        <v>1.0510756159592814E-2</v>
      </c>
      <c r="G1372" s="90">
        <v>1364</v>
      </c>
      <c r="H1372" s="90">
        <f t="shared" ca="1" si="43"/>
        <v>-1.9486133312008054E-2</v>
      </c>
    </row>
    <row r="1373" spans="2:8" x14ac:dyDescent="0.3">
      <c r="B1373" s="58">
        <f>'DATA HISTORICAL'!$B2018</f>
        <v>43895</v>
      </c>
      <c r="C1373" s="60">
        <f>'DATA HISTORICAL'!$C2018</f>
        <v>4205.55</v>
      </c>
      <c r="D1373" s="53">
        <f t="shared" si="42"/>
        <v>7.8178082322607166E-3</v>
      </c>
      <c r="E1373" s="53">
        <v>1.0504692357720197E-2</v>
      </c>
      <c r="G1373" s="90">
        <v>1365</v>
      </c>
      <c r="H1373" s="90">
        <f t="shared" ca="1" si="43"/>
        <v>5.5141743462765493E-3</v>
      </c>
    </row>
    <row r="1374" spans="2:8" x14ac:dyDescent="0.3">
      <c r="B1374" s="58">
        <f>'DATA HISTORICAL'!$B2019</f>
        <v>43894</v>
      </c>
      <c r="C1374" s="60">
        <f>'DATA HISTORICAL'!$C2019</f>
        <v>4172.8</v>
      </c>
      <c r="D1374" s="53">
        <f t="shared" si="42"/>
        <v>-3.0004493305000365E-2</v>
      </c>
      <c r="E1374" s="53">
        <v>1.0493410511566409E-2</v>
      </c>
      <c r="G1374" s="90">
        <v>1366</v>
      </c>
      <c r="H1374" s="90">
        <f t="shared" ca="1" si="43"/>
        <v>1.9016856797417866E-2</v>
      </c>
    </row>
    <row r="1375" spans="2:8" x14ac:dyDescent="0.3">
      <c r="B1375" s="58">
        <f>'DATA HISTORICAL'!$B2020</f>
        <v>43893</v>
      </c>
      <c r="C1375" s="60">
        <f>'DATA HISTORICAL'!$C2020</f>
        <v>4299.8999999999996</v>
      </c>
      <c r="D1375" s="53">
        <f t="shared" si="42"/>
        <v>3.7485435043208719E-2</v>
      </c>
      <c r="E1375" s="53">
        <v>1.0486902109363577E-2</v>
      </c>
      <c r="G1375" s="90">
        <v>1367</v>
      </c>
      <c r="H1375" s="90">
        <f t="shared" ca="1" si="43"/>
        <v>1.7238689365752643E-3</v>
      </c>
    </row>
    <row r="1376" spans="2:8" x14ac:dyDescent="0.3">
      <c r="B1376" s="58">
        <f>'DATA HISTORICAL'!$B2021</f>
        <v>43892</v>
      </c>
      <c r="C1376" s="60">
        <f>'DATA HISTORICAL'!$C2021</f>
        <v>4141.7</v>
      </c>
      <c r="D1376" s="53">
        <f t="shared" si="42"/>
        <v>-1.8634005253582935E-2</v>
      </c>
      <c r="E1376" s="53">
        <v>1.0466435196012133E-2</v>
      </c>
      <c r="G1376" s="90">
        <v>1368</v>
      </c>
      <c r="H1376" s="90">
        <f t="shared" ca="1" si="43"/>
        <v>3.7379790992661213E-2</v>
      </c>
    </row>
    <row r="1377" spans="2:8" x14ac:dyDescent="0.3">
      <c r="B1377" s="58">
        <f>'DATA HISTORICAL'!$B2022</f>
        <v>43889</v>
      </c>
      <c r="C1377" s="60">
        <f>'DATA HISTORICAL'!$C2022</f>
        <v>4219.6000000000004</v>
      </c>
      <c r="D1377" s="53">
        <f t="shared" si="42"/>
        <v>-2.3896936952734805E-2</v>
      </c>
      <c r="E1377" s="53">
        <v>1.0465619916169705E-2</v>
      </c>
      <c r="G1377" s="90">
        <v>1369</v>
      </c>
      <c r="H1377" s="90">
        <f t="shared" ca="1" si="43"/>
        <v>4.5788846998975771E-2</v>
      </c>
    </row>
    <row r="1378" spans="2:8" x14ac:dyDescent="0.3">
      <c r="B1378" s="58">
        <f>'DATA HISTORICAL'!$B2023</f>
        <v>43888</v>
      </c>
      <c r="C1378" s="60">
        <f>'DATA HISTORICAL'!$C2023</f>
        <v>4321.6499999999996</v>
      </c>
      <c r="D1378" s="53">
        <f t="shared" si="42"/>
        <v>-4.5826367403112162E-3</v>
      </c>
      <c r="E1378" s="53">
        <v>1.0381020470926965E-2</v>
      </c>
      <c r="G1378" s="90">
        <v>1370</v>
      </c>
      <c r="H1378" s="90">
        <f t="shared" ca="1" si="43"/>
        <v>1.7955325979198113E-2</v>
      </c>
    </row>
    <row r="1379" spans="2:8" x14ac:dyDescent="0.3">
      <c r="B1379" s="58">
        <f>'DATA HISTORICAL'!$B2024</f>
        <v>43887</v>
      </c>
      <c r="C1379" s="60">
        <f>'DATA HISTORICAL'!$C2024</f>
        <v>4341.5</v>
      </c>
      <c r="D1379" s="53">
        <f t="shared" si="42"/>
        <v>-5.7567211307149439E-4</v>
      </c>
      <c r="E1379" s="53">
        <v>1.0376878686688238E-2</v>
      </c>
      <c r="G1379" s="90">
        <v>1371</v>
      </c>
      <c r="H1379" s="90">
        <f t="shared" ca="1" si="43"/>
        <v>-2.4135797354732447E-3</v>
      </c>
    </row>
    <row r="1380" spans="2:8" x14ac:dyDescent="0.3">
      <c r="B1380" s="58">
        <f>'DATA HISTORICAL'!$B2025</f>
        <v>43886</v>
      </c>
      <c r="C1380" s="60">
        <f>'DATA HISTORICAL'!$C2025</f>
        <v>4344</v>
      </c>
      <c r="D1380" s="53">
        <f t="shared" si="42"/>
        <v>-1.1671948505505979E-2</v>
      </c>
      <c r="E1380" s="53">
        <v>1.0371025436907369E-2</v>
      </c>
      <c r="G1380" s="90">
        <v>1372</v>
      </c>
      <c r="H1380" s="90">
        <f t="shared" ca="1" si="43"/>
        <v>-1.9793381425308346E-2</v>
      </c>
    </row>
    <row r="1381" spans="2:8" x14ac:dyDescent="0.3">
      <c r="B1381" s="58">
        <f>'DATA HISTORICAL'!$B2026</f>
        <v>43885</v>
      </c>
      <c r="C1381" s="60">
        <f>'DATA HISTORICAL'!$C2026</f>
        <v>4395</v>
      </c>
      <c r="D1381" s="53">
        <f t="shared" si="42"/>
        <v>-7.5030670134143499E-3</v>
      </c>
      <c r="E1381" s="53">
        <v>1.0342538332597432E-2</v>
      </c>
      <c r="G1381" s="90">
        <v>1373</v>
      </c>
      <c r="H1381" s="90">
        <f t="shared" ca="1" si="43"/>
        <v>-2.5153009376312424E-3</v>
      </c>
    </row>
    <row r="1382" spans="2:8" x14ac:dyDescent="0.3">
      <c r="B1382" s="58">
        <f>'DATA HISTORICAL'!$B2027</f>
        <v>43881</v>
      </c>
      <c r="C1382" s="60">
        <f>'DATA HISTORICAL'!$C2027</f>
        <v>4428.1000000000004</v>
      </c>
      <c r="D1382" s="53">
        <f t="shared" si="42"/>
        <v>-1.0111082410641238E-2</v>
      </c>
      <c r="E1382" s="53">
        <v>1.0324045284182072E-2</v>
      </c>
      <c r="G1382" s="90">
        <v>1374</v>
      </c>
      <c r="H1382" s="90">
        <f t="shared" ca="1" si="43"/>
        <v>2.3161169872642835E-2</v>
      </c>
    </row>
    <row r="1383" spans="2:8" x14ac:dyDescent="0.3">
      <c r="B1383" s="58">
        <f>'DATA HISTORICAL'!$B2028</f>
        <v>43880</v>
      </c>
      <c r="C1383" s="60">
        <f>'DATA HISTORICAL'!$C2028</f>
        <v>4473.1000000000004</v>
      </c>
      <c r="D1383" s="53">
        <f t="shared" si="42"/>
        <v>-5.8108351357923018E-4</v>
      </c>
      <c r="E1383" s="53">
        <v>1.0312748364791168E-2</v>
      </c>
      <c r="G1383" s="90">
        <v>1375</v>
      </c>
      <c r="H1383" s="90">
        <f t="shared" ca="1" si="43"/>
        <v>7.1784344377034577E-3</v>
      </c>
    </row>
    <row r="1384" spans="2:8" x14ac:dyDescent="0.3">
      <c r="B1384" s="58">
        <f>'DATA HISTORICAL'!$B2029</f>
        <v>43879</v>
      </c>
      <c r="C1384" s="60">
        <f>'DATA HISTORICAL'!$C2029</f>
        <v>4475.7</v>
      </c>
      <c r="D1384" s="53">
        <f t="shared" si="42"/>
        <v>5.7923763299176489E-3</v>
      </c>
      <c r="E1384" s="53">
        <v>1.0311507999741003E-2</v>
      </c>
      <c r="G1384" s="90">
        <v>1376</v>
      </c>
      <c r="H1384" s="90">
        <f t="shared" ca="1" si="43"/>
        <v>2.9034805800773011E-2</v>
      </c>
    </row>
    <row r="1385" spans="2:8" x14ac:dyDescent="0.3">
      <c r="B1385" s="58">
        <f>'DATA HISTORICAL'!$B2030</f>
        <v>43878</v>
      </c>
      <c r="C1385" s="60">
        <f>'DATA HISTORICAL'!$C2030</f>
        <v>4449.8500000000004</v>
      </c>
      <c r="D1385" s="53">
        <f t="shared" si="42"/>
        <v>3.4893441675589755E-3</v>
      </c>
      <c r="E1385" s="53">
        <v>1.0295185343217009E-2</v>
      </c>
      <c r="G1385" s="90">
        <v>1377</v>
      </c>
      <c r="H1385" s="90">
        <f t="shared" ca="1" si="43"/>
        <v>-3.4268273004281431E-2</v>
      </c>
    </row>
    <row r="1386" spans="2:8" x14ac:dyDescent="0.3">
      <c r="B1386" s="58">
        <f>'DATA HISTORICAL'!$B2031</f>
        <v>43875</v>
      </c>
      <c r="C1386" s="60">
        <f>'DATA HISTORICAL'!$C2031</f>
        <v>4434.3500000000004</v>
      </c>
      <c r="D1386" s="53">
        <f t="shared" si="42"/>
        <v>-3.6354058395505879E-3</v>
      </c>
      <c r="E1386" s="53">
        <v>1.0293193245365892E-2</v>
      </c>
      <c r="G1386" s="90">
        <v>1378</v>
      </c>
      <c r="H1386" s="90">
        <f t="shared" ca="1" si="43"/>
        <v>5.4204288176795921E-3</v>
      </c>
    </row>
    <row r="1387" spans="2:8" x14ac:dyDescent="0.3">
      <c r="B1387" s="58">
        <f>'DATA HISTORICAL'!$B2032</f>
        <v>43874</v>
      </c>
      <c r="C1387" s="60">
        <f>'DATA HISTORICAL'!$C2032</f>
        <v>4450.5</v>
      </c>
      <c r="D1387" s="53">
        <f t="shared" si="42"/>
        <v>-7.2998852105964204E-4</v>
      </c>
      <c r="E1387" s="53">
        <v>1.0271411195353408E-2</v>
      </c>
      <c r="G1387" s="90">
        <v>1379</v>
      </c>
      <c r="H1387" s="90">
        <f t="shared" ca="1" si="43"/>
        <v>-1.3077053444585929E-3</v>
      </c>
    </row>
    <row r="1388" spans="2:8" x14ac:dyDescent="0.3">
      <c r="B1388" s="58">
        <f>'DATA HISTORICAL'!$B2033</f>
        <v>43873</v>
      </c>
      <c r="C1388" s="60">
        <f>'DATA HISTORICAL'!$C2033</f>
        <v>4453.75</v>
      </c>
      <c r="D1388" s="53">
        <f t="shared" si="42"/>
        <v>-2.8474717116356647E-3</v>
      </c>
      <c r="E1388" s="53">
        <v>1.0266118494253304E-2</v>
      </c>
      <c r="G1388" s="90">
        <v>1380</v>
      </c>
      <c r="H1388" s="90">
        <f t="shared" ca="1" si="43"/>
        <v>-2.5129824012276444E-3</v>
      </c>
    </row>
    <row r="1389" spans="2:8" x14ac:dyDescent="0.3">
      <c r="B1389" s="58">
        <f>'DATA HISTORICAL'!$B2034</f>
        <v>43872</v>
      </c>
      <c r="C1389" s="60">
        <f>'DATA HISTORICAL'!$C2034</f>
        <v>4466.45</v>
      </c>
      <c r="D1389" s="53">
        <f t="shared" si="42"/>
        <v>1.1869241389085168E-2</v>
      </c>
      <c r="E1389" s="53">
        <v>1.0251609629645714E-2</v>
      </c>
      <c r="G1389" s="90">
        <v>1381</v>
      </c>
      <c r="H1389" s="90">
        <f t="shared" ca="1" si="43"/>
        <v>-1.9123216672858974E-3</v>
      </c>
    </row>
    <row r="1390" spans="2:8" x14ac:dyDescent="0.3">
      <c r="B1390" s="58">
        <f>'DATA HISTORICAL'!$B2035</f>
        <v>43871</v>
      </c>
      <c r="C1390" s="60">
        <f>'DATA HISTORICAL'!$C2035</f>
        <v>4413.75</v>
      </c>
      <c r="D1390" s="53">
        <f t="shared" si="42"/>
        <v>-1.3066343873107063E-2</v>
      </c>
      <c r="E1390" s="53">
        <v>1.0243597524082536E-2</v>
      </c>
      <c r="G1390" s="90">
        <v>1382</v>
      </c>
      <c r="H1390" s="90">
        <f t="shared" ca="1" si="43"/>
        <v>8.7319177230532515E-3</v>
      </c>
    </row>
    <row r="1391" spans="2:8" x14ac:dyDescent="0.3">
      <c r="B1391" s="58">
        <f>'DATA HISTORICAL'!$B2036</f>
        <v>43868</v>
      </c>
      <c r="C1391" s="60">
        <f>'DATA HISTORICAL'!$C2036</f>
        <v>4471.8</v>
      </c>
      <c r="D1391" s="53">
        <f t="shared" si="42"/>
        <v>1.5441944724807807E-3</v>
      </c>
      <c r="E1391" s="53">
        <v>1.023939572369374E-2</v>
      </c>
      <c r="G1391" s="90">
        <v>1383</v>
      </c>
      <c r="H1391" s="90">
        <f t="shared" ca="1" si="43"/>
        <v>-9.3157722281220767E-3</v>
      </c>
    </row>
    <row r="1392" spans="2:8" x14ac:dyDescent="0.3">
      <c r="B1392" s="58">
        <f>'DATA HISTORICAL'!$B2037</f>
        <v>43867</v>
      </c>
      <c r="C1392" s="60">
        <f>'DATA HISTORICAL'!$C2037</f>
        <v>4464.8999999999996</v>
      </c>
      <c r="D1392" s="53">
        <f t="shared" si="42"/>
        <v>-1.5441944724806343E-3</v>
      </c>
      <c r="E1392" s="53">
        <v>1.0223678111958524E-2</v>
      </c>
      <c r="G1392" s="90">
        <v>1384</v>
      </c>
      <c r="H1392" s="90">
        <f t="shared" ca="1" si="43"/>
        <v>2.0417948979743351E-2</v>
      </c>
    </row>
    <row r="1393" spans="2:8" x14ac:dyDescent="0.3">
      <c r="B1393" s="58">
        <f>'DATA HISTORICAL'!$B2038</f>
        <v>43866</v>
      </c>
      <c r="C1393" s="60">
        <f>'DATA HISTORICAL'!$C2038</f>
        <v>4471.8</v>
      </c>
      <c r="D1393" s="53">
        <f t="shared" si="42"/>
        <v>-5.4772778181450975E-4</v>
      </c>
      <c r="E1393" s="53">
        <v>1.0200983639263864E-2</v>
      </c>
      <c r="G1393" s="90">
        <v>1385</v>
      </c>
      <c r="H1393" s="90">
        <f t="shared" ca="1" si="43"/>
        <v>-1.8146373216494961E-2</v>
      </c>
    </row>
    <row r="1394" spans="2:8" x14ac:dyDescent="0.3">
      <c r="B1394" s="58">
        <f>'DATA HISTORICAL'!$B2039</f>
        <v>43865</v>
      </c>
      <c r="C1394" s="60">
        <f>'DATA HISTORICAL'!$C2039</f>
        <v>4474.25</v>
      </c>
      <c r="D1394" s="53">
        <f t="shared" si="42"/>
        <v>2.3427000450025773E-2</v>
      </c>
      <c r="E1394" s="53">
        <v>1.0176021115591205E-2</v>
      </c>
      <c r="G1394" s="90">
        <v>1386</v>
      </c>
      <c r="H1394" s="90">
        <f t="shared" ca="1" si="43"/>
        <v>1.8762132271662722E-3</v>
      </c>
    </row>
    <row r="1395" spans="2:8" x14ac:dyDescent="0.3">
      <c r="B1395" s="58">
        <f>'DATA HISTORICAL'!$B2040</f>
        <v>43864</v>
      </c>
      <c r="C1395" s="60">
        <f>'DATA HISTORICAL'!$C2040</f>
        <v>4370.6499999999996</v>
      </c>
      <c r="D1395" s="53">
        <f t="shared" si="42"/>
        <v>2.4410943592473193E-2</v>
      </c>
      <c r="E1395" s="53">
        <v>1.0166773941244473E-2</v>
      </c>
      <c r="G1395" s="90">
        <v>1387</v>
      </c>
      <c r="H1395" s="90">
        <f t="shared" ca="1" si="43"/>
        <v>-1.5195814312938177E-2</v>
      </c>
    </row>
    <row r="1396" spans="2:8" x14ac:dyDescent="0.3">
      <c r="B1396" s="58">
        <f>'DATA HISTORICAL'!$B2041</f>
        <v>43862</v>
      </c>
      <c r="C1396" s="60">
        <f>'DATA HISTORICAL'!$C2041</f>
        <v>4265.25</v>
      </c>
      <c r="D1396" s="53">
        <f t="shared" si="42"/>
        <v>-3.4756157773056288E-2</v>
      </c>
      <c r="E1396" s="53">
        <v>1.0150563513555805E-2</v>
      </c>
      <c r="G1396" s="90">
        <v>1388</v>
      </c>
      <c r="H1396" s="90">
        <f t="shared" ca="1" si="43"/>
        <v>-5.4281492891199356E-3</v>
      </c>
    </row>
    <row r="1397" spans="2:8" x14ac:dyDescent="0.3">
      <c r="B1397" s="58">
        <f>'DATA HISTORICAL'!$B2042</f>
        <v>43861</v>
      </c>
      <c r="C1397" s="60">
        <f>'DATA HISTORICAL'!$C2042</f>
        <v>4416.1000000000004</v>
      </c>
      <c r="D1397" s="53">
        <f t="shared" si="42"/>
        <v>-1.5704482452078596E-2</v>
      </c>
      <c r="E1397" s="53">
        <v>1.012998133438836E-2</v>
      </c>
      <c r="G1397" s="90">
        <v>1389</v>
      </c>
      <c r="H1397" s="90">
        <f t="shared" ca="1" si="43"/>
        <v>-3.277060826144363E-2</v>
      </c>
    </row>
    <row r="1398" spans="2:8" x14ac:dyDescent="0.3">
      <c r="B1398" s="58">
        <f>'DATA HISTORICAL'!$B2043</f>
        <v>43860</v>
      </c>
      <c r="C1398" s="60">
        <f>'DATA HISTORICAL'!$C2043</f>
        <v>4486</v>
      </c>
      <c r="D1398" s="53">
        <f t="shared" si="42"/>
        <v>-1.815781813437985E-2</v>
      </c>
      <c r="E1398" s="53">
        <v>1.0092716668754706E-2</v>
      </c>
      <c r="G1398" s="90">
        <v>1390</v>
      </c>
      <c r="H1398" s="90">
        <f t="shared" ca="1" si="43"/>
        <v>4.4882097511672958E-3</v>
      </c>
    </row>
    <row r="1399" spans="2:8" x14ac:dyDescent="0.3">
      <c r="B1399" s="58">
        <f>'DATA HISTORICAL'!$B2044</f>
        <v>43859</v>
      </c>
      <c r="C1399" s="60">
        <f>'DATA HISTORICAL'!$C2044</f>
        <v>4568.2</v>
      </c>
      <c r="D1399" s="53">
        <f t="shared" si="42"/>
        <v>-8.9025077873358827E-3</v>
      </c>
      <c r="E1399" s="53">
        <v>1.0063046967750832E-2</v>
      </c>
      <c r="G1399" s="90">
        <v>1391</v>
      </c>
      <c r="H1399" s="90">
        <f t="shared" ca="1" si="43"/>
        <v>-2.3668567535248115E-2</v>
      </c>
    </row>
    <row r="1400" spans="2:8" x14ac:dyDescent="0.3">
      <c r="B1400" s="58">
        <f>'DATA HISTORICAL'!$B2045</f>
        <v>43858</v>
      </c>
      <c r="C1400" s="60">
        <f>'DATA HISTORICAL'!$C2045</f>
        <v>4609.05</v>
      </c>
      <c r="D1400" s="53">
        <f t="shared" si="42"/>
        <v>-1.4624426053230449E-2</v>
      </c>
      <c r="E1400" s="53">
        <v>1.0040410245930135E-2</v>
      </c>
      <c r="G1400" s="90">
        <v>1392</v>
      </c>
      <c r="H1400" s="90">
        <f t="shared" ca="1" si="43"/>
        <v>-9.1605054350218061E-3</v>
      </c>
    </row>
    <row r="1401" spans="2:8" x14ac:dyDescent="0.3">
      <c r="B1401" s="58">
        <f>'DATA HISTORICAL'!$B2046</f>
        <v>43857</v>
      </c>
      <c r="C1401" s="60">
        <f>'DATA HISTORICAL'!$C2046</f>
        <v>4676.95</v>
      </c>
      <c r="D1401" s="53">
        <f t="shared" si="42"/>
        <v>7.3393249819376383E-3</v>
      </c>
      <c r="E1401" s="53">
        <v>1.0022423579629229E-2</v>
      </c>
      <c r="G1401" s="90">
        <v>1393</v>
      </c>
      <c r="H1401" s="90">
        <f t="shared" ca="1" si="43"/>
        <v>1.2224299904810304E-2</v>
      </c>
    </row>
    <row r="1402" spans="2:8" x14ac:dyDescent="0.3">
      <c r="B1402" s="58">
        <f>'DATA HISTORICAL'!$B2047</f>
        <v>43854</v>
      </c>
      <c r="C1402" s="60">
        <f>'DATA HISTORICAL'!$C2047</f>
        <v>4642.75</v>
      </c>
      <c r="D1402" s="53">
        <f t="shared" si="42"/>
        <v>2.5379941525859668E-2</v>
      </c>
      <c r="E1402" s="53">
        <v>1.0019059520480473E-2</v>
      </c>
      <c r="G1402" s="90">
        <v>1394</v>
      </c>
      <c r="H1402" s="90">
        <f t="shared" ca="1" si="43"/>
        <v>3.2983986907810688E-2</v>
      </c>
    </row>
    <row r="1403" spans="2:8" x14ac:dyDescent="0.3">
      <c r="B1403" s="58">
        <f>'DATA HISTORICAL'!$B2048</f>
        <v>43853</v>
      </c>
      <c r="C1403" s="60">
        <f>'DATA HISTORICAL'!$C2048</f>
        <v>4526.3999999999996</v>
      </c>
      <c r="D1403" s="53">
        <f t="shared" si="42"/>
        <v>1.0984910561688242E-2</v>
      </c>
      <c r="E1403" s="53">
        <v>1.0005715785052056E-2</v>
      </c>
      <c r="G1403" s="90">
        <v>1395</v>
      </c>
      <c r="H1403" s="90">
        <f t="shared" ca="1" si="43"/>
        <v>2.0445713873888639E-2</v>
      </c>
    </row>
    <row r="1404" spans="2:8" x14ac:dyDescent="0.3">
      <c r="B1404" s="58">
        <f>'DATA HISTORICAL'!$B2049</f>
        <v>43852</v>
      </c>
      <c r="C1404" s="60">
        <f>'DATA HISTORICAL'!$C2049</f>
        <v>4476.95</v>
      </c>
      <c r="D1404" s="53">
        <f t="shared" si="42"/>
        <v>-1.473132346089132E-3</v>
      </c>
      <c r="E1404" s="53">
        <v>9.9749824706721925E-3</v>
      </c>
      <c r="G1404" s="90">
        <v>1396</v>
      </c>
      <c r="H1404" s="90">
        <f t="shared" ca="1" si="43"/>
        <v>1.3023592802701617E-2</v>
      </c>
    </row>
    <row r="1405" spans="2:8" x14ac:dyDescent="0.3">
      <c r="B1405" s="58">
        <f>'DATA HISTORICAL'!$B2050</f>
        <v>43851</v>
      </c>
      <c r="C1405" s="60">
        <f>'DATA HISTORICAL'!$C2050</f>
        <v>4483.55</v>
      </c>
      <c r="D1405" s="53">
        <f t="shared" si="42"/>
        <v>3.5526000363701742E-3</v>
      </c>
      <c r="E1405" s="53">
        <v>9.9028711163274899E-3</v>
      </c>
      <c r="G1405" s="90">
        <v>1397</v>
      </c>
      <c r="H1405" s="90">
        <f t="shared" ca="1" si="43"/>
        <v>1.0916417727171019E-2</v>
      </c>
    </row>
    <row r="1406" spans="2:8" x14ac:dyDescent="0.3">
      <c r="B1406" s="58">
        <f>'DATA HISTORICAL'!$B2051</f>
        <v>43850</v>
      </c>
      <c r="C1406" s="60">
        <f>'DATA HISTORICAL'!$C2051</f>
        <v>4467.6499999999996</v>
      </c>
      <c r="D1406" s="53">
        <f t="shared" si="42"/>
        <v>-4.2660656140524967E-3</v>
      </c>
      <c r="E1406" s="53">
        <v>9.8712355994365064E-3</v>
      </c>
      <c r="G1406" s="90">
        <v>1398</v>
      </c>
      <c r="H1406" s="90">
        <f t="shared" ca="1" si="43"/>
        <v>8.8643383922572538E-3</v>
      </c>
    </row>
    <row r="1407" spans="2:8" x14ac:dyDescent="0.3">
      <c r="B1407" s="58">
        <f>'DATA HISTORICAL'!$B2052</f>
        <v>43847</v>
      </c>
      <c r="C1407" s="60">
        <f>'DATA HISTORICAL'!$C2052</f>
        <v>4486.75</v>
      </c>
      <c r="D1407" s="53">
        <f t="shared" si="42"/>
        <v>3.2146113784798478E-3</v>
      </c>
      <c r="E1407" s="53">
        <v>9.8240766361812146E-3</v>
      </c>
      <c r="G1407" s="90">
        <v>1399</v>
      </c>
      <c r="H1407" s="90">
        <f t="shared" ca="1" si="43"/>
        <v>4.121218722632642E-2</v>
      </c>
    </row>
    <row r="1408" spans="2:8" x14ac:dyDescent="0.3">
      <c r="B1408" s="58">
        <f>'DATA HISTORICAL'!$B2053</f>
        <v>43846</v>
      </c>
      <c r="C1408" s="60">
        <f>'DATA HISTORICAL'!$C2053</f>
        <v>4472.3500000000004</v>
      </c>
      <c r="D1408" s="53">
        <f t="shared" si="42"/>
        <v>-7.6068014655584397E-3</v>
      </c>
      <c r="E1408" s="53">
        <v>9.8069359125291678E-3</v>
      </c>
      <c r="G1408" s="90">
        <v>1400</v>
      </c>
      <c r="H1408" s="90">
        <f t="shared" ca="1" si="43"/>
        <v>1.2338252128961807E-2</v>
      </c>
    </row>
    <row r="1409" spans="2:8" x14ac:dyDescent="0.3">
      <c r="B1409" s="58">
        <f>'DATA HISTORICAL'!$B2054</f>
        <v>43845</v>
      </c>
      <c r="C1409" s="60">
        <f>'DATA HISTORICAL'!$C2054</f>
        <v>4506.5</v>
      </c>
      <c r="D1409" s="53">
        <f t="shared" si="42"/>
        <v>5.1614166064662985E-3</v>
      </c>
      <c r="E1409" s="53">
        <v>9.7924413169966345E-3</v>
      </c>
      <c r="G1409" s="90">
        <v>1401</v>
      </c>
      <c r="H1409" s="90">
        <f t="shared" ca="1" si="43"/>
        <v>-8.1420680419337053E-3</v>
      </c>
    </row>
    <row r="1410" spans="2:8" x14ac:dyDescent="0.3">
      <c r="B1410" s="58">
        <f>'DATA HISTORICAL'!$B2055</f>
        <v>43844</v>
      </c>
      <c r="C1410" s="60">
        <f>'DATA HISTORICAL'!$C2055</f>
        <v>4483.3</v>
      </c>
      <c r="D1410" s="53">
        <f t="shared" si="42"/>
        <v>3.2618438214645487E-3</v>
      </c>
      <c r="E1410" s="53">
        <v>9.7915149660643998E-3</v>
      </c>
      <c r="G1410" s="90">
        <v>1402</v>
      </c>
      <c r="H1410" s="90">
        <f t="shared" ca="1" si="43"/>
        <v>-1.5720593328347486E-2</v>
      </c>
    </row>
    <row r="1411" spans="2:8" x14ac:dyDescent="0.3">
      <c r="B1411" s="58">
        <f>'DATA HISTORICAL'!$B2056</f>
        <v>43843</v>
      </c>
      <c r="C1411" s="60">
        <f>'DATA HISTORICAL'!$C2056</f>
        <v>4468.7</v>
      </c>
      <c r="D1411" s="53">
        <f t="shared" si="42"/>
        <v>5.4076624211653566E-3</v>
      </c>
      <c r="E1411" s="53">
        <v>9.7763132200707186E-3</v>
      </c>
      <c r="G1411" s="90">
        <v>1403</v>
      </c>
      <c r="H1411" s="90">
        <f t="shared" ca="1" si="43"/>
        <v>1.1849802723469575E-2</v>
      </c>
    </row>
    <row r="1412" spans="2:8" x14ac:dyDescent="0.3">
      <c r="B1412" s="58">
        <f>'DATA HISTORICAL'!$B2057</f>
        <v>43840</v>
      </c>
      <c r="C1412" s="60">
        <f>'DATA HISTORICAL'!$C2057</f>
        <v>4444.6000000000004</v>
      </c>
      <c r="D1412" s="53">
        <f t="shared" si="42"/>
        <v>1.2816333752247579E-2</v>
      </c>
      <c r="E1412" s="53">
        <v>9.7574925448039151E-3</v>
      </c>
      <c r="G1412" s="90">
        <v>1404</v>
      </c>
      <c r="H1412" s="90">
        <f t="shared" ca="1" si="43"/>
        <v>3.7082450443121279E-2</v>
      </c>
    </row>
    <row r="1413" spans="2:8" x14ac:dyDescent="0.3">
      <c r="B1413" s="58">
        <f>'DATA HISTORICAL'!$B2058</f>
        <v>43839</v>
      </c>
      <c r="C1413" s="60">
        <f>'DATA HISTORICAL'!$C2058</f>
        <v>4388</v>
      </c>
      <c r="D1413" s="53">
        <f t="shared" si="42"/>
        <v>1.586122525530919E-2</v>
      </c>
      <c r="E1413" s="53">
        <v>9.7288284595276539E-3</v>
      </c>
      <c r="G1413" s="90">
        <v>1405</v>
      </c>
      <c r="H1413" s="90">
        <f t="shared" ca="1" si="43"/>
        <v>1.0082590348226946E-2</v>
      </c>
    </row>
    <row r="1414" spans="2:8" x14ac:dyDescent="0.3">
      <c r="B1414" s="58">
        <f>'DATA HISTORICAL'!$B2059</f>
        <v>43838</v>
      </c>
      <c r="C1414" s="60">
        <f>'DATA HISTORICAL'!$C2059</f>
        <v>4318.95</v>
      </c>
      <c r="D1414" s="53">
        <f t="shared" si="42"/>
        <v>1.7953887507091114E-2</v>
      </c>
      <c r="E1414" s="53">
        <v>9.7157095040931816E-3</v>
      </c>
      <c r="G1414" s="90">
        <v>1406</v>
      </c>
      <c r="H1414" s="90">
        <f t="shared" ca="1" si="43"/>
        <v>1.3221103289630321E-2</v>
      </c>
    </row>
    <row r="1415" spans="2:8" x14ac:dyDescent="0.3">
      <c r="B1415" s="58">
        <f>'DATA HISTORICAL'!$B2060</f>
        <v>43837</v>
      </c>
      <c r="C1415" s="60">
        <f>'DATA HISTORICAL'!$C2060</f>
        <v>4242.1000000000004</v>
      </c>
      <c r="D1415" s="53">
        <f t="shared" si="42"/>
        <v>2.0240713859941358E-2</v>
      </c>
      <c r="E1415" s="53">
        <v>9.7103170841316127E-3</v>
      </c>
      <c r="G1415" s="90">
        <v>1407</v>
      </c>
      <c r="H1415" s="90">
        <f t="shared" ca="1" si="43"/>
        <v>5.8341053011613034E-3</v>
      </c>
    </row>
    <row r="1416" spans="2:8" x14ac:dyDescent="0.3">
      <c r="B1416" s="58">
        <f>'DATA HISTORICAL'!$B2061</f>
        <v>43836</v>
      </c>
      <c r="C1416" s="60">
        <f>'DATA HISTORICAL'!$C2061</f>
        <v>4157.1000000000004</v>
      </c>
      <c r="D1416" s="53">
        <f t="shared" si="42"/>
        <v>-1.4827820826242998E-2</v>
      </c>
      <c r="E1416" s="53">
        <v>9.7041696408117929E-3</v>
      </c>
      <c r="G1416" s="90">
        <v>1408</v>
      </c>
      <c r="H1416" s="90">
        <f t="shared" ca="1" si="43"/>
        <v>2.4071694205146689E-2</v>
      </c>
    </row>
    <row r="1417" spans="2:8" x14ac:dyDescent="0.3">
      <c r="B1417" s="58">
        <f>'DATA HISTORICAL'!$B2062</f>
        <v>43833</v>
      </c>
      <c r="C1417" s="60">
        <f>'DATA HISTORICAL'!$C2062</f>
        <v>4219.2</v>
      </c>
      <c r="D1417" s="53">
        <f t="shared" ref="D1417:D1480" si="44">LN(C1417/C1418)</f>
        <v>-6.0491677844530019E-3</v>
      </c>
      <c r="E1417" s="53">
        <v>9.7024737252872639E-3</v>
      </c>
      <c r="G1417" s="90">
        <v>1409</v>
      </c>
      <c r="H1417" s="90">
        <f t="shared" ref="H1417:H1480" ca="1" si="45">_xlfn.NORM.INV(RAND(),N$10,N$11)</f>
        <v>1.1127821549190051E-2</v>
      </c>
    </row>
    <row r="1418" spans="2:8" x14ac:dyDescent="0.3">
      <c r="B1418" s="58">
        <f>'DATA HISTORICAL'!$B2063</f>
        <v>43832</v>
      </c>
      <c r="C1418" s="60">
        <f>'DATA HISTORICAL'!$C2063</f>
        <v>4244.8</v>
      </c>
      <c r="D1418" s="53">
        <f t="shared" si="44"/>
        <v>4.3280961401564261E-2</v>
      </c>
      <c r="E1418" s="53">
        <v>9.6931292056597514E-3</v>
      </c>
      <c r="G1418" s="90">
        <v>1410</v>
      </c>
      <c r="H1418" s="90">
        <f t="shared" ca="1" si="45"/>
        <v>-1.3197439636209996E-2</v>
      </c>
    </row>
    <row r="1419" spans="2:8" x14ac:dyDescent="0.3">
      <c r="B1419" s="58">
        <f>'DATA HISTORICAL'!$B2064</f>
        <v>43831</v>
      </c>
      <c r="C1419" s="60">
        <f>'DATA HISTORICAL'!$C2064</f>
        <v>4065</v>
      </c>
      <c r="D1419" s="53">
        <f t="shared" si="44"/>
        <v>4.6726464462479066E-3</v>
      </c>
      <c r="E1419" s="53">
        <v>9.6912220398810613E-3</v>
      </c>
      <c r="G1419" s="90">
        <v>1411</v>
      </c>
      <c r="H1419" s="90">
        <f t="shared" ca="1" si="45"/>
        <v>-1.618404712988214E-2</v>
      </c>
    </row>
    <row r="1420" spans="2:8" x14ac:dyDescent="0.3">
      <c r="B1420" s="58">
        <f>'DATA HISTORICAL'!$B2065</f>
        <v>43830</v>
      </c>
      <c r="C1420" s="60">
        <f>'DATA HISTORICAL'!$C2065</f>
        <v>4046.05</v>
      </c>
      <c r="D1420" s="53">
        <f t="shared" si="44"/>
        <v>-1.457150171387752E-3</v>
      </c>
      <c r="E1420" s="53">
        <v>9.6857482352479887E-3</v>
      </c>
      <c r="G1420" s="90">
        <v>1412</v>
      </c>
      <c r="H1420" s="90">
        <f t="shared" ca="1" si="45"/>
        <v>-3.7543667139386073E-3</v>
      </c>
    </row>
    <row r="1421" spans="2:8" x14ac:dyDescent="0.3">
      <c r="B1421" s="58">
        <f>'DATA HISTORICAL'!$B2066</f>
        <v>43829</v>
      </c>
      <c r="C1421" s="60">
        <f>'DATA HISTORICAL'!$C2066</f>
        <v>4051.95</v>
      </c>
      <c r="D1421" s="53">
        <f t="shared" si="44"/>
        <v>-9.003953713739893E-4</v>
      </c>
      <c r="E1421" s="53">
        <v>9.6774083427105632E-3</v>
      </c>
      <c r="G1421" s="90">
        <v>1413</v>
      </c>
      <c r="H1421" s="90">
        <f t="shared" ca="1" si="45"/>
        <v>1.1238321630360905E-2</v>
      </c>
    </row>
    <row r="1422" spans="2:8" x14ac:dyDescent="0.3">
      <c r="B1422" s="58">
        <f>'DATA HISTORICAL'!$B2067</f>
        <v>43826</v>
      </c>
      <c r="C1422" s="60">
        <f>'DATA HISTORICAL'!$C2067</f>
        <v>4055.6</v>
      </c>
      <c r="D1422" s="53">
        <f t="shared" si="44"/>
        <v>-1.761442127693236E-3</v>
      </c>
      <c r="E1422" s="53">
        <v>9.6683065475099937E-3</v>
      </c>
      <c r="G1422" s="90">
        <v>1414</v>
      </c>
      <c r="H1422" s="90">
        <f t="shared" ca="1" si="45"/>
        <v>3.4933109360853171E-2</v>
      </c>
    </row>
    <row r="1423" spans="2:8" x14ac:dyDescent="0.3">
      <c r="B1423" s="58">
        <f>'DATA HISTORICAL'!$B2068</f>
        <v>43825</v>
      </c>
      <c r="C1423" s="60">
        <f>'DATA HISTORICAL'!$C2068</f>
        <v>4062.75</v>
      </c>
      <c r="D1423" s="53">
        <f t="shared" si="44"/>
        <v>-8.4803390541747549E-3</v>
      </c>
      <c r="E1423" s="53">
        <v>9.6528118548539141E-3</v>
      </c>
      <c r="G1423" s="90">
        <v>1415</v>
      </c>
      <c r="H1423" s="90">
        <f t="shared" ca="1" si="45"/>
        <v>1.9233550268284189E-2</v>
      </c>
    </row>
    <row r="1424" spans="2:8" x14ac:dyDescent="0.3">
      <c r="B1424" s="58">
        <f>'DATA HISTORICAL'!$B2069</f>
        <v>43823</v>
      </c>
      <c r="C1424" s="60">
        <f>'DATA HISTORICAL'!$C2069</f>
        <v>4097.3500000000004</v>
      </c>
      <c r="D1424" s="53">
        <f t="shared" si="44"/>
        <v>3.7778569857769748E-3</v>
      </c>
      <c r="E1424" s="53">
        <v>9.5974709850504304E-3</v>
      </c>
      <c r="G1424" s="90">
        <v>1416</v>
      </c>
      <c r="H1424" s="90">
        <f t="shared" ca="1" si="45"/>
        <v>1.2744991078894232E-2</v>
      </c>
    </row>
    <row r="1425" spans="2:8" x14ac:dyDescent="0.3">
      <c r="B1425" s="58">
        <f>'DATA HISTORICAL'!$B2070</f>
        <v>43822</v>
      </c>
      <c r="C1425" s="60">
        <f>'DATA HISTORICAL'!$C2070</f>
        <v>4081.9</v>
      </c>
      <c r="D1425" s="53">
        <f t="shared" si="44"/>
        <v>-9.3998144055966737E-3</v>
      </c>
      <c r="E1425" s="53">
        <v>9.5844101589920121E-3</v>
      </c>
      <c r="G1425" s="90">
        <v>1417</v>
      </c>
      <c r="H1425" s="90">
        <f t="shared" ca="1" si="45"/>
        <v>1.8176225091522197E-2</v>
      </c>
    </row>
    <row r="1426" spans="2:8" x14ac:dyDescent="0.3">
      <c r="B1426" s="58">
        <f>'DATA HISTORICAL'!$B2071</f>
        <v>43819</v>
      </c>
      <c r="C1426" s="60">
        <f>'DATA HISTORICAL'!$C2071</f>
        <v>4120.45</v>
      </c>
      <c r="D1426" s="53">
        <f t="shared" si="44"/>
        <v>2.0250008599826411E-2</v>
      </c>
      <c r="E1426" s="53">
        <v>9.551447433437216E-3</v>
      </c>
      <c r="G1426" s="90">
        <v>1418</v>
      </c>
      <c r="H1426" s="90">
        <f t="shared" ca="1" si="45"/>
        <v>-5.3727115021960647E-4</v>
      </c>
    </row>
    <row r="1427" spans="2:8" x14ac:dyDescent="0.3">
      <c r="B1427" s="58">
        <f>'DATA HISTORICAL'!$B2072</f>
        <v>43818</v>
      </c>
      <c r="C1427" s="60">
        <f>'DATA HISTORICAL'!$C2072</f>
        <v>4037.85</v>
      </c>
      <c r="D1427" s="53">
        <f t="shared" si="44"/>
        <v>-6.7997670445755186E-3</v>
      </c>
      <c r="E1427" s="53">
        <v>9.5496073736093309E-3</v>
      </c>
      <c r="G1427" s="90">
        <v>1419</v>
      </c>
      <c r="H1427" s="90">
        <f t="shared" ca="1" si="45"/>
        <v>7.7115743690247245E-3</v>
      </c>
    </row>
    <row r="1428" spans="2:8" x14ac:dyDescent="0.3">
      <c r="B1428" s="58">
        <f>'DATA HISTORICAL'!$B2073</f>
        <v>43817</v>
      </c>
      <c r="C1428" s="60">
        <f>'DATA HISTORICAL'!$C2073</f>
        <v>4065.4</v>
      </c>
      <c r="D1428" s="53">
        <f t="shared" si="44"/>
        <v>-1.3231794952440604E-2</v>
      </c>
      <c r="E1428" s="53">
        <v>9.5409077231091589E-3</v>
      </c>
      <c r="G1428" s="90">
        <v>1420</v>
      </c>
      <c r="H1428" s="90">
        <f t="shared" ca="1" si="45"/>
        <v>9.6929901593901958E-3</v>
      </c>
    </row>
    <row r="1429" spans="2:8" x14ac:dyDescent="0.3">
      <c r="B1429" s="58">
        <f>'DATA HISTORICAL'!$B2074</f>
        <v>43816</v>
      </c>
      <c r="C1429" s="60">
        <f>'DATA HISTORICAL'!$C2074</f>
        <v>4119.55</v>
      </c>
      <c r="D1429" s="53">
        <f t="shared" si="44"/>
        <v>1.42531260939921E-2</v>
      </c>
      <c r="E1429" s="53">
        <v>9.5319020031716939E-3</v>
      </c>
      <c r="G1429" s="90">
        <v>1421</v>
      </c>
      <c r="H1429" s="90">
        <f t="shared" ca="1" si="45"/>
        <v>4.0142167136274177E-3</v>
      </c>
    </row>
    <row r="1430" spans="2:8" x14ac:dyDescent="0.3">
      <c r="B1430" s="58">
        <f>'DATA HISTORICAL'!$B2075</f>
        <v>43815</v>
      </c>
      <c r="C1430" s="60">
        <f>'DATA HISTORICAL'!$C2075</f>
        <v>4061.25</v>
      </c>
      <c r="D1430" s="53">
        <f t="shared" si="44"/>
        <v>-5.2432323561735512E-3</v>
      </c>
      <c r="E1430" s="53">
        <v>9.5282834145029565E-3</v>
      </c>
      <c r="G1430" s="90">
        <v>1422</v>
      </c>
      <c r="H1430" s="90">
        <f t="shared" ca="1" si="45"/>
        <v>1.1110819657167773E-2</v>
      </c>
    </row>
    <row r="1431" spans="2:8" x14ac:dyDescent="0.3">
      <c r="B1431" s="58">
        <f>'DATA HISTORICAL'!$B2076</f>
        <v>43812</v>
      </c>
      <c r="C1431" s="60">
        <f>'DATA HISTORICAL'!$C2076</f>
        <v>4082.6</v>
      </c>
      <c r="D1431" s="53">
        <f t="shared" si="44"/>
        <v>2.2416632121677247E-2</v>
      </c>
      <c r="E1431" s="53">
        <v>9.5280743466432064E-3</v>
      </c>
      <c r="G1431" s="90">
        <v>1423</v>
      </c>
      <c r="H1431" s="90">
        <f t="shared" ca="1" si="45"/>
        <v>-4.3451324897719176E-2</v>
      </c>
    </row>
    <row r="1432" spans="2:8" x14ac:dyDescent="0.3">
      <c r="B1432" s="58">
        <f>'DATA HISTORICAL'!$B2077</f>
        <v>43811</v>
      </c>
      <c r="C1432" s="60">
        <f>'DATA HISTORICAL'!$C2077</f>
        <v>3992.1</v>
      </c>
      <c r="D1432" s="53">
        <f t="shared" si="44"/>
        <v>-2.2644115640157859E-3</v>
      </c>
      <c r="E1432" s="53">
        <v>9.5200792715900758E-3</v>
      </c>
      <c r="G1432" s="90">
        <v>1424</v>
      </c>
      <c r="H1432" s="90">
        <f t="shared" ca="1" si="45"/>
        <v>1.8272147555217316E-2</v>
      </c>
    </row>
    <row r="1433" spans="2:8" x14ac:dyDescent="0.3">
      <c r="B1433" s="58">
        <f>'DATA HISTORICAL'!$B2078</f>
        <v>43810</v>
      </c>
      <c r="C1433" s="60">
        <f>'DATA HISTORICAL'!$C2078</f>
        <v>4001.15</v>
      </c>
      <c r="D1433" s="53">
        <f t="shared" si="44"/>
        <v>-9.3286579141678965E-3</v>
      </c>
      <c r="E1433" s="53">
        <v>9.5019430718868703E-3</v>
      </c>
      <c r="G1433" s="90">
        <v>1425</v>
      </c>
      <c r="H1433" s="90">
        <f t="shared" ca="1" si="45"/>
        <v>-1.281482983398427E-2</v>
      </c>
    </row>
    <row r="1434" spans="2:8" x14ac:dyDescent="0.3">
      <c r="B1434" s="58">
        <f>'DATA HISTORICAL'!$B2079</f>
        <v>43809</v>
      </c>
      <c r="C1434" s="60">
        <f>'DATA HISTORICAL'!$C2079</f>
        <v>4038.65</v>
      </c>
      <c r="D1434" s="53">
        <f t="shared" si="44"/>
        <v>-2.7547193093991545E-2</v>
      </c>
      <c r="E1434" s="53">
        <v>9.5019094634187298E-3</v>
      </c>
      <c r="G1434" s="90">
        <v>1426</v>
      </c>
      <c r="H1434" s="90">
        <f t="shared" ca="1" si="45"/>
        <v>-7.7909350052143026E-3</v>
      </c>
    </row>
    <row r="1435" spans="2:8" x14ac:dyDescent="0.3">
      <c r="B1435" s="58">
        <f>'DATA HISTORICAL'!$B2080</f>
        <v>43808</v>
      </c>
      <c r="C1435" s="60">
        <f>'DATA HISTORICAL'!$C2080</f>
        <v>4151.45</v>
      </c>
      <c r="D1435" s="53">
        <f t="shared" si="44"/>
        <v>-1.5404429411818915E-3</v>
      </c>
      <c r="E1435" s="53">
        <v>9.4950278649625075E-3</v>
      </c>
      <c r="G1435" s="90">
        <v>1427</v>
      </c>
      <c r="H1435" s="90">
        <f t="shared" ca="1" si="45"/>
        <v>1.1267143933661853E-2</v>
      </c>
    </row>
    <row r="1436" spans="2:8" x14ac:dyDescent="0.3">
      <c r="B1436" s="58">
        <f>'DATA HISTORICAL'!$B2081</f>
        <v>43805</v>
      </c>
      <c r="C1436" s="60">
        <f>'DATA HISTORICAL'!$C2081</f>
        <v>4157.8500000000004</v>
      </c>
      <c r="D1436" s="53">
        <f t="shared" si="44"/>
        <v>-7.4529983735550866E-4</v>
      </c>
      <c r="E1436" s="53">
        <v>9.4879325892881124E-3</v>
      </c>
      <c r="G1436" s="90">
        <v>1428</v>
      </c>
      <c r="H1436" s="90">
        <f t="shared" ca="1" si="45"/>
        <v>1.504645513679825E-3</v>
      </c>
    </row>
    <row r="1437" spans="2:8" x14ac:dyDescent="0.3">
      <c r="B1437" s="58">
        <f>'DATA HISTORICAL'!$B2082</f>
        <v>43804</v>
      </c>
      <c r="C1437" s="60">
        <f>'DATA HISTORICAL'!$C2082</f>
        <v>4160.95</v>
      </c>
      <c r="D1437" s="53">
        <f t="shared" si="44"/>
        <v>-8.6623099405728453E-3</v>
      </c>
      <c r="E1437" s="53">
        <v>9.4851460682432321E-3</v>
      </c>
      <c r="G1437" s="90">
        <v>1429</v>
      </c>
      <c r="H1437" s="90">
        <f t="shared" ca="1" si="45"/>
        <v>5.4772613935626423E-3</v>
      </c>
    </row>
    <row r="1438" spans="2:8" x14ac:dyDescent="0.3">
      <c r="B1438" s="58">
        <f>'DATA HISTORICAL'!$B2083</f>
        <v>43803</v>
      </c>
      <c r="C1438" s="60">
        <f>'DATA HISTORICAL'!$C2083</f>
        <v>4197.1499999999996</v>
      </c>
      <c r="D1438" s="53">
        <f t="shared" si="44"/>
        <v>-3.4606431369233978E-3</v>
      </c>
      <c r="E1438" s="53">
        <v>9.4849443705917798E-3</v>
      </c>
      <c r="G1438" s="90">
        <v>1430</v>
      </c>
      <c r="H1438" s="90">
        <f t="shared" ca="1" si="45"/>
        <v>1.2418247786397045E-2</v>
      </c>
    </row>
    <row r="1439" spans="2:8" x14ac:dyDescent="0.3">
      <c r="B1439" s="58">
        <f>'DATA HISTORICAL'!$B2084</f>
        <v>43802</v>
      </c>
      <c r="C1439" s="60">
        <f>'DATA HISTORICAL'!$C2084</f>
        <v>4211.7</v>
      </c>
      <c r="D1439" s="53">
        <f t="shared" si="44"/>
        <v>-1.5210090645799224E-2</v>
      </c>
      <c r="E1439" s="53">
        <v>9.4565565911339123E-3</v>
      </c>
      <c r="G1439" s="90">
        <v>1431</v>
      </c>
      <c r="H1439" s="90">
        <f t="shared" ca="1" si="45"/>
        <v>-7.2535199787809113E-3</v>
      </c>
    </row>
    <row r="1440" spans="2:8" x14ac:dyDescent="0.3">
      <c r="B1440" s="58">
        <f>'DATA HISTORICAL'!$B2085</f>
        <v>43801</v>
      </c>
      <c r="C1440" s="60">
        <f>'DATA HISTORICAL'!$C2085</f>
        <v>4276.25</v>
      </c>
      <c r="D1440" s="53">
        <f t="shared" si="44"/>
        <v>4.0185869541764724E-3</v>
      </c>
      <c r="E1440" s="53">
        <v>9.4477528869151162E-3</v>
      </c>
      <c r="G1440" s="90">
        <v>1432</v>
      </c>
      <c r="H1440" s="90">
        <f t="shared" ca="1" si="45"/>
        <v>-1.5490621643758556E-2</v>
      </c>
    </row>
    <row r="1441" spans="2:8" x14ac:dyDescent="0.3">
      <c r="B1441" s="58">
        <f>'DATA HISTORICAL'!$B2086</f>
        <v>43798</v>
      </c>
      <c r="C1441" s="60">
        <f>'DATA HISTORICAL'!$C2086</f>
        <v>4259.1000000000004</v>
      </c>
      <c r="D1441" s="53">
        <f t="shared" si="44"/>
        <v>-8.3238339799522679E-3</v>
      </c>
      <c r="E1441" s="53">
        <v>9.4359581423554585E-3</v>
      </c>
      <c r="G1441" s="90">
        <v>1433</v>
      </c>
      <c r="H1441" s="90">
        <f t="shared" ca="1" si="45"/>
        <v>3.1377077019077083E-2</v>
      </c>
    </row>
    <row r="1442" spans="2:8" x14ac:dyDescent="0.3">
      <c r="B1442" s="58">
        <f>'DATA HISTORICAL'!$B2087</f>
        <v>43797</v>
      </c>
      <c r="C1442" s="60">
        <f>'DATA HISTORICAL'!$C2087</f>
        <v>4294.7</v>
      </c>
      <c r="D1442" s="53">
        <f t="shared" si="44"/>
        <v>1.4081024274790412E-2</v>
      </c>
      <c r="E1442" s="53">
        <v>9.4223813784123263E-3</v>
      </c>
      <c r="G1442" s="90">
        <v>1434</v>
      </c>
      <c r="H1442" s="90">
        <f t="shared" ca="1" si="45"/>
        <v>-2.2893147933492296E-2</v>
      </c>
    </row>
    <row r="1443" spans="2:8" x14ac:dyDescent="0.3">
      <c r="B1443" s="58">
        <f>'DATA HISTORICAL'!$B2088</f>
        <v>43796</v>
      </c>
      <c r="C1443" s="60">
        <f>'DATA HISTORICAL'!$C2088</f>
        <v>4234.6499999999996</v>
      </c>
      <c r="D1443" s="53">
        <f t="shared" si="44"/>
        <v>2.9184461207536764E-2</v>
      </c>
      <c r="E1443" s="53">
        <v>9.4037425121731993E-3</v>
      </c>
      <c r="G1443" s="90">
        <v>1435</v>
      </c>
      <c r="H1443" s="90">
        <f t="shared" ca="1" si="45"/>
        <v>5.3230733232954075E-2</v>
      </c>
    </row>
    <row r="1444" spans="2:8" x14ac:dyDescent="0.3">
      <c r="B1444" s="58">
        <f>'DATA HISTORICAL'!$B2089</f>
        <v>43795</v>
      </c>
      <c r="C1444" s="60">
        <f>'DATA HISTORICAL'!$C2089</f>
        <v>4112.8500000000004</v>
      </c>
      <c r="D1444" s="53">
        <f t="shared" si="44"/>
        <v>-1.4587360078372337E-4</v>
      </c>
      <c r="E1444" s="53">
        <v>9.387159749213678E-3</v>
      </c>
      <c r="G1444" s="90">
        <v>1436</v>
      </c>
      <c r="H1444" s="90">
        <f t="shared" ca="1" si="45"/>
        <v>5.3922631126276724E-3</v>
      </c>
    </row>
    <row r="1445" spans="2:8" x14ac:dyDescent="0.3">
      <c r="B1445" s="58">
        <f>'DATA HISTORICAL'!$B2090</f>
        <v>43794</v>
      </c>
      <c r="C1445" s="60">
        <f>'DATA HISTORICAL'!$C2090</f>
        <v>4113.45</v>
      </c>
      <c r="D1445" s="53">
        <f t="shared" si="44"/>
        <v>7.8832810085823005E-3</v>
      </c>
      <c r="E1445" s="53">
        <v>9.3747756994239043E-3</v>
      </c>
      <c r="G1445" s="90">
        <v>1437</v>
      </c>
      <c r="H1445" s="90">
        <f t="shared" ca="1" si="45"/>
        <v>3.4647293518431398E-2</v>
      </c>
    </row>
    <row r="1446" spans="2:8" x14ac:dyDescent="0.3">
      <c r="B1446" s="58">
        <f>'DATA HISTORICAL'!$B2091</f>
        <v>43791</v>
      </c>
      <c r="C1446" s="60">
        <f>'DATA HISTORICAL'!$C2091</f>
        <v>4081.15</v>
      </c>
      <c r="D1446" s="53">
        <f t="shared" si="44"/>
        <v>9.5606989043747336E-4</v>
      </c>
      <c r="E1446" s="53">
        <v>9.3535249305454742E-3</v>
      </c>
      <c r="G1446" s="90">
        <v>1438</v>
      </c>
      <c r="H1446" s="90">
        <f t="shared" ca="1" si="45"/>
        <v>-6.7991500869810243E-3</v>
      </c>
    </row>
    <row r="1447" spans="2:8" x14ac:dyDescent="0.3">
      <c r="B1447" s="58">
        <f>'DATA HISTORICAL'!$B2092</f>
        <v>43790</v>
      </c>
      <c r="C1447" s="60">
        <f>'DATA HISTORICAL'!$C2092</f>
        <v>4077.25</v>
      </c>
      <c r="D1447" s="53">
        <f t="shared" si="44"/>
        <v>-8.9852032237999688E-3</v>
      </c>
      <c r="E1447" s="53">
        <v>9.3468476248675086E-3</v>
      </c>
      <c r="G1447" s="90">
        <v>1439</v>
      </c>
      <c r="H1447" s="90">
        <f t="shared" ca="1" si="45"/>
        <v>1.6867765241921462E-2</v>
      </c>
    </row>
    <row r="1448" spans="2:8" x14ac:dyDescent="0.3">
      <c r="B1448" s="58">
        <f>'DATA HISTORICAL'!$B2093</f>
        <v>43789</v>
      </c>
      <c r="C1448" s="60">
        <f>'DATA HISTORICAL'!$C2093</f>
        <v>4114.05</v>
      </c>
      <c r="D1448" s="53">
        <f t="shared" si="44"/>
        <v>3.3843863718025129E-3</v>
      </c>
      <c r="E1448" s="53">
        <v>9.3348932361546084E-3</v>
      </c>
      <c r="G1448" s="90">
        <v>1440</v>
      </c>
      <c r="H1448" s="90">
        <f t="shared" ca="1" si="45"/>
        <v>3.1264148745096796E-3</v>
      </c>
    </row>
    <row r="1449" spans="2:8" x14ac:dyDescent="0.3">
      <c r="B1449" s="58">
        <f>'DATA HISTORICAL'!$B2094</f>
        <v>43788</v>
      </c>
      <c r="C1449" s="60">
        <f>'DATA HISTORICAL'!$C2094</f>
        <v>4100.1499999999996</v>
      </c>
      <c r="D1449" s="53">
        <f t="shared" si="44"/>
        <v>-6.3696805649922066E-3</v>
      </c>
      <c r="E1449" s="53">
        <v>9.3145087887199496E-3</v>
      </c>
      <c r="G1449" s="90">
        <v>1441</v>
      </c>
      <c r="H1449" s="90">
        <f t="shared" ca="1" si="45"/>
        <v>1.4123041804654464E-2</v>
      </c>
    </row>
    <row r="1450" spans="2:8" x14ac:dyDescent="0.3">
      <c r="B1450" s="58">
        <f>'DATA HISTORICAL'!$B2095</f>
        <v>43787</v>
      </c>
      <c r="C1450" s="60">
        <f>'DATA HISTORICAL'!$C2095</f>
        <v>4126.3500000000004</v>
      </c>
      <c r="D1450" s="53">
        <f t="shared" si="44"/>
        <v>1.1933708590978196E-2</v>
      </c>
      <c r="E1450" s="53">
        <v>9.2988529301473756E-3</v>
      </c>
      <c r="G1450" s="90">
        <v>1442</v>
      </c>
      <c r="H1450" s="90">
        <f t="shared" ca="1" si="45"/>
        <v>2.847390672412747E-2</v>
      </c>
    </row>
    <row r="1451" spans="2:8" x14ac:dyDescent="0.3">
      <c r="B1451" s="58">
        <f>'DATA HISTORICAL'!$B2096</f>
        <v>43784</v>
      </c>
      <c r="C1451" s="60">
        <f>'DATA HISTORICAL'!$C2096</f>
        <v>4077.4</v>
      </c>
      <c r="D1451" s="53">
        <f t="shared" si="44"/>
        <v>1.8315530306432976E-2</v>
      </c>
      <c r="E1451" s="53">
        <v>9.2876348209382752E-3</v>
      </c>
      <c r="G1451" s="90">
        <v>1443</v>
      </c>
      <c r="H1451" s="90">
        <f t="shared" ca="1" si="45"/>
        <v>9.1758651216021104E-3</v>
      </c>
    </row>
    <row r="1452" spans="2:8" x14ac:dyDescent="0.3">
      <c r="B1452" s="58">
        <f>'DATA HISTORICAL'!$B2097</f>
        <v>43783</v>
      </c>
      <c r="C1452" s="60">
        <f>'DATA HISTORICAL'!$C2097</f>
        <v>4003.4</v>
      </c>
      <c r="D1452" s="53">
        <f t="shared" si="44"/>
        <v>-2.7640631445049677E-2</v>
      </c>
      <c r="E1452" s="53">
        <v>9.2824963380791509E-3</v>
      </c>
      <c r="G1452" s="90">
        <v>1444</v>
      </c>
      <c r="H1452" s="90">
        <f t="shared" ca="1" si="45"/>
        <v>-1.1488618626762339E-2</v>
      </c>
    </row>
    <row r="1453" spans="2:8" x14ac:dyDescent="0.3">
      <c r="B1453" s="58">
        <f>'DATA HISTORICAL'!$B2098</f>
        <v>43782</v>
      </c>
      <c r="C1453" s="60">
        <f>'DATA HISTORICAL'!$C2098</f>
        <v>4115.6000000000004</v>
      </c>
      <c r="D1453" s="53">
        <f t="shared" si="44"/>
        <v>-5.1983419394157791E-3</v>
      </c>
      <c r="E1453" s="53">
        <v>9.2781996860565978E-3</v>
      </c>
      <c r="G1453" s="90">
        <v>1445</v>
      </c>
      <c r="H1453" s="90">
        <f t="shared" ca="1" si="45"/>
        <v>-1.6827432534965891E-2</v>
      </c>
    </row>
    <row r="1454" spans="2:8" x14ac:dyDescent="0.3">
      <c r="B1454" s="58">
        <f>'DATA HISTORICAL'!$B2099</f>
        <v>43780</v>
      </c>
      <c r="C1454" s="60">
        <f>'DATA HISTORICAL'!$C2099</f>
        <v>4137.05</v>
      </c>
      <c r="D1454" s="53">
        <f t="shared" si="44"/>
        <v>-2.4624905313133886E-3</v>
      </c>
      <c r="E1454" s="53">
        <v>9.2569632201624178E-3</v>
      </c>
      <c r="G1454" s="90">
        <v>1446</v>
      </c>
      <c r="H1454" s="90">
        <f t="shared" ca="1" si="45"/>
        <v>-1.6464471192809665E-2</v>
      </c>
    </row>
    <row r="1455" spans="2:8" x14ac:dyDescent="0.3">
      <c r="B1455" s="58">
        <f>'DATA HISTORICAL'!$B2100</f>
        <v>43777</v>
      </c>
      <c r="C1455" s="60">
        <f>'DATA HISTORICAL'!$C2100</f>
        <v>4147.25</v>
      </c>
      <c r="D1455" s="53">
        <f t="shared" si="44"/>
        <v>-9.6345522787764527E-3</v>
      </c>
      <c r="E1455" s="53">
        <v>9.2517320073669009E-3</v>
      </c>
      <c r="G1455" s="90">
        <v>1447</v>
      </c>
      <c r="H1455" s="90">
        <f t="shared" ca="1" si="45"/>
        <v>-9.3031770276745269E-4</v>
      </c>
    </row>
    <row r="1456" spans="2:8" x14ac:dyDescent="0.3">
      <c r="B1456" s="58">
        <f>'DATA HISTORICAL'!$B2101</f>
        <v>43776</v>
      </c>
      <c r="C1456" s="60">
        <f>'DATA HISTORICAL'!$C2101</f>
        <v>4187.3999999999996</v>
      </c>
      <c r="D1456" s="53">
        <f t="shared" si="44"/>
        <v>1.2435505467593653E-2</v>
      </c>
      <c r="E1456" s="53">
        <v>9.2136754603657587E-3</v>
      </c>
      <c r="G1456" s="90">
        <v>1448</v>
      </c>
      <c r="H1456" s="90">
        <f t="shared" ca="1" si="45"/>
        <v>4.5727528555258926E-3</v>
      </c>
    </row>
    <row r="1457" spans="2:8" x14ac:dyDescent="0.3">
      <c r="B1457" s="58">
        <f>'DATA HISTORICAL'!$B2102</f>
        <v>43775</v>
      </c>
      <c r="C1457" s="60">
        <f>'DATA HISTORICAL'!$C2102</f>
        <v>4135.6499999999996</v>
      </c>
      <c r="D1457" s="53">
        <f t="shared" si="44"/>
        <v>-2.8371210801726742E-3</v>
      </c>
      <c r="E1457" s="53">
        <v>9.1845597431822988E-3</v>
      </c>
      <c r="G1457" s="90">
        <v>1449</v>
      </c>
      <c r="H1457" s="90">
        <f t="shared" ca="1" si="45"/>
        <v>3.5986144447454592E-2</v>
      </c>
    </row>
    <row r="1458" spans="2:8" x14ac:dyDescent="0.3">
      <c r="B1458" s="58">
        <f>'DATA HISTORICAL'!$B2103</f>
        <v>43774</v>
      </c>
      <c r="C1458" s="60">
        <f>'DATA HISTORICAL'!$C2103</f>
        <v>4147.3999999999996</v>
      </c>
      <c r="D1458" s="53">
        <f t="shared" si="44"/>
        <v>-2.177498657613185E-2</v>
      </c>
      <c r="E1458" s="53">
        <v>9.1769050401753934E-3</v>
      </c>
      <c r="G1458" s="90">
        <v>1450</v>
      </c>
      <c r="H1458" s="90">
        <f t="shared" ca="1" si="45"/>
        <v>1.9565818936110341E-2</v>
      </c>
    </row>
    <row r="1459" spans="2:8" x14ac:dyDescent="0.3">
      <c r="B1459" s="58">
        <f>'DATA HISTORICAL'!$B2104</f>
        <v>43773</v>
      </c>
      <c r="C1459" s="60">
        <f>'DATA HISTORICAL'!$C2104</f>
        <v>4238.7</v>
      </c>
      <c r="D1459" s="53">
        <f t="shared" si="44"/>
        <v>1.8080704894645708E-2</v>
      </c>
      <c r="E1459" s="53">
        <v>9.1754077609740668E-3</v>
      </c>
      <c r="G1459" s="90">
        <v>1451</v>
      </c>
      <c r="H1459" s="90">
        <f t="shared" ca="1" si="45"/>
        <v>-7.2217453850340315E-3</v>
      </c>
    </row>
    <row r="1460" spans="2:8" x14ac:dyDescent="0.3">
      <c r="B1460" s="58">
        <f>'DATA HISTORICAL'!$B2105</f>
        <v>43770</v>
      </c>
      <c r="C1460" s="60">
        <f>'DATA HISTORICAL'!$C2105</f>
        <v>4162.75</v>
      </c>
      <c r="D1460" s="53">
        <f t="shared" si="44"/>
        <v>4.7074774355444519E-3</v>
      </c>
      <c r="E1460" s="53">
        <v>9.1627724447653786E-3</v>
      </c>
      <c r="G1460" s="90">
        <v>1452</v>
      </c>
      <c r="H1460" s="90">
        <f t="shared" ca="1" si="45"/>
        <v>-7.329417405685535E-4</v>
      </c>
    </row>
    <row r="1461" spans="2:8" x14ac:dyDescent="0.3">
      <c r="B1461" s="58">
        <f>'DATA HISTORICAL'!$B2106</f>
        <v>43769</v>
      </c>
      <c r="C1461" s="60">
        <f>'DATA HISTORICAL'!$C2106</f>
        <v>4143.2</v>
      </c>
      <c r="D1461" s="53">
        <f t="shared" si="44"/>
        <v>4.9601476016446263E-3</v>
      </c>
      <c r="E1461" s="53">
        <v>9.1541355106255842E-3</v>
      </c>
      <c r="G1461" s="90">
        <v>1453</v>
      </c>
      <c r="H1461" s="90">
        <f t="shared" ca="1" si="45"/>
        <v>1.4097008473396806E-2</v>
      </c>
    </row>
    <row r="1462" spans="2:8" x14ac:dyDescent="0.3">
      <c r="B1462" s="58">
        <f>'DATA HISTORICAL'!$B2107</f>
        <v>43768</v>
      </c>
      <c r="C1462" s="60">
        <f>'DATA HISTORICAL'!$C2107</f>
        <v>4122.7</v>
      </c>
      <c r="D1462" s="53">
        <f t="shared" si="44"/>
        <v>1.2135334725522158E-3</v>
      </c>
      <c r="E1462" s="53">
        <v>9.1502577402324467E-3</v>
      </c>
      <c r="G1462" s="90">
        <v>1454</v>
      </c>
      <c r="H1462" s="90">
        <f t="shared" ca="1" si="45"/>
        <v>9.258560414667617E-3</v>
      </c>
    </row>
    <row r="1463" spans="2:8" x14ac:dyDescent="0.3">
      <c r="B1463" s="58">
        <f>'DATA HISTORICAL'!$B2108</f>
        <v>43767</v>
      </c>
      <c r="C1463" s="60">
        <f>'DATA HISTORICAL'!$C2108</f>
        <v>4117.7</v>
      </c>
      <c r="D1463" s="53">
        <f t="shared" si="44"/>
        <v>-1.7382112247444063E-2</v>
      </c>
      <c r="E1463" s="53">
        <v>9.1304536084787537E-3</v>
      </c>
      <c r="G1463" s="90">
        <v>1455</v>
      </c>
      <c r="H1463" s="90">
        <f t="shared" ca="1" si="45"/>
        <v>6.1256484431240852E-3</v>
      </c>
    </row>
    <row r="1464" spans="2:8" x14ac:dyDescent="0.3">
      <c r="B1464" s="58">
        <f>'DATA HISTORICAL'!$B2109</f>
        <v>43765</v>
      </c>
      <c r="C1464" s="60">
        <f>'DATA HISTORICAL'!$C2109</f>
        <v>4189.8999999999996</v>
      </c>
      <c r="D1464" s="53">
        <f t="shared" si="44"/>
        <v>-1.5978063376658499E-3</v>
      </c>
      <c r="E1464" s="53">
        <v>9.128491802880034E-3</v>
      </c>
      <c r="G1464" s="90">
        <v>1456</v>
      </c>
      <c r="H1464" s="90">
        <f t="shared" ca="1" si="45"/>
        <v>-3.0225040706087147E-3</v>
      </c>
    </row>
    <row r="1465" spans="2:8" x14ac:dyDescent="0.3">
      <c r="B1465" s="58">
        <f>'DATA HISTORICAL'!$B2110</f>
        <v>43763</v>
      </c>
      <c r="C1465" s="60">
        <f>'DATA HISTORICAL'!$C2110</f>
        <v>4196.6000000000004</v>
      </c>
      <c r="D1465" s="53">
        <f t="shared" si="44"/>
        <v>-2.7022794596574005E-2</v>
      </c>
      <c r="E1465" s="53">
        <v>9.1261971687235984E-3</v>
      </c>
      <c r="G1465" s="90">
        <v>1457</v>
      </c>
      <c r="H1465" s="90">
        <f t="shared" ca="1" si="45"/>
        <v>1.8176280830300838E-2</v>
      </c>
    </row>
    <row r="1466" spans="2:8" x14ac:dyDescent="0.3">
      <c r="B1466" s="58">
        <f>'DATA HISTORICAL'!$B2111</f>
        <v>43762</v>
      </c>
      <c r="C1466" s="60">
        <f>'DATA HISTORICAL'!$C2111</f>
        <v>4311.55</v>
      </c>
      <c r="D1466" s="53">
        <f t="shared" si="44"/>
        <v>1.4072649718234156E-2</v>
      </c>
      <c r="E1466" s="53">
        <v>9.1221717419361636E-3</v>
      </c>
      <c r="G1466" s="90">
        <v>1458</v>
      </c>
      <c r="H1466" s="90">
        <f t="shared" ca="1" si="45"/>
        <v>-3.1197149856750884E-3</v>
      </c>
    </row>
    <row r="1467" spans="2:8" x14ac:dyDescent="0.3">
      <c r="B1467" s="58">
        <f>'DATA HISTORICAL'!$B2112</f>
        <v>43761</v>
      </c>
      <c r="C1467" s="60">
        <f>'DATA HISTORICAL'!$C2112</f>
        <v>4251.3</v>
      </c>
      <c r="D1467" s="53">
        <f t="shared" si="44"/>
        <v>4.7055502832824616E-4</v>
      </c>
      <c r="E1467" s="53">
        <v>9.1163222518356613E-3</v>
      </c>
      <c r="G1467" s="90">
        <v>1459</v>
      </c>
      <c r="H1467" s="90">
        <f t="shared" ca="1" si="45"/>
        <v>-1.1253890347237519E-2</v>
      </c>
    </row>
    <row r="1468" spans="2:8" x14ac:dyDescent="0.3">
      <c r="B1468" s="58">
        <f>'DATA HISTORICAL'!$B2113</f>
        <v>43760</v>
      </c>
      <c r="C1468" s="60">
        <f>'DATA HISTORICAL'!$C2113</f>
        <v>4249.3</v>
      </c>
      <c r="D1468" s="53">
        <f t="shared" si="44"/>
        <v>-1.0767138169679401E-2</v>
      </c>
      <c r="E1468" s="53">
        <v>9.1104733244520269E-3</v>
      </c>
      <c r="G1468" s="90">
        <v>1460</v>
      </c>
      <c r="H1468" s="90">
        <f t="shared" ca="1" si="45"/>
        <v>9.8824392014771126E-3</v>
      </c>
    </row>
    <row r="1469" spans="2:8" x14ac:dyDescent="0.3">
      <c r="B1469" s="58">
        <f>'DATA HISTORICAL'!$B2114</f>
        <v>43756</v>
      </c>
      <c r="C1469" s="60">
        <f>'DATA HISTORICAL'!$C2114</f>
        <v>4295.3</v>
      </c>
      <c r="D1469" s="53">
        <f t="shared" si="44"/>
        <v>8.1466131529098658E-3</v>
      </c>
      <c r="E1469" s="53">
        <v>9.080443989683204E-3</v>
      </c>
      <c r="G1469" s="90">
        <v>1461</v>
      </c>
      <c r="H1469" s="90">
        <f t="shared" ca="1" si="45"/>
        <v>1.477229519964092E-2</v>
      </c>
    </row>
    <row r="1470" spans="2:8" x14ac:dyDescent="0.3">
      <c r="B1470" s="58">
        <f>'DATA HISTORICAL'!$B2115</f>
        <v>43755</v>
      </c>
      <c r="C1470" s="60">
        <f>'DATA HISTORICAL'!$C2115</f>
        <v>4260.45</v>
      </c>
      <c r="D1470" s="53">
        <f t="shared" si="44"/>
        <v>-5.8157727624134677E-3</v>
      </c>
      <c r="E1470" s="53">
        <v>9.0769301523085186E-3</v>
      </c>
      <c r="G1470" s="90">
        <v>1462</v>
      </c>
      <c r="H1470" s="90">
        <f t="shared" ca="1" si="45"/>
        <v>1.6162996773579959E-2</v>
      </c>
    </row>
    <row r="1471" spans="2:8" x14ac:dyDescent="0.3">
      <c r="B1471" s="58">
        <f>'DATA HISTORICAL'!$B2116</f>
        <v>43754</v>
      </c>
      <c r="C1471" s="60">
        <f>'DATA HISTORICAL'!$C2116</f>
        <v>4285.3</v>
      </c>
      <c r="D1471" s="53">
        <f t="shared" si="44"/>
        <v>1.855961325892078E-2</v>
      </c>
      <c r="E1471" s="53">
        <v>9.0748108567742011E-3</v>
      </c>
      <c r="G1471" s="90">
        <v>1463</v>
      </c>
      <c r="H1471" s="90">
        <f t="shared" ca="1" si="45"/>
        <v>-1.3918805747577666E-2</v>
      </c>
    </row>
    <row r="1472" spans="2:8" x14ac:dyDescent="0.3">
      <c r="B1472" s="58">
        <f>'DATA HISTORICAL'!$B2117</f>
        <v>43753</v>
      </c>
      <c r="C1472" s="60">
        <f>'DATA HISTORICAL'!$C2117</f>
        <v>4206.5</v>
      </c>
      <c r="D1472" s="53">
        <f t="shared" si="44"/>
        <v>8.6429723397116048E-3</v>
      </c>
      <c r="E1472" s="53">
        <v>9.0733249606624582E-3</v>
      </c>
      <c r="G1472" s="90">
        <v>1464</v>
      </c>
      <c r="H1472" s="90">
        <f t="shared" ca="1" si="45"/>
        <v>1.1813833783234213E-2</v>
      </c>
    </row>
    <row r="1473" spans="2:8" x14ac:dyDescent="0.3">
      <c r="B1473" s="58">
        <f>'DATA HISTORICAL'!$B2118</f>
        <v>43752</v>
      </c>
      <c r="C1473" s="60">
        <f>'DATA HISTORICAL'!$C2118</f>
        <v>4170.3</v>
      </c>
      <c r="D1473" s="53">
        <f t="shared" si="44"/>
        <v>2.2577497356899026E-2</v>
      </c>
      <c r="E1473" s="53">
        <v>9.0586327190427009E-3</v>
      </c>
      <c r="G1473" s="90">
        <v>1465</v>
      </c>
      <c r="H1473" s="90">
        <f t="shared" ca="1" si="45"/>
        <v>-6.3895684089269097E-4</v>
      </c>
    </row>
    <row r="1474" spans="2:8" x14ac:dyDescent="0.3">
      <c r="B1474" s="58">
        <f>'DATA HISTORICAL'!$B2119</f>
        <v>43749</v>
      </c>
      <c r="C1474" s="60">
        <f>'DATA HISTORICAL'!$C2119</f>
        <v>4077.2</v>
      </c>
      <c r="D1474" s="53">
        <f t="shared" si="44"/>
        <v>2.5058739647908248E-2</v>
      </c>
      <c r="E1474" s="53">
        <v>9.0419277220901793E-3</v>
      </c>
      <c r="G1474" s="90">
        <v>1466</v>
      </c>
      <c r="H1474" s="90">
        <f t="shared" ca="1" si="45"/>
        <v>-2.2751822829906426E-2</v>
      </c>
    </row>
    <row r="1475" spans="2:8" x14ac:dyDescent="0.3">
      <c r="B1475" s="58">
        <f>'DATA HISTORICAL'!$B2120</f>
        <v>43748</v>
      </c>
      <c r="C1475" s="60">
        <f>'DATA HISTORICAL'!$C2120</f>
        <v>3976.3</v>
      </c>
      <c r="D1475" s="53">
        <f t="shared" si="44"/>
        <v>-1.677128033799143E-2</v>
      </c>
      <c r="E1475" s="53">
        <v>9.0280317851331362E-3</v>
      </c>
      <c r="G1475" s="90">
        <v>1467</v>
      </c>
      <c r="H1475" s="90">
        <f t="shared" ca="1" si="45"/>
        <v>2.2871254429929697E-3</v>
      </c>
    </row>
    <row r="1476" spans="2:8" x14ac:dyDescent="0.3">
      <c r="B1476" s="58">
        <f>'DATA HISTORICAL'!$B2121</f>
        <v>43747</v>
      </c>
      <c r="C1476" s="60">
        <f>'DATA HISTORICAL'!$C2121</f>
        <v>4043.55</v>
      </c>
      <c r="D1476" s="53">
        <f t="shared" si="44"/>
        <v>4.3765158128578098E-2</v>
      </c>
      <c r="E1476" s="53">
        <v>8.9829639114144301E-3</v>
      </c>
      <c r="G1476" s="90">
        <v>1468</v>
      </c>
      <c r="H1476" s="90">
        <f t="shared" ca="1" si="45"/>
        <v>-1.5029624668522354E-2</v>
      </c>
    </row>
    <row r="1477" spans="2:8" x14ac:dyDescent="0.3">
      <c r="B1477" s="58">
        <f>'DATA HISTORICAL'!$B2122</f>
        <v>43745</v>
      </c>
      <c r="C1477" s="60">
        <f>'DATA HISTORICAL'!$C2122</f>
        <v>3870.4</v>
      </c>
      <c r="D1477" s="53">
        <f t="shared" si="44"/>
        <v>-2.7810886703721539E-2</v>
      </c>
      <c r="E1477" s="53">
        <v>8.969188129153911E-3</v>
      </c>
      <c r="G1477" s="90">
        <v>1469</v>
      </c>
      <c r="H1477" s="90">
        <f t="shared" ca="1" si="45"/>
        <v>5.0451922527084804E-3</v>
      </c>
    </row>
    <row r="1478" spans="2:8" x14ac:dyDescent="0.3">
      <c r="B1478" s="58">
        <f>'DATA HISTORICAL'!$B2123</f>
        <v>43742</v>
      </c>
      <c r="C1478" s="60">
        <f>'DATA HISTORICAL'!$C2123</f>
        <v>3979.55</v>
      </c>
      <c r="D1478" s="53">
        <f t="shared" si="44"/>
        <v>-4.1168204889472662E-2</v>
      </c>
      <c r="E1478" s="53">
        <v>8.9656918023988657E-3</v>
      </c>
      <c r="G1478" s="90">
        <v>1470</v>
      </c>
      <c r="H1478" s="90">
        <f t="shared" ca="1" si="45"/>
        <v>8.9372713907878622E-3</v>
      </c>
    </row>
    <row r="1479" spans="2:8" x14ac:dyDescent="0.3">
      <c r="B1479" s="58">
        <f>'DATA HISTORICAL'!$B2124</f>
        <v>43741</v>
      </c>
      <c r="C1479" s="60">
        <f>'DATA HISTORICAL'!$C2124</f>
        <v>4146.8</v>
      </c>
      <c r="D1479" s="53">
        <f t="shared" si="44"/>
        <v>-1.5743081802301211E-2</v>
      </c>
      <c r="E1479" s="53">
        <v>8.9491704256828147E-3</v>
      </c>
      <c r="G1479" s="90">
        <v>1471</v>
      </c>
      <c r="H1479" s="90">
        <f t="shared" ca="1" si="45"/>
        <v>1.3724217711422407E-3</v>
      </c>
    </row>
    <row r="1480" spans="2:8" x14ac:dyDescent="0.3">
      <c r="B1480" s="58">
        <f>'DATA HISTORICAL'!$B2125</f>
        <v>43739</v>
      </c>
      <c r="C1480" s="60">
        <f>'DATA HISTORICAL'!$C2125</f>
        <v>4212.6000000000004</v>
      </c>
      <c r="D1480" s="53">
        <f t="shared" si="44"/>
        <v>-3.008229080702552E-2</v>
      </c>
      <c r="E1480" s="53">
        <v>8.9452310086062161E-3</v>
      </c>
      <c r="G1480" s="90">
        <v>1472</v>
      </c>
      <c r="H1480" s="90">
        <f t="shared" ca="1" si="45"/>
        <v>2.3863411593427333E-2</v>
      </c>
    </row>
    <row r="1481" spans="2:8" x14ac:dyDescent="0.3">
      <c r="B1481" s="58">
        <f>'DATA HISTORICAL'!$B2126</f>
        <v>43738</v>
      </c>
      <c r="C1481" s="60">
        <f>'DATA HISTORICAL'!$C2126</f>
        <v>4341.25</v>
      </c>
      <c r="D1481" s="53">
        <f t="shared" ref="D1481:D1544" si="46">LN(C1481/C1482)</f>
        <v>-1.2339335171421578E-2</v>
      </c>
      <c r="E1481" s="53">
        <v>8.9161090967395627E-3</v>
      </c>
      <c r="G1481" s="90">
        <v>1473</v>
      </c>
      <c r="H1481" s="90">
        <f t="shared" ref="H1481:H1544" ca="1" si="47">_xlfn.NORM.INV(RAND(),N$10,N$11)</f>
        <v>-1.1795257177130754E-2</v>
      </c>
    </row>
    <row r="1482" spans="2:8" x14ac:dyDescent="0.3">
      <c r="B1482" s="58">
        <f>'DATA HISTORICAL'!$B2127</f>
        <v>43735</v>
      </c>
      <c r="C1482" s="60">
        <f>'DATA HISTORICAL'!$C2127</f>
        <v>4395.1499999999996</v>
      </c>
      <c r="D1482" s="53">
        <f t="shared" si="46"/>
        <v>-1.023803430637919E-4</v>
      </c>
      <c r="E1482" s="53">
        <v>8.9119974250710405E-3</v>
      </c>
      <c r="G1482" s="90">
        <v>1474</v>
      </c>
      <c r="H1482" s="90">
        <f t="shared" ca="1" si="47"/>
        <v>-6.3407987963733621E-3</v>
      </c>
    </row>
    <row r="1483" spans="2:8" x14ac:dyDescent="0.3">
      <c r="B1483" s="58">
        <f>'DATA HISTORICAL'!$B2128</f>
        <v>43734</v>
      </c>
      <c r="C1483" s="60">
        <f>'DATA HISTORICAL'!$C2128</f>
        <v>4395.6000000000004</v>
      </c>
      <c r="D1483" s="53">
        <f t="shared" si="46"/>
        <v>2.7153493658747776E-2</v>
      </c>
      <c r="E1483" s="53">
        <v>8.9109856292708123E-3</v>
      </c>
      <c r="G1483" s="90">
        <v>1475</v>
      </c>
      <c r="H1483" s="90">
        <f t="shared" ca="1" si="47"/>
        <v>3.8172288375201452E-2</v>
      </c>
    </row>
    <row r="1484" spans="2:8" x14ac:dyDescent="0.3">
      <c r="B1484" s="58">
        <f>'DATA HISTORICAL'!$B2129</f>
        <v>43733</v>
      </c>
      <c r="C1484" s="60">
        <f>'DATA HISTORICAL'!$C2129</f>
        <v>4277.8500000000004</v>
      </c>
      <c r="D1484" s="53">
        <f t="shared" si="46"/>
        <v>-9.3417851607315097E-3</v>
      </c>
      <c r="E1484" s="53">
        <v>8.9050168323583975E-3</v>
      </c>
      <c r="G1484" s="90">
        <v>1476</v>
      </c>
      <c r="H1484" s="90">
        <f t="shared" ca="1" si="47"/>
        <v>1.1615787497988432E-2</v>
      </c>
    </row>
    <row r="1485" spans="2:8" x14ac:dyDescent="0.3">
      <c r="B1485" s="58">
        <f>'DATA HISTORICAL'!$B2130</f>
        <v>43732</v>
      </c>
      <c r="C1485" s="60">
        <f>'DATA HISTORICAL'!$C2130</f>
        <v>4318</v>
      </c>
      <c r="D1485" s="53">
        <f t="shared" si="46"/>
        <v>-1.6787433083258349E-2</v>
      </c>
      <c r="E1485" s="53">
        <v>8.9032835567081116E-3</v>
      </c>
      <c r="G1485" s="90">
        <v>1477</v>
      </c>
      <c r="H1485" s="90">
        <f t="shared" ca="1" si="47"/>
        <v>4.104776677631717E-2</v>
      </c>
    </row>
    <row r="1486" spans="2:8" x14ac:dyDescent="0.3">
      <c r="B1486" s="58">
        <f>'DATA HISTORICAL'!$B2131</f>
        <v>43731</v>
      </c>
      <c r="C1486" s="60">
        <f>'DATA HISTORICAL'!$C2131</f>
        <v>4391.1000000000004</v>
      </c>
      <c r="D1486" s="53">
        <f t="shared" si="46"/>
        <v>2.8047908507951233E-2</v>
      </c>
      <c r="E1486" s="53">
        <v>8.9032012367114294E-3</v>
      </c>
      <c r="G1486" s="90">
        <v>1478</v>
      </c>
      <c r="H1486" s="90">
        <f t="shared" ca="1" si="47"/>
        <v>-3.5023346960580931E-2</v>
      </c>
    </row>
    <row r="1487" spans="2:8" x14ac:dyDescent="0.3">
      <c r="B1487" s="58">
        <f>'DATA HISTORICAL'!$B2132</f>
        <v>43728</v>
      </c>
      <c r="C1487" s="60">
        <f>'DATA HISTORICAL'!$C2132</f>
        <v>4269.6499999999996</v>
      </c>
      <c r="D1487" s="53">
        <f t="shared" si="46"/>
        <v>9.9233879306340228E-2</v>
      </c>
      <c r="E1487" s="53">
        <v>8.8983379737412882E-3</v>
      </c>
      <c r="G1487" s="90">
        <v>1479</v>
      </c>
      <c r="H1487" s="90">
        <f t="shared" ca="1" si="47"/>
        <v>2.1242291149556548E-2</v>
      </c>
    </row>
    <row r="1488" spans="2:8" x14ac:dyDescent="0.3">
      <c r="B1488" s="58">
        <f>'DATA HISTORICAL'!$B2133</f>
        <v>43727</v>
      </c>
      <c r="C1488" s="60">
        <f>'DATA HISTORICAL'!$C2133</f>
        <v>3866.3</v>
      </c>
      <c r="D1488" s="53">
        <f t="shared" si="46"/>
        <v>-9.3962668900753644E-3</v>
      </c>
      <c r="E1488" s="53">
        <v>8.8980359380880641E-3</v>
      </c>
      <c r="G1488" s="90">
        <v>1480</v>
      </c>
      <c r="H1488" s="90">
        <f t="shared" ca="1" si="47"/>
        <v>8.2812288448909487E-3</v>
      </c>
    </row>
    <row r="1489" spans="2:8" x14ac:dyDescent="0.3">
      <c r="B1489" s="58">
        <f>'DATA HISTORICAL'!$B2134</f>
        <v>43726</v>
      </c>
      <c r="C1489" s="60">
        <f>'DATA HISTORICAL'!$C2134</f>
        <v>3902.8</v>
      </c>
      <c r="D1489" s="53">
        <f t="shared" si="46"/>
        <v>6.1513227283112207E-4</v>
      </c>
      <c r="E1489" s="53">
        <v>8.8881412260199411E-3</v>
      </c>
      <c r="G1489" s="90">
        <v>1481</v>
      </c>
      <c r="H1489" s="90">
        <f t="shared" ca="1" si="47"/>
        <v>2.8456260198338499E-2</v>
      </c>
    </row>
    <row r="1490" spans="2:8" x14ac:dyDescent="0.3">
      <c r="B1490" s="58">
        <f>'DATA HISTORICAL'!$B2135</f>
        <v>43725</v>
      </c>
      <c r="C1490" s="60">
        <f>'DATA HISTORICAL'!$C2135</f>
        <v>3900.4</v>
      </c>
      <c r="D1490" s="53">
        <f t="shared" si="46"/>
        <v>-2.3426149656602203E-2</v>
      </c>
      <c r="E1490" s="53">
        <v>8.8783642979559305E-3</v>
      </c>
      <c r="G1490" s="90">
        <v>1482</v>
      </c>
      <c r="H1490" s="90">
        <f t="shared" ca="1" si="47"/>
        <v>-4.5288624857877302E-3</v>
      </c>
    </row>
    <row r="1491" spans="2:8" x14ac:dyDescent="0.3">
      <c r="B1491" s="58">
        <f>'DATA HISTORICAL'!$B2136</f>
        <v>43724</v>
      </c>
      <c r="C1491" s="60">
        <f>'DATA HISTORICAL'!$C2136</f>
        <v>3992.85</v>
      </c>
      <c r="D1491" s="53">
        <f t="shared" si="46"/>
        <v>-9.5464334172871562E-3</v>
      </c>
      <c r="E1491" s="53">
        <v>8.8721246096705262E-3</v>
      </c>
      <c r="G1491" s="90">
        <v>1483</v>
      </c>
      <c r="H1491" s="90">
        <f t="shared" ca="1" si="47"/>
        <v>1.1283624055949914E-2</v>
      </c>
    </row>
    <row r="1492" spans="2:8" x14ac:dyDescent="0.3">
      <c r="B1492" s="58">
        <f>'DATA HISTORICAL'!$B2137</f>
        <v>43721</v>
      </c>
      <c r="C1492" s="60">
        <f>'DATA HISTORICAL'!$C2137</f>
        <v>4031.15</v>
      </c>
      <c r="D1492" s="53">
        <f t="shared" si="46"/>
        <v>7.2449652160974922E-3</v>
      </c>
      <c r="E1492" s="53">
        <v>8.8687436483708935E-3</v>
      </c>
      <c r="G1492" s="90">
        <v>1484</v>
      </c>
      <c r="H1492" s="90">
        <f t="shared" ca="1" si="47"/>
        <v>5.1281226552451695E-3</v>
      </c>
    </row>
    <row r="1493" spans="2:8" x14ac:dyDescent="0.3">
      <c r="B1493" s="58">
        <f>'DATA HISTORICAL'!$B2138</f>
        <v>43720</v>
      </c>
      <c r="C1493" s="60">
        <f>'DATA HISTORICAL'!$C2138</f>
        <v>4002.05</v>
      </c>
      <c r="D1493" s="53">
        <f t="shared" si="46"/>
        <v>2.4958761621654509E-2</v>
      </c>
      <c r="E1493" s="53">
        <v>8.8652675733922413E-3</v>
      </c>
      <c r="G1493" s="90">
        <v>1485</v>
      </c>
      <c r="H1493" s="90">
        <f t="shared" ca="1" si="47"/>
        <v>8.6861994756055189E-3</v>
      </c>
    </row>
    <row r="1494" spans="2:8" x14ac:dyDescent="0.3">
      <c r="B1494" s="58">
        <f>'DATA HISTORICAL'!$B2139</f>
        <v>43719</v>
      </c>
      <c r="C1494" s="60">
        <f>'DATA HISTORICAL'!$C2139</f>
        <v>3903.4</v>
      </c>
      <c r="D1494" s="53">
        <f t="shared" si="46"/>
        <v>-5.634524415941228E-4</v>
      </c>
      <c r="E1494" s="53">
        <v>8.8366502972449055E-3</v>
      </c>
      <c r="G1494" s="90">
        <v>1486</v>
      </c>
      <c r="H1494" s="90">
        <f t="shared" ca="1" si="47"/>
        <v>3.7624232480490356E-2</v>
      </c>
    </row>
    <row r="1495" spans="2:8" x14ac:dyDescent="0.3">
      <c r="B1495" s="58">
        <f>'DATA HISTORICAL'!$B2140</f>
        <v>43717</v>
      </c>
      <c r="C1495" s="60">
        <f>'DATA HISTORICAL'!$C2140</f>
        <v>3905.6</v>
      </c>
      <c r="D1495" s="53">
        <f t="shared" si="46"/>
        <v>-4.9915848037949419E-4</v>
      </c>
      <c r="E1495" s="53">
        <v>8.8350861593198288E-3</v>
      </c>
      <c r="G1495" s="90">
        <v>1487</v>
      </c>
      <c r="H1495" s="90">
        <f t="shared" ca="1" si="47"/>
        <v>4.6524021646483948E-2</v>
      </c>
    </row>
    <row r="1496" spans="2:8" x14ac:dyDescent="0.3">
      <c r="B1496" s="58">
        <f>'DATA HISTORICAL'!$B2141</f>
        <v>43714</v>
      </c>
      <c r="C1496" s="60">
        <f>'DATA HISTORICAL'!$C2141</f>
        <v>3907.55</v>
      </c>
      <c r="D1496" s="53">
        <f t="shared" si="46"/>
        <v>4.8099523878293955E-3</v>
      </c>
      <c r="E1496" s="53">
        <v>8.806482568515862E-3</v>
      </c>
      <c r="G1496" s="90">
        <v>1488</v>
      </c>
      <c r="H1496" s="90">
        <f t="shared" ca="1" si="47"/>
        <v>2.9174685071597001E-2</v>
      </c>
    </row>
    <row r="1497" spans="2:8" x14ac:dyDescent="0.3">
      <c r="B1497" s="58">
        <f>'DATA HISTORICAL'!$B2142</f>
        <v>43713</v>
      </c>
      <c r="C1497" s="60">
        <f>'DATA HISTORICAL'!$C2142</f>
        <v>3888.8</v>
      </c>
      <c r="D1497" s="53">
        <f t="shared" si="46"/>
        <v>3.1679420722319687E-3</v>
      </c>
      <c r="E1497" s="53">
        <v>8.7938401052338779E-3</v>
      </c>
      <c r="G1497" s="90">
        <v>1489</v>
      </c>
      <c r="H1497" s="90">
        <f t="shared" ca="1" si="47"/>
        <v>1.8703856324038454E-2</v>
      </c>
    </row>
    <row r="1498" spans="2:8" x14ac:dyDescent="0.3">
      <c r="B1498" s="58">
        <f>'DATA HISTORICAL'!$B2143</f>
        <v>43712</v>
      </c>
      <c r="C1498" s="60">
        <f>'DATA HISTORICAL'!$C2143</f>
        <v>3876.5</v>
      </c>
      <c r="D1498" s="53">
        <f t="shared" si="46"/>
        <v>-2.3318592641974416E-3</v>
      </c>
      <c r="E1498" s="53">
        <v>8.7937615436806515E-3</v>
      </c>
      <c r="G1498" s="90">
        <v>1490</v>
      </c>
      <c r="H1498" s="90">
        <f t="shared" ca="1" si="47"/>
        <v>-5.5175928071354808E-3</v>
      </c>
    </row>
    <row r="1499" spans="2:8" x14ac:dyDescent="0.3">
      <c r="B1499" s="58">
        <f>'DATA HISTORICAL'!$B2144</f>
        <v>43711</v>
      </c>
      <c r="C1499" s="60">
        <f>'DATA HISTORICAL'!$C2144</f>
        <v>3885.55</v>
      </c>
      <c r="D1499" s="53">
        <f t="shared" si="46"/>
        <v>-4.2007738469073637E-2</v>
      </c>
      <c r="E1499" s="53">
        <v>8.7831057268030928E-3</v>
      </c>
      <c r="G1499" s="90">
        <v>1491</v>
      </c>
      <c r="H1499" s="90">
        <f t="shared" ca="1" si="47"/>
        <v>1.083170501280661E-2</v>
      </c>
    </row>
    <row r="1500" spans="2:8" x14ac:dyDescent="0.3">
      <c r="B1500" s="58">
        <f>'DATA HISTORICAL'!$B2145</f>
        <v>43707</v>
      </c>
      <c r="C1500" s="60">
        <f>'DATA HISTORICAL'!$C2145</f>
        <v>4052.25</v>
      </c>
      <c r="D1500" s="53">
        <f t="shared" si="46"/>
        <v>-5.3284891923761485E-3</v>
      </c>
      <c r="E1500" s="53">
        <v>8.7696015334028203E-3</v>
      </c>
      <c r="G1500" s="90">
        <v>1492</v>
      </c>
      <c r="H1500" s="90">
        <f t="shared" ca="1" si="47"/>
        <v>-9.5168535774150242E-3</v>
      </c>
    </row>
    <row r="1501" spans="2:8" x14ac:dyDescent="0.3">
      <c r="B1501" s="58">
        <f>'DATA HISTORICAL'!$B2146</f>
        <v>43706</v>
      </c>
      <c r="C1501" s="60">
        <f>'DATA HISTORICAL'!$C2146</f>
        <v>4073.9</v>
      </c>
      <c r="D1501" s="53">
        <f t="shared" si="46"/>
        <v>-1.1203846891307651E-2</v>
      </c>
      <c r="E1501" s="53">
        <v>8.7603580247716129E-3</v>
      </c>
      <c r="G1501" s="90">
        <v>1493</v>
      </c>
      <c r="H1501" s="90">
        <f t="shared" ca="1" si="47"/>
        <v>-1.8564767373097087E-2</v>
      </c>
    </row>
    <row r="1502" spans="2:8" x14ac:dyDescent="0.3">
      <c r="B1502" s="58">
        <f>'DATA HISTORICAL'!$B2147</f>
        <v>43705</v>
      </c>
      <c r="C1502" s="60">
        <f>'DATA HISTORICAL'!$C2147</f>
        <v>4119.8</v>
      </c>
      <c r="D1502" s="53">
        <f t="shared" si="46"/>
        <v>-3.8519822324599171E-3</v>
      </c>
      <c r="E1502" s="53">
        <v>8.7577189293546916E-3</v>
      </c>
      <c r="G1502" s="90">
        <v>1494</v>
      </c>
      <c r="H1502" s="90">
        <f t="shared" ca="1" si="47"/>
        <v>3.9276776562201625E-2</v>
      </c>
    </row>
    <row r="1503" spans="2:8" x14ac:dyDescent="0.3">
      <c r="B1503" s="58">
        <f>'DATA HISTORICAL'!$B2148</f>
        <v>43704</v>
      </c>
      <c r="C1503" s="60">
        <f>'DATA HISTORICAL'!$C2148</f>
        <v>4135.7</v>
      </c>
      <c r="D1503" s="53">
        <f t="shared" si="46"/>
        <v>2.380802680158927E-2</v>
      </c>
      <c r="E1503" s="53">
        <v>8.702177918901469E-3</v>
      </c>
      <c r="G1503" s="90">
        <v>1495</v>
      </c>
      <c r="H1503" s="90">
        <f t="shared" ca="1" si="47"/>
        <v>1.9721351359408588E-2</v>
      </c>
    </row>
    <row r="1504" spans="2:8" x14ac:dyDescent="0.3">
      <c r="B1504" s="58">
        <f>'DATA HISTORICAL'!$B2149</f>
        <v>43703</v>
      </c>
      <c r="C1504" s="60">
        <f>'DATA HISTORICAL'!$C2149</f>
        <v>4038.4</v>
      </c>
      <c r="D1504" s="53">
        <f t="shared" si="46"/>
        <v>4.4715177898401071E-2</v>
      </c>
      <c r="E1504" s="53">
        <v>8.700763437081982E-3</v>
      </c>
      <c r="G1504" s="90">
        <v>1496</v>
      </c>
      <c r="H1504" s="90">
        <f t="shared" ca="1" si="47"/>
        <v>8.8591178753684649E-3</v>
      </c>
    </row>
    <row r="1505" spans="2:8" x14ac:dyDescent="0.3">
      <c r="B1505" s="58">
        <f>'DATA HISTORICAL'!$B2150</f>
        <v>43700</v>
      </c>
      <c r="C1505" s="60">
        <f>'DATA HISTORICAL'!$C2150</f>
        <v>3861.8</v>
      </c>
      <c r="D1505" s="53">
        <f t="shared" si="46"/>
        <v>6.1429163488539796E-3</v>
      </c>
      <c r="E1505" s="53">
        <v>8.6960927795493668E-3</v>
      </c>
      <c r="G1505" s="90">
        <v>1497</v>
      </c>
      <c r="H1505" s="90">
        <f t="shared" ca="1" si="47"/>
        <v>9.9678120831320563E-3</v>
      </c>
    </row>
    <row r="1506" spans="2:8" x14ac:dyDescent="0.3">
      <c r="B1506" s="58">
        <f>'DATA HISTORICAL'!$B2151</f>
        <v>43699</v>
      </c>
      <c r="C1506" s="60">
        <f>'DATA HISTORICAL'!$C2151</f>
        <v>3838.15</v>
      </c>
      <c r="D1506" s="53">
        <f t="shared" si="46"/>
        <v>-2.1458253221737156E-2</v>
      </c>
      <c r="E1506" s="53">
        <v>8.6936671325744241E-3</v>
      </c>
      <c r="G1506" s="90">
        <v>1498</v>
      </c>
      <c r="H1506" s="90">
        <f t="shared" ca="1" si="47"/>
        <v>1.1575655227312666E-2</v>
      </c>
    </row>
    <row r="1507" spans="2:8" x14ac:dyDescent="0.3">
      <c r="B1507" s="58">
        <f>'DATA HISTORICAL'!$B2152</f>
        <v>43698</v>
      </c>
      <c r="C1507" s="60">
        <f>'DATA HISTORICAL'!$C2152</f>
        <v>3921.4</v>
      </c>
      <c r="D1507" s="53">
        <f t="shared" si="46"/>
        <v>-2.8074180634015348E-2</v>
      </c>
      <c r="E1507" s="53">
        <v>8.690649011560107E-3</v>
      </c>
      <c r="G1507" s="90">
        <v>1499</v>
      </c>
      <c r="H1507" s="90">
        <f t="shared" ca="1" si="47"/>
        <v>2.106412558434384E-2</v>
      </c>
    </row>
    <row r="1508" spans="2:8" x14ac:dyDescent="0.3">
      <c r="B1508" s="58">
        <f>'DATA HISTORICAL'!$B2153</f>
        <v>43697</v>
      </c>
      <c r="C1508" s="60">
        <f>'DATA HISTORICAL'!$C2153</f>
        <v>4033.05</v>
      </c>
      <c r="D1508" s="53">
        <f t="shared" si="46"/>
        <v>-3.0547350288007823E-2</v>
      </c>
      <c r="E1508" s="53">
        <v>8.6886237611278339E-3</v>
      </c>
      <c r="G1508" s="90">
        <v>1500</v>
      </c>
      <c r="H1508" s="90">
        <f t="shared" ca="1" si="47"/>
        <v>-8.1703006293334934E-3</v>
      </c>
    </row>
    <row r="1509" spans="2:8" x14ac:dyDescent="0.3">
      <c r="B1509" s="58">
        <f>'DATA HISTORICAL'!$B2154</f>
        <v>43696</v>
      </c>
      <c r="C1509" s="60">
        <f>'DATA HISTORICAL'!$C2154</f>
        <v>4158.1499999999996</v>
      </c>
      <c r="D1509" s="53">
        <f t="shared" si="46"/>
        <v>-1.1917211614201034E-2</v>
      </c>
      <c r="E1509" s="53">
        <v>8.6785019638238783E-3</v>
      </c>
      <c r="G1509" s="90">
        <v>1501</v>
      </c>
      <c r="H1509" s="90">
        <f t="shared" ca="1" si="47"/>
        <v>-7.007532105938726E-3</v>
      </c>
    </row>
    <row r="1510" spans="2:8" x14ac:dyDescent="0.3">
      <c r="B1510" s="58">
        <f>'DATA HISTORICAL'!$B2155</f>
        <v>43693</v>
      </c>
      <c r="C1510" s="60">
        <f>'DATA HISTORICAL'!$C2155</f>
        <v>4208</v>
      </c>
      <c r="D1510" s="53">
        <f t="shared" si="46"/>
        <v>-4.2447804401479E-3</v>
      </c>
      <c r="E1510" s="53">
        <v>8.6420392939407162E-3</v>
      </c>
      <c r="G1510" s="90">
        <v>1502</v>
      </c>
      <c r="H1510" s="90">
        <f t="shared" ca="1" si="47"/>
        <v>6.6775334915027346E-3</v>
      </c>
    </row>
    <row r="1511" spans="2:8" x14ac:dyDescent="0.3">
      <c r="B1511" s="58">
        <f>'DATA HISTORICAL'!$B2156</f>
        <v>43691</v>
      </c>
      <c r="C1511" s="60">
        <f>'DATA HISTORICAL'!$C2156</f>
        <v>4225.8999999999996</v>
      </c>
      <c r="D1511" s="53">
        <f t="shared" si="46"/>
        <v>1.0645927560128778E-2</v>
      </c>
      <c r="E1511" s="53">
        <v>8.635469628912696E-3</v>
      </c>
      <c r="G1511" s="90">
        <v>1503</v>
      </c>
      <c r="H1511" s="90">
        <f t="shared" ca="1" si="47"/>
        <v>-5.8502058387894292E-4</v>
      </c>
    </row>
    <row r="1512" spans="2:8" x14ac:dyDescent="0.3">
      <c r="B1512" s="58">
        <f>'DATA HISTORICAL'!$B2157</f>
        <v>43690</v>
      </c>
      <c r="C1512" s="60">
        <f>'DATA HISTORICAL'!$C2157</f>
        <v>4181.1499999999996</v>
      </c>
      <c r="D1512" s="53">
        <f t="shared" si="46"/>
        <v>-2.368205210441832E-2</v>
      </c>
      <c r="E1512" s="53">
        <v>8.6239579795334871E-3</v>
      </c>
      <c r="G1512" s="90">
        <v>1504</v>
      </c>
      <c r="H1512" s="90">
        <f t="shared" ca="1" si="47"/>
        <v>-1.1465286318938627E-2</v>
      </c>
    </row>
    <row r="1513" spans="2:8" x14ac:dyDescent="0.3">
      <c r="B1513" s="58">
        <f>'DATA HISTORICAL'!$B2158</f>
        <v>43686</v>
      </c>
      <c r="C1513" s="60">
        <f>'DATA HISTORICAL'!$C2158</f>
        <v>4281.3500000000004</v>
      </c>
      <c r="D1513" s="53">
        <f t="shared" si="46"/>
        <v>1.1321983647803428E-2</v>
      </c>
      <c r="E1513" s="53">
        <v>8.6236023639321892E-3</v>
      </c>
      <c r="G1513" s="90">
        <v>1505</v>
      </c>
      <c r="H1513" s="90">
        <f t="shared" ca="1" si="47"/>
        <v>7.5024653646924185E-4</v>
      </c>
    </row>
    <row r="1514" spans="2:8" x14ac:dyDescent="0.3">
      <c r="B1514" s="58">
        <f>'DATA HISTORICAL'!$B2159</f>
        <v>43685</v>
      </c>
      <c r="C1514" s="60">
        <f>'DATA HISTORICAL'!$C2159</f>
        <v>4233.1499999999996</v>
      </c>
      <c r="D1514" s="53">
        <f t="shared" si="46"/>
        <v>-2.5308063420316999E-2</v>
      </c>
      <c r="E1514" s="53">
        <v>8.6235393860051406E-3</v>
      </c>
      <c r="G1514" s="90">
        <v>1506</v>
      </c>
      <c r="H1514" s="90">
        <f t="shared" ca="1" si="47"/>
        <v>-1.5798508617008853E-2</v>
      </c>
    </row>
    <row r="1515" spans="2:8" x14ac:dyDescent="0.3">
      <c r="B1515" s="58">
        <f>'DATA HISTORICAL'!$B2160</f>
        <v>43684</v>
      </c>
      <c r="C1515" s="60">
        <f>'DATA HISTORICAL'!$C2160</f>
        <v>4341.6499999999996</v>
      </c>
      <c r="D1515" s="53">
        <f t="shared" si="46"/>
        <v>-3.5292869429454569E-3</v>
      </c>
      <c r="E1515" s="53">
        <v>8.6073295990117954E-3</v>
      </c>
      <c r="G1515" s="90">
        <v>1507</v>
      </c>
      <c r="H1515" s="90">
        <f t="shared" ca="1" si="47"/>
        <v>1.9724546257564486E-2</v>
      </c>
    </row>
    <row r="1516" spans="2:8" x14ac:dyDescent="0.3">
      <c r="B1516" s="58">
        <f>'DATA HISTORICAL'!$B2161</f>
        <v>43683</v>
      </c>
      <c r="C1516" s="60">
        <f>'DATA HISTORICAL'!$C2161</f>
        <v>4357</v>
      </c>
      <c r="D1516" s="53">
        <f t="shared" si="46"/>
        <v>2.5759281807648138E-2</v>
      </c>
      <c r="E1516" s="53">
        <v>8.6024972369844362E-3</v>
      </c>
      <c r="G1516" s="90">
        <v>1508</v>
      </c>
      <c r="H1516" s="90">
        <f t="shared" ca="1" si="47"/>
        <v>-2.0160864966735245E-2</v>
      </c>
    </row>
    <row r="1517" spans="2:8" x14ac:dyDescent="0.3">
      <c r="B1517" s="58">
        <f>'DATA HISTORICAL'!$B2162</f>
        <v>43682</v>
      </c>
      <c r="C1517" s="60">
        <f>'DATA HISTORICAL'!$C2162</f>
        <v>4246.2</v>
      </c>
      <c r="D1517" s="53">
        <f t="shared" si="46"/>
        <v>-1.2369602730622715E-2</v>
      </c>
      <c r="E1517" s="53">
        <v>8.5878256930417632E-3</v>
      </c>
      <c r="G1517" s="90">
        <v>1509</v>
      </c>
      <c r="H1517" s="90">
        <f t="shared" ca="1" si="47"/>
        <v>9.6128082632802158E-3</v>
      </c>
    </row>
    <row r="1518" spans="2:8" x14ac:dyDescent="0.3">
      <c r="B1518" s="58">
        <f>'DATA HISTORICAL'!$B2163</f>
        <v>43679</v>
      </c>
      <c r="C1518" s="60">
        <f>'DATA HISTORICAL'!$C2163</f>
        <v>4299.05</v>
      </c>
      <c r="D1518" s="53">
        <f t="shared" si="46"/>
        <v>1.579026448379689E-2</v>
      </c>
      <c r="E1518" s="53">
        <v>8.5871278871083954E-3</v>
      </c>
      <c r="G1518" s="90">
        <v>1510</v>
      </c>
      <c r="H1518" s="90">
        <f t="shared" ca="1" si="47"/>
        <v>-1.1671252601834249E-3</v>
      </c>
    </row>
    <row r="1519" spans="2:8" x14ac:dyDescent="0.3">
      <c r="B1519" s="58">
        <f>'DATA HISTORICAL'!$B2164</f>
        <v>43678</v>
      </c>
      <c r="C1519" s="60">
        <f>'DATA HISTORICAL'!$C2164</f>
        <v>4231.7</v>
      </c>
      <c r="D1519" s="53">
        <f t="shared" si="46"/>
        <v>-2.6859143796737019E-2</v>
      </c>
      <c r="E1519" s="53">
        <v>8.5860589054735231E-3</v>
      </c>
      <c r="G1519" s="90">
        <v>1511</v>
      </c>
      <c r="H1519" s="90">
        <f t="shared" ca="1" si="47"/>
        <v>-1.8764206092907194E-2</v>
      </c>
    </row>
    <row r="1520" spans="2:8" x14ac:dyDescent="0.3">
      <c r="B1520" s="58">
        <f>'DATA HISTORICAL'!$B2165</f>
        <v>43677</v>
      </c>
      <c r="C1520" s="60">
        <f>'DATA HISTORICAL'!$C2165</f>
        <v>4346.8999999999996</v>
      </c>
      <c r="D1520" s="53">
        <f t="shared" si="46"/>
        <v>6.7748356236680103E-3</v>
      </c>
      <c r="E1520" s="53">
        <v>8.5842042230245153E-3</v>
      </c>
      <c r="G1520" s="90">
        <v>1512</v>
      </c>
      <c r="H1520" s="90">
        <f t="shared" ca="1" si="47"/>
        <v>4.537976756685708E-3</v>
      </c>
    </row>
    <row r="1521" spans="2:8" x14ac:dyDescent="0.3">
      <c r="B1521" s="58">
        <f>'DATA HISTORICAL'!$B2166</f>
        <v>43676</v>
      </c>
      <c r="C1521" s="60">
        <f>'DATA HISTORICAL'!$C2166</f>
        <v>4317.55</v>
      </c>
      <c r="D1521" s="53">
        <f t="shared" si="46"/>
        <v>-1.183459388983814E-2</v>
      </c>
      <c r="E1521" s="53">
        <v>8.5826159236520143E-3</v>
      </c>
      <c r="G1521" s="90">
        <v>1513</v>
      </c>
      <c r="H1521" s="90">
        <f t="shared" ca="1" si="47"/>
        <v>-4.0290558395547481E-2</v>
      </c>
    </row>
    <row r="1522" spans="2:8" x14ac:dyDescent="0.3">
      <c r="B1522" s="58">
        <f>'DATA HISTORICAL'!$B2167</f>
        <v>43675</v>
      </c>
      <c r="C1522" s="60">
        <f>'DATA HISTORICAL'!$C2167</f>
        <v>4368.95</v>
      </c>
      <c r="D1522" s="53">
        <f t="shared" si="46"/>
        <v>-2.967690589257891E-2</v>
      </c>
      <c r="E1522" s="53">
        <v>8.5620798320833018E-3</v>
      </c>
      <c r="G1522" s="90">
        <v>1514</v>
      </c>
      <c r="H1522" s="90">
        <f t="shared" ca="1" si="47"/>
        <v>-6.0715189915232321E-3</v>
      </c>
    </row>
    <row r="1523" spans="2:8" x14ac:dyDescent="0.3">
      <c r="B1523" s="58">
        <f>'DATA HISTORICAL'!$B2168</f>
        <v>43672</v>
      </c>
      <c r="C1523" s="60">
        <f>'DATA HISTORICAL'!$C2168</f>
        <v>4500.55</v>
      </c>
      <c r="D1523" s="53">
        <f t="shared" si="46"/>
        <v>9.0284242246913126E-3</v>
      </c>
      <c r="E1523" s="53">
        <v>8.5571607284108918E-3</v>
      </c>
      <c r="G1523" s="90">
        <v>1515</v>
      </c>
      <c r="H1523" s="90">
        <f t="shared" ca="1" si="47"/>
        <v>-1.4548823286575283E-2</v>
      </c>
    </row>
    <row r="1524" spans="2:8" x14ac:dyDescent="0.3">
      <c r="B1524" s="58">
        <f>'DATA HISTORICAL'!$B2169</f>
        <v>43671</v>
      </c>
      <c r="C1524" s="60">
        <f>'DATA HISTORICAL'!$C2169</f>
        <v>4460.1000000000004</v>
      </c>
      <c r="D1524" s="53">
        <f t="shared" si="46"/>
        <v>3.8751248937368529E-3</v>
      </c>
      <c r="E1524" s="53">
        <v>8.5420773496307813E-3</v>
      </c>
      <c r="G1524" s="90">
        <v>1516</v>
      </c>
      <c r="H1524" s="90">
        <f t="shared" ca="1" si="47"/>
        <v>2.4007397015660473E-2</v>
      </c>
    </row>
    <row r="1525" spans="2:8" x14ac:dyDescent="0.3">
      <c r="B1525" s="58">
        <f>'DATA HISTORICAL'!$B2170</f>
        <v>43670</v>
      </c>
      <c r="C1525" s="60">
        <f>'DATA HISTORICAL'!$C2170</f>
        <v>4442.8500000000004</v>
      </c>
      <c r="D1525" s="53">
        <f t="shared" si="46"/>
        <v>-2.1509796928572664E-2</v>
      </c>
      <c r="E1525" s="53">
        <v>8.5392255541420613E-3</v>
      </c>
      <c r="G1525" s="90">
        <v>1517</v>
      </c>
      <c r="H1525" s="90">
        <f t="shared" ca="1" si="47"/>
        <v>5.8552114504471257E-3</v>
      </c>
    </row>
    <row r="1526" spans="2:8" x14ac:dyDescent="0.3">
      <c r="B1526" s="58">
        <f>'DATA HISTORICAL'!$B2171</f>
        <v>43669</v>
      </c>
      <c r="C1526" s="60">
        <f>'DATA HISTORICAL'!$C2171</f>
        <v>4539.45</v>
      </c>
      <c r="D1526" s="53">
        <f t="shared" si="46"/>
        <v>-9.7879348431070268E-3</v>
      </c>
      <c r="E1526" s="53">
        <v>8.5213223282516407E-3</v>
      </c>
      <c r="G1526" s="90">
        <v>1518</v>
      </c>
      <c r="H1526" s="90">
        <f t="shared" ca="1" si="47"/>
        <v>3.7319074282996238E-2</v>
      </c>
    </row>
    <row r="1527" spans="2:8" x14ac:dyDescent="0.3">
      <c r="B1527" s="58">
        <f>'DATA HISTORICAL'!$B2172</f>
        <v>43668</v>
      </c>
      <c r="C1527" s="60">
        <f>'DATA HISTORICAL'!$C2172</f>
        <v>4584.1000000000004</v>
      </c>
      <c r="D1527" s="53">
        <f t="shared" si="46"/>
        <v>1.3429358358389645E-2</v>
      </c>
      <c r="E1527" s="53">
        <v>8.5118304865716907E-3</v>
      </c>
      <c r="G1527" s="90">
        <v>1519</v>
      </c>
      <c r="H1527" s="90">
        <f t="shared" ca="1" si="47"/>
        <v>-1.2510741129962727E-2</v>
      </c>
    </row>
    <row r="1528" spans="2:8" x14ac:dyDescent="0.3">
      <c r="B1528" s="58">
        <f>'DATA HISTORICAL'!$B2173</f>
        <v>43665</v>
      </c>
      <c r="C1528" s="60">
        <f>'DATA HISTORICAL'!$C2173</f>
        <v>4522.95</v>
      </c>
      <c r="D1528" s="53">
        <f t="shared" si="46"/>
        <v>-1.7272230105863276E-2</v>
      </c>
      <c r="E1528" s="53">
        <v>8.5001971751491497E-3</v>
      </c>
      <c r="G1528" s="90">
        <v>1520</v>
      </c>
      <c r="H1528" s="90">
        <f t="shared" ca="1" si="47"/>
        <v>-1.813339664977634E-2</v>
      </c>
    </row>
    <row r="1529" spans="2:8" x14ac:dyDescent="0.3">
      <c r="B1529" s="58">
        <f>'DATA HISTORICAL'!$B2174</f>
        <v>43664</v>
      </c>
      <c r="C1529" s="60">
        <f>'DATA HISTORICAL'!$C2174</f>
        <v>4601.75</v>
      </c>
      <c r="D1529" s="53">
        <f t="shared" si="46"/>
        <v>-1.5633994086292169E-3</v>
      </c>
      <c r="E1529" s="53">
        <v>8.4956437024840421E-3</v>
      </c>
      <c r="G1529" s="90">
        <v>1521</v>
      </c>
      <c r="H1529" s="90">
        <f t="shared" ca="1" si="47"/>
        <v>2.3552543690166728E-2</v>
      </c>
    </row>
    <row r="1530" spans="2:8" x14ac:dyDescent="0.3">
      <c r="B1530" s="58">
        <f>'DATA HISTORICAL'!$B2175</f>
        <v>43663</v>
      </c>
      <c r="C1530" s="60">
        <f>'DATA HISTORICAL'!$C2175</f>
        <v>4608.95</v>
      </c>
      <c r="D1530" s="53">
        <f t="shared" si="46"/>
        <v>1.7481288077516781E-3</v>
      </c>
      <c r="E1530" s="53">
        <v>8.4838657962045833E-3</v>
      </c>
      <c r="G1530" s="90">
        <v>1522</v>
      </c>
      <c r="H1530" s="90">
        <f t="shared" ca="1" si="47"/>
        <v>1.7320086431471801E-2</v>
      </c>
    </row>
    <row r="1531" spans="2:8" x14ac:dyDescent="0.3">
      <c r="B1531" s="58">
        <f>'DATA HISTORICAL'!$B2176</f>
        <v>43662</v>
      </c>
      <c r="C1531" s="60">
        <f>'DATA HISTORICAL'!$C2176</f>
        <v>4600.8999999999996</v>
      </c>
      <c r="D1531" s="53">
        <f t="shared" si="46"/>
        <v>8.4801970748094946E-4</v>
      </c>
      <c r="E1531" s="53">
        <v>8.4812563228699404E-3</v>
      </c>
      <c r="G1531" s="90">
        <v>1523</v>
      </c>
      <c r="H1531" s="90">
        <f t="shared" ca="1" si="47"/>
        <v>2.4612473009485613E-2</v>
      </c>
    </row>
    <row r="1532" spans="2:8" x14ac:dyDescent="0.3">
      <c r="B1532" s="58">
        <f>'DATA HISTORICAL'!$B2177</f>
        <v>43661</v>
      </c>
      <c r="C1532" s="60">
        <f>'DATA HISTORICAL'!$C2177</f>
        <v>4597</v>
      </c>
      <c r="D1532" s="53">
        <f t="shared" si="46"/>
        <v>6.7992207672792279E-3</v>
      </c>
      <c r="E1532" s="53">
        <v>8.4596367004438899E-3</v>
      </c>
      <c r="G1532" s="90">
        <v>1524</v>
      </c>
      <c r="H1532" s="90">
        <f t="shared" ca="1" si="47"/>
        <v>1.2513359316937495E-2</v>
      </c>
    </row>
    <row r="1533" spans="2:8" x14ac:dyDescent="0.3">
      <c r="B1533" s="58">
        <f>'DATA HISTORICAL'!$B2178</f>
        <v>43658</v>
      </c>
      <c r="C1533" s="60">
        <f>'DATA HISTORICAL'!$C2178</f>
        <v>4565.8500000000004</v>
      </c>
      <c r="D1533" s="53">
        <f t="shared" si="46"/>
        <v>5.8759415407444006E-3</v>
      </c>
      <c r="E1533" s="53">
        <v>8.4587459741963314E-3</v>
      </c>
      <c r="G1533" s="90">
        <v>1525</v>
      </c>
      <c r="H1533" s="90">
        <f t="shared" ca="1" si="47"/>
        <v>-6.0220170224526111E-3</v>
      </c>
    </row>
    <row r="1534" spans="2:8" x14ac:dyDescent="0.3">
      <c r="B1534" s="58">
        <f>'DATA HISTORICAL'!$B2179</f>
        <v>43657</v>
      </c>
      <c r="C1534" s="60">
        <f>'DATA HISTORICAL'!$C2179</f>
        <v>4539.1000000000004</v>
      </c>
      <c r="D1534" s="53">
        <f t="shared" si="46"/>
        <v>1.2949470294933365E-2</v>
      </c>
      <c r="E1534" s="53">
        <v>8.458168221381809E-3</v>
      </c>
      <c r="G1534" s="90">
        <v>1526</v>
      </c>
      <c r="H1534" s="90">
        <f t="shared" ca="1" si="47"/>
        <v>4.3855698989981901E-2</v>
      </c>
    </row>
    <row r="1535" spans="2:8" x14ac:dyDescent="0.3">
      <c r="B1535" s="58">
        <f>'DATA HISTORICAL'!$B2180</f>
        <v>43656</v>
      </c>
      <c r="C1535" s="60">
        <f>'DATA HISTORICAL'!$C2180</f>
        <v>4480.7</v>
      </c>
      <c r="D1535" s="53">
        <f t="shared" si="46"/>
        <v>-4.0091819298177936E-3</v>
      </c>
      <c r="E1535" s="53">
        <v>8.4537539500578966E-3</v>
      </c>
      <c r="G1535" s="90">
        <v>1527</v>
      </c>
      <c r="H1535" s="90">
        <f t="shared" ca="1" si="47"/>
        <v>7.0363738767697239E-3</v>
      </c>
    </row>
    <row r="1536" spans="2:8" x14ac:dyDescent="0.3">
      <c r="B1536" s="58">
        <f>'DATA HISTORICAL'!$B2181</f>
        <v>43655</v>
      </c>
      <c r="C1536" s="60">
        <f>'DATA HISTORICAL'!$C2181</f>
        <v>4498.7</v>
      </c>
      <c r="D1536" s="53">
        <f t="shared" si="46"/>
        <v>2.3924074772745295E-2</v>
      </c>
      <c r="E1536" s="53">
        <v>8.4532423630439054E-3</v>
      </c>
      <c r="G1536" s="90">
        <v>1528</v>
      </c>
      <c r="H1536" s="90">
        <f t="shared" ca="1" si="47"/>
        <v>6.470719629985063E-3</v>
      </c>
    </row>
    <row r="1537" spans="2:8" x14ac:dyDescent="0.3">
      <c r="B1537" s="58">
        <f>'DATA HISTORICAL'!$B2182</f>
        <v>43654</v>
      </c>
      <c r="C1537" s="60">
        <f>'DATA HISTORICAL'!$C2182</f>
        <v>4392.3500000000004</v>
      </c>
      <c r="D1537" s="53">
        <f t="shared" si="46"/>
        <v>-2.9101039470843682E-2</v>
      </c>
      <c r="E1537" s="53">
        <v>8.4271587647384467E-3</v>
      </c>
      <c r="G1537" s="90">
        <v>1529</v>
      </c>
      <c r="H1537" s="90">
        <f t="shared" ca="1" si="47"/>
        <v>-1.7720347054662822E-3</v>
      </c>
    </row>
    <row r="1538" spans="2:8" x14ac:dyDescent="0.3">
      <c r="B1538" s="58">
        <f>'DATA HISTORICAL'!$B2183</f>
        <v>43651</v>
      </c>
      <c r="C1538" s="60">
        <f>'DATA HISTORICAL'!$C2183</f>
        <v>4522.05</v>
      </c>
      <c r="D1538" s="53">
        <f t="shared" si="46"/>
        <v>-2.6901288416631423E-2</v>
      </c>
      <c r="E1538" s="53">
        <v>8.4244044547666791E-3</v>
      </c>
      <c r="G1538" s="90">
        <v>1530</v>
      </c>
      <c r="H1538" s="90">
        <f t="shared" ca="1" si="47"/>
        <v>-1.9083339498930388E-2</v>
      </c>
    </row>
    <row r="1539" spans="2:8" x14ac:dyDescent="0.3">
      <c r="B1539" s="58">
        <f>'DATA HISTORICAL'!$B2184</f>
        <v>43650</v>
      </c>
      <c r="C1539" s="60">
        <f>'DATA HISTORICAL'!$C2184</f>
        <v>4645.3500000000004</v>
      </c>
      <c r="D1539" s="53">
        <f t="shared" si="46"/>
        <v>1.829193455223543E-2</v>
      </c>
      <c r="E1539" s="53">
        <v>8.4019618876440463E-3</v>
      </c>
      <c r="G1539" s="90">
        <v>1531</v>
      </c>
      <c r="H1539" s="90">
        <f t="shared" ca="1" si="47"/>
        <v>2.2280943131038882E-2</v>
      </c>
    </row>
    <row r="1540" spans="2:8" x14ac:dyDescent="0.3">
      <c r="B1540" s="58">
        <f>'DATA HISTORICAL'!$B2185</f>
        <v>43649</v>
      </c>
      <c r="C1540" s="60">
        <f>'DATA HISTORICAL'!$C2185</f>
        <v>4561.1499999999996</v>
      </c>
      <c r="D1540" s="53">
        <f t="shared" si="46"/>
        <v>3.7450964944938173E-3</v>
      </c>
      <c r="E1540" s="53">
        <v>8.3989566998698504E-3</v>
      </c>
      <c r="G1540" s="90">
        <v>1532</v>
      </c>
      <c r="H1540" s="90">
        <f t="shared" ca="1" si="47"/>
        <v>2.2051528300377286E-2</v>
      </c>
    </row>
    <row r="1541" spans="2:8" x14ac:dyDescent="0.3">
      <c r="B1541" s="58">
        <f>'DATA HISTORICAL'!$B2186</f>
        <v>43648</v>
      </c>
      <c r="C1541" s="60">
        <f>'DATA HISTORICAL'!$C2186</f>
        <v>4544.1000000000004</v>
      </c>
      <c r="D1541" s="53">
        <f t="shared" si="46"/>
        <v>3.8475366484154849E-3</v>
      </c>
      <c r="E1541" s="53">
        <v>8.3955918866918996E-3</v>
      </c>
      <c r="G1541" s="90">
        <v>1533</v>
      </c>
      <c r="H1541" s="90">
        <f t="shared" ca="1" si="47"/>
        <v>4.1868424160017032E-3</v>
      </c>
    </row>
    <row r="1542" spans="2:8" x14ac:dyDescent="0.3">
      <c r="B1542" s="58">
        <f>'DATA HISTORICAL'!$B2187</f>
        <v>43647</v>
      </c>
      <c r="C1542" s="60">
        <f>'DATA HISTORICAL'!$C2187</f>
        <v>4526.6499999999996</v>
      </c>
      <c r="D1542" s="53">
        <f t="shared" si="46"/>
        <v>-6.4299698551965809E-3</v>
      </c>
      <c r="E1542" s="53">
        <v>8.3907647198244503E-3</v>
      </c>
      <c r="G1542" s="90">
        <v>1534</v>
      </c>
      <c r="H1542" s="90">
        <f t="shared" ca="1" si="47"/>
        <v>1.1078088350010949E-2</v>
      </c>
    </row>
    <row r="1543" spans="2:8" x14ac:dyDescent="0.3">
      <c r="B1543" s="58">
        <f>'DATA HISTORICAL'!$B2188</f>
        <v>43644</v>
      </c>
      <c r="C1543" s="60">
        <f>'DATA HISTORICAL'!$C2188</f>
        <v>4555.8500000000004</v>
      </c>
      <c r="D1543" s="53">
        <f t="shared" si="46"/>
        <v>-9.4593823862104028E-3</v>
      </c>
      <c r="E1543" s="53">
        <v>8.3680258017894971E-3</v>
      </c>
      <c r="G1543" s="90">
        <v>1535</v>
      </c>
      <c r="H1543" s="90">
        <f t="shared" ca="1" si="47"/>
        <v>-1.0554786303461298E-2</v>
      </c>
    </row>
    <row r="1544" spans="2:8" x14ac:dyDescent="0.3">
      <c r="B1544" s="58">
        <f>'DATA HISTORICAL'!$B2189</f>
        <v>43643</v>
      </c>
      <c r="C1544" s="60">
        <f>'DATA HISTORICAL'!$C2189</f>
        <v>4599.1499999999996</v>
      </c>
      <c r="D1544" s="53">
        <f t="shared" si="46"/>
        <v>3.8057750376432355E-4</v>
      </c>
      <c r="E1544" s="53">
        <v>8.3622293277785947E-3</v>
      </c>
      <c r="G1544" s="90">
        <v>1536</v>
      </c>
      <c r="H1544" s="90">
        <f t="shared" ca="1" si="47"/>
        <v>1.8825600783231394E-2</v>
      </c>
    </row>
    <row r="1545" spans="2:8" x14ac:dyDescent="0.3">
      <c r="B1545" s="58">
        <f>'DATA HISTORICAL'!$B2190</f>
        <v>43642</v>
      </c>
      <c r="C1545" s="60">
        <f>'DATA HISTORICAL'!$C2190</f>
        <v>4597.3999999999996</v>
      </c>
      <c r="D1545" s="53">
        <f t="shared" ref="D1545:D1608" si="48">LN(C1545/C1546)</f>
        <v>2.9368735560710994E-4</v>
      </c>
      <c r="E1545" s="53">
        <v>8.3584807739757131E-3</v>
      </c>
      <c r="G1545" s="90">
        <v>1537</v>
      </c>
      <c r="H1545" s="90">
        <f t="shared" ref="H1545:H1608" ca="1" si="49">_xlfn.NORM.INV(RAND(),N$10,N$11)</f>
        <v>7.0854126574131319E-3</v>
      </c>
    </row>
    <row r="1546" spans="2:8" x14ac:dyDescent="0.3">
      <c r="B1546" s="58">
        <f>'DATA HISTORICAL'!$B2191</f>
        <v>43641</v>
      </c>
      <c r="C1546" s="60">
        <f>'DATA HISTORICAL'!$C2191</f>
        <v>4596.05</v>
      </c>
      <c r="D1546" s="53">
        <f t="shared" si="48"/>
        <v>4.6342570276477245E-3</v>
      </c>
      <c r="E1546" s="53">
        <v>8.3549623114453145E-3</v>
      </c>
      <c r="G1546" s="90">
        <v>1538</v>
      </c>
      <c r="H1546" s="90">
        <f t="shared" ca="1" si="49"/>
        <v>1.1476956677972733E-2</v>
      </c>
    </row>
    <row r="1547" spans="2:8" x14ac:dyDescent="0.3">
      <c r="B1547" s="58">
        <f>'DATA HISTORICAL'!$B2192</f>
        <v>43640</v>
      </c>
      <c r="C1547" s="60">
        <f>'DATA HISTORICAL'!$C2192</f>
        <v>4574.8</v>
      </c>
      <c r="D1547" s="53">
        <f t="shared" si="48"/>
        <v>-4.4384175283709217E-3</v>
      </c>
      <c r="E1547" s="53">
        <v>8.3142868476012328E-3</v>
      </c>
      <c r="G1547" s="90">
        <v>1539</v>
      </c>
      <c r="H1547" s="90">
        <f t="shared" ca="1" si="49"/>
        <v>3.4069632737189479E-2</v>
      </c>
    </row>
    <row r="1548" spans="2:8" x14ac:dyDescent="0.3">
      <c r="B1548" s="58">
        <f>'DATA HISTORICAL'!$B2193</f>
        <v>43637</v>
      </c>
      <c r="C1548" s="60">
        <f>'DATA HISTORICAL'!$C2193</f>
        <v>4595.1499999999996</v>
      </c>
      <c r="D1548" s="53">
        <f t="shared" si="48"/>
        <v>4.1652188620666221E-3</v>
      </c>
      <c r="E1548" s="53">
        <v>8.3071893450461023E-3</v>
      </c>
      <c r="G1548" s="90">
        <v>1540</v>
      </c>
      <c r="H1548" s="90">
        <f t="shared" ca="1" si="49"/>
        <v>-4.590164510085446E-3</v>
      </c>
    </row>
    <row r="1549" spans="2:8" x14ac:dyDescent="0.3">
      <c r="B1549" s="58">
        <f>'DATA HISTORICAL'!$B2194</f>
        <v>43636</v>
      </c>
      <c r="C1549" s="60">
        <f>'DATA HISTORICAL'!$C2194</f>
        <v>4576.05</v>
      </c>
      <c r="D1549" s="53">
        <f t="shared" si="48"/>
        <v>2.0097685080469437E-2</v>
      </c>
      <c r="E1549" s="53">
        <v>8.3037919135142153E-3</v>
      </c>
      <c r="G1549" s="90">
        <v>1541</v>
      </c>
      <c r="H1549" s="90">
        <f t="shared" ca="1" si="49"/>
        <v>2.3408791125593544E-2</v>
      </c>
    </row>
    <row r="1550" spans="2:8" x14ac:dyDescent="0.3">
      <c r="B1550" s="58">
        <f>'DATA HISTORICAL'!$B2195</f>
        <v>43635</v>
      </c>
      <c r="C1550" s="60">
        <f>'DATA HISTORICAL'!$C2195</f>
        <v>4485</v>
      </c>
      <c r="D1550" s="53">
        <f t="shared" si="48"/>
        <v>-5.8801140918147369E-3</v>
      </c>
      <c r="E1550" s="53">
        <v>8.3003574753375154E-3</v>
      </c>
      <c r="G1550" s="90">
        <v>1542</v>
      </c>
      <c r="H1550" s="90">
        <f t="shared" ca="1" si="49"/>
        <v>-6.2285060022732068E-3</v>
      </c>
    </row>
    <row r="1551" spans="2:8" x14ac:dyDescent="0.3">
      <c r="B1551" s="58">
        <f>'DATA HISTORICAL'!$B2196</f>
        <v>43634</v>
      </c>
      <c r="C1551" s="60">
        <f>'DATA HISTORICAL'!$C2196</f>
        <v>4511.45</v>
      </c>
      <c r="D1551" s="53">
        <f t="shared" si="48"/>
        <v>1.2524210879701923E-2</v>
      </c>
      <c r="E1551" s="53">
        <v>8.2866669660046233E-3</v>
      </c>
      <c r="G1551" s="90">
        <v>1543</v>
      </c>
      <c r="H1551" s="90">
        <f t="shared" ca="1" si="49"/>
        <v>2.1427257434501475E-2</v>
      </c>
    </row>
    <row r="1552" spans="2:8" x14ac:dyDescent="0.3">
      <c r="B1552" s="58">
        <f>'DATA HISTORICAL'!$B2197</f>
        <v>43633</v>
      </c>
      <c r="C1552" s="60">
        <f>'DATA HISTORICAL'!$C2197</f>
        <v>4455.3</v>
      </c>
      <c r="D1552" s="53">
        <f t="shared" si="48"/>
        <v>-1.0371811344605577E-2</v>
      </c>
      <c r="E1552" s="53">
        <v>8.2864225334450606E-3</v>
      </c>
      <c r="G1552" s="90">
        <v>1544</v>
      </c>
      <c r="H1552" s="90">
        <f t="shared" ca="1" si="49"/>
        <v>9.071939859372281E-3</v>
      </c>
    </row>
    <row r="1553" spans="2:8" x14ac:dyDescent="0.3">
      <c r="B1553" s="58">
        <f>'DATA HISTORICAL'!$B2198</f>
        <v>43630</v>
      </c>
      <c r="C1553" s="60">
        <f>'DATA HISTORICAL'!$C2198</f>
        <v>4501.75</v>
      </c>
      <c r="D1553" s="53">
        <f t="shared" si="48"/>
        <v>-1.5090757557182586E-2</v>
      </c>
      <c r="E1553" s="53">
        <v>8.2791245345629049E-3</v>
      </c>
      <c r="G1553" s="90">
        <v>1545</v>
      </c>
      <c r="H1553" s="90">
        <f t="shared" ca="1" si="49"/>
        <v>3.6557650841020557E-3</v>
      </c>
    </row>
    <row r="1554" spans="2:8" x14ac:dyDescent="0.3">
      <c r="B1554" s="58">
        <f>'DATA HISTORICAL'!$B2199</f>
        <v>43629</v>
      </c>
      <c r="C1554" s="60">
        <f>'DATA HISTORICAL'!$C2199</f>
        <v>4570.2</v>
      </c>
      <c r="D1554" s="53">
        <f t="shared" si="48"/>
        <v>2.4071865576386271E-4</v>
      </c>
      <c r="E1554" s="53">
        <v>8.2731861237419942E-3</v>
      </c>
      <c r="G1554" s="90">
        <v>1546</v>
      </c>
      <c r="H1554" s="90">
        <f t="shared" ca="1" si="49"/>
        <v>-3.6571044760463677E-3</v>
      </c>
    </row>
    <row r="1555" spans="2:8" x14ac:dyDescent="0.3">
      <c r="B1555" s="58">
        <f>'DATA HISTORICAL'!$B2200</f>
        <v>43628</v>
      </c>
      <c r="C1555" s="60">
        <f>'DATA HISTORICAL'!$C2200</f>
        <v>4569.1000000000004</v>
      </c>
      <c r="D1555" s="53">
        <f t="shared" si="48"/>
        <v>-3.4193296259108419E-3</v>
      </c>
      <c r="E1555" s="53">
        <v>8.2641329216557955E-3</v>
      </c>
      <c r="G1555" s="90">
        <v>1547</v>
      </c>
      <c r="H1555" s="90">
        <f t="shared" ca="1" si="49"/>
        <v>3.0423467711979242E-2</v>
      </c>
    </row>
    <row r="1556" spans="2:8" x14ac:dyDescent="0.3">
      <c r="B1556" s="58">
        <f>'DATA HISTORICAL'!$B2201</f>
        <v>43627</v>
      </c>
      <c r="C1556" s="60">
        <f>'DATA HISTORICAL'!$C2201</f>
        <v>4584.75</v>
      </c>
      <c r="D1556" s="53">
        <f t="shared" si="48"/>
        <v>-2.8532243345319626E-3</v>
      </c>
      <c r="E1556" s="53">
        <v>8.2407758155451285E-3</v>
      </c>
      <c r="G1556" s="90">
        <v>1548</v>
      </c>
      <c r="H1556" s="90">
        <f t="shared" ca="1" si="49"/>
        <v>-3.2753076454000607E-2</v>
      </c>
    </row>
    <row r="1557" spans="2:8" x14ac:dyDescent="0.3">
      <c r="B1557" s="58">
        <f>'DATA HISTORICAL'!$B2202</f>
        <v>43626</v>
      </c>
      <c r="C1557" s="60">
        <f>'DATA HISTORICAL'!$C2202</f>
        <v>4597.8500000000004</v>
      </c>
      <c r="D1557" s="53">
        <f t="shared" si="48"/>
        <v>5.4521600159721656E-3</v>
      </c>
      <c r="E1557" s="53">
        <v>8.2394166915417451E-3</v>
      </c>
      <c r="G1557" s="90">
        <v>1549</v>
      </c>
      <c r="H1557" s="90">
        <f t="shared" ca="1" si="49"/>
        <v>-2.9443388377416255E-4</v>
      </c>
    </row>
    <row r="1558" spans="2:8" x14ac:dyDescent="0.3">
      <c r="B1558" s="58">
        <f>'DATA HISTORICAL'!$B2203</f>
        <v>43623</v>
      </c>
      <c r="C1558" s="60">
        <f>'DATA HISTORICAL'!$C2203</f>
        <v>4572.8500000000004</v>
      </c>
      <c r="D1558" s="53">
        <f t="shared" si="48"/>
        <v>3.6089041899567593E-4</v>
      </c>
      <c r="E1558" s="53">
        <v>8.2385068683681808E-3</v>
      </c>
      <c r="G1558" s="90">
        <v>1550</v>
      </c>
      <c r="H1558" s="90">
        <f t="shared" ca="1" si="49"/>
        <v>1.5664889319375461E-2</v>
      </c>
    </row>
    <row r="1559" spans="2:8" x14ac:dyDescent="0.3">
      <c r="B1559" s="58">
        <f>'DATA HISTORICAL'!$B2204</f>
        <v>43622</v>
      </c>
      <c r="C1559" s="60">
        <f>'DATA HISTORICAL'!$C2204</f>
        <v>4571.2</v>
      </c>
      <c r="D1559" s="53">
        <f t="shared" si="48"/>
        <v>-2.6083178296857516E-2</v>
      </c>
      <c r="E1559" s="53">
        <v>8.1825144591488319E-3</v>
      </c>
      <c r="G1559" s="90">
        <v>1551</v>
      </c>
      <c r="H1559" s="90">
        <f t="shared" ca="1" si="49"/>
        <v>1.3863786163240865E-2</v>
      </c>
    </row>
    <row r="1560" spans="2:8" x14ac:dyDescent="0.3">
      <c r="B1560" s="58">
        <f>'DATA HISTORICAL'!$B2205</f>
        <v>43620</v>
      </c>
      <c r="C1560" s="60">
        <f>'DATA HISTORICAL'!$C2205</f>
        <v>4692</v>
      </c>
      <c r="D1560" s="53">
        <f t="shared" si="48"/>
        <v>-1.4871814029129975E-2</v>
      </c>
      <c r="E1560" s="53">
        <v>8.1785614152986852E-3</v>
      </c>
      <c r="G1560" s="90">
        <v>1552</v>
      </c>
      <c r="H1560" s="90">
        <f t="shared" ca="1" si="49"/>
        <v>1.0750443512609644E-2</v>
      </c>
    </row>
    <row r="1561" spans="2:8" x14ac:dyDescent="0.3">
      <c r="B1561" s="58">
        <f>'DATA HISTORICAL'!$B2206</f>
        <v>43619</v>
      </c>
      <c r="C1561" s="60">
        <f>'DATA HISTORICAL'!$C2206</f>
        <v>4762.3</v>
      </c>
      <c r="D1561" s="53">
        <f t="shared" si="48"/>
        <v>4.6206839434226679E-4</v>
      </c>
      <c r="E1561" s="53">
        <v>8.1723447941740284E-3</v>
      </c>
      <c r="G1561" s="90">
        <v>1553</v>
      </c>
      <c r="H1561" s="90">
        <f t="shared" ca="1" si="49"/>
        <v>-2.0427004388944275E-4</v>
      </c>
    </row>
    <row r="1562" spans="2:8" x14ac:dyDescent="0.3">
      <c r="B1562" s="58">
        <f>'DATA HISTORICAL'!$B2207</f>
        <v>43616</v>
      </c>
      <c r="C1562" s="60">
        <f>'DATA HISTORICAL'!$C2207</f>
        <v>4760.1000000000004</v>
      </c>
      <c r="D1562" s="53">
        <f t="shared" si="48"/>
        <v>2.521273256345162E-4</v>
      </c>
      <c r="E1562" s="53">
        <v>8.1680238793872574E-3</v>
      </c>
      <c r="G1562" s="90">
        <v>1554</v>
      </c>
      <c r="H1562" s="90">
        <f t="shared" ca="1" si="49"/>
        <v>3.2344819731450508E-2</v>
      </c>
    </row>
    <row r="1563" spans="2:8" x14ac:dyDescent="0.3">
      <c r="B1563" s="58">
        <f>'DATA HISTORICAL'!$B2208</f>
        <v>43615</v>
      </c>
      <c r="C1563" s="60">
        <f>'DATA HISTORICAL'!$C2208</f>
        <v>4758.8999999999996</v>
      </c>
      <c r="D1563" s="53">
        <f t="shared" si="48"/>
        <v>8.2395296689190319E-3</v>
      </c>
      <c r="E1563" s="53">
        <v>8.1489770646923591E-3</v>
      </c>
      <c r="G1563" s="90">
        <v>1555</v>
      </c>
      <c r="H1563" s="90">
        <f t="shared" ca="1" si="49"/>
        <v>-1.6154065289265248E-3</v>
      </c>
    </row>
    <row r="1564" spans="2:8" x14ac:dyDescent="0.3">
      <c r="B1564" s="58">
        <f>'DATA HISTORICAL'!$B2209</f>
        <v>43614</v>
      </c>
      <c r="C1564" s="60">
        <f>'DATA HISTORICAL'!$C2209</f>
        <v>4719.8500000000004</v>
      </c>
      <c r="D1564" s="53">
        <f t="shared" si="48"/>
        <v>-1.1187542945556111E-2</v>
      </c>
      <c r="E1564" s="53">
        <v>8.1143959025623894E-3</v>
      </c>
      <c r="G1564" s="90">
        <v>1556</v>
      </c>
      <c r="H1564" s="90">
        <f t="shared" ca="1" si="49"/>
        <v>-5.3404045591604098E-3</v>
      </c>
    </row>
    <row r="1565" spans="2:8" x14ac:dyDescent="0.3">
      <c r="B1565" s="58">
        <f>'DATA HISTORICAL'!$B2210</f>
        <v>43613</v>
      </c>
      <c r="C1565" s="60">
        <f>'DATA HISTORICAL'!$C2210</f>
        <v>4772.95</v>
      </c>
      <c r="D1565" s="53">
        <f t="shared" si="48"/>
        <v>-1.4167076971736452E-2</v>
      </c>
      <c r="E1565" s="53">
        <v>8.1010397648226817E-3</v>
      </c>
      <c r="G1565" s="90">
        <v>1557</v>
      </c>
      <c r="H1565" s="90">
        <f t="shared" ca="1" si="49"/>
        <v>-1.3744055078523023E-2</v>
      </c>
    </row>
    <row r="1566" spans="2:8" x14ac:dyDescent="0.3">
      <c r="B1566" s="58">
        <f>'DATA HISTORICAL'!$B2211</f>
        <v>43612</v>
      </c>
      <c r="C1566" s="60">
        <f>'DATA HISTORICAL'!$C2211</f>
        <v>4841.05</v>
      </c>
      <c r="D1566" s="53">
        <f t="shared" si="48"/>
        <v>8.4948883185878166E-3</v>
      </c>
      <c r="E1566" s="53">
        <v>8.0995855229492424E-3</v>
      </c>
      <c r="G1566" s="90">
        <v>1558</v>
      </c>
      <c r="H1566" s="90">
        <f t="shared" ca="1" si="49"/>
        <v>2.5663669573180649E-2</v>
      </c>
    </row>
    <row r="1567" spans="2:8" x14ac:dyDescent="0.3">
      <c r="B1567" s="58">
        <f>'DATA HISTORICAL'!$B2212</f>
        <v>43609</v>
      </c>
      <c r="C1567" s="60">
        <f>'DATA HISTORICAL'!$C2212</f>
        <v>4800.1000000000004</v>
      </c>
      <c r="D1567" s="53">
        <f t="shared" si="48"/>
        <v>2.4494979988733592E-2</v>
      </c>
      <c r="E1567" s="53">
        <v>8.096164115049315E-3</v>
      </c>
      <c r="G1567" s="90">
        <v>1559</v>
      </c>
      <c r="H1567" s="90">
        <f t="shared" ca="1" si="49"/>
        <v>3.622633108839577E-2</v>
      </c>
    </row>
    <row r="1568" spans="2:8" x14ac:dyDescent="0.3">
      <c r="B1568" s="58">
        <f>'DATA HISTORICAL'!$B2213</f>
        <v>43608</v>
      </c>
      <c r="C1568" s="60">
        <f>'DATA HISTORICAL'!$C2213</f>
        <v>4683.95</v>
      </c>
      <c r="D1568" s="53">
        <f t="shared" si="48"/>
        <v>7.8446063657254348E-3</v>
      </c>
      <c r="E1568" s="53">
        <v>8.0523735134081179E-3</v>
      </c>
      <c r="G1568" s="90">
        <v>1560</v>
      </c>
      <c r="H1568" s="90">
        <f t="shared" ca="1" si="49"/>
        <v>-3.3075909607929201E-4</v>
      </c>
    </row>
    <row r="1569" spans="2:8" x14ac:dyDescent="0.3">
      <c r="B1569" s="58">
        <f>'DATA HISTORICAL'!$B2214</f>
        <v>43607</v>
      </c>
      <c r="C1569" s="60">
        <f>'DATA HISTORICAL'!$C2214</f>
        <v>4647.3500000000004</v>
      </c>
      <c r="D1569" s="53">
        <f t="shared" si="48"/>
        <v>1.6366791994318641E-3</v>
      </c>
      <c r="E1569" s="53">
        <v>8.0517697413800739E-3</v>
      </c>
      <c r="G1569" s="90">
        <v>1561</v>
      </c>
      <c r="H1569" s="90">
        <f t="shared" ca="1" si="49"/>
        <v>3.0632582420337631E-2</v>
      </c>
    </row>
    <row r="1570" spans="2:8" x14ac:dyDescent="0.3">
      <c r="B1570" s="58">
        <f>'DATA HISTORICAL'!$B2215</f>
        <v>43606</v>
      </c>
      <c r="C1570" s="60">
        <f>'DATA HISTORICAL'!$C2215</f>
        <v>4639.75</v>
      </c>
      <c r="D1570" s="53">
        <f t="shared" si="48"/>
        <v>-2.8565935153130179E-2</v>
      </c>
      <c r="E1570" s="53">
        <v>8.0430896741547769E-3</v>
      </c>
      <c r="G1570" s="90">
        <v>1562</v>
      </c>
      <c r="H1570" s="90">
        <f t="shared" ca="1" si="49"/>
        <v>3.0540574440711746E-2</v>
      </c>
    </row>
    <row r="1571" spans="2:8" x14ac:dyDescent="0.3">
      <c r="B1571" s="58">
        <f>'DATA HISTORICAL'!$B2216</f>
        <v>43605</v>
      </c>
      <c r="C1571" s="60">
        <f>'DATA HISTORICAL'!$C2216</f>
        <v>4774.2</v>
      </c>
      <c r="D1571" s="53">
        <f t="shared" si="48"/>
        <v>6.0750305220106694E-2</v>
      </c>
      <c r="E1571" s="53">
        <v>8.0381416636899749E-3</v>
      </c>
      <c r="G1571" s="90">
        <v>1563</v>
      </c>
      <c r="H1571" s="90">
        <f t="shared" ca="1" si="49"/>
        <v>-3.8345543233319561E-2</v>
      </c>
    </row>
    <row r="1572" spans="2:8" x14ac:dyDescent="0.3">
      <c r="B1572" s="58">
        <f>'DATA HISTORICAL'!$B2217</f>
        <v>43602</v>
      </c>
      <c r="C1572" s="60">
        <f>'DATA HISTORICAL'!$C2217</f>
        <v>4492.8</v>
      </c>
      <c r="D1572" s="53">
        <f t="shared" si="48"/>
        <v>-4.4416880343290197E-3</v>
      </c>
      <c r="E1572" s="53">
        <v>8.0184282134606009E-3</v>
      </c>
      <c r="G1572" s="90">
        <v>1564</v>
      </c>
      <c r="H1572" s="90">
        <f t="shared" ca="1" si="49"/>
        <v>1.37518471028917E-2</v>
      </c>
    </row>
    <row r="1573" spans="2:8" x14ac:dyDescent="0.3">
      <c r="B1573" s="58">
        <f>'DATA HISTORICAL'!$B2218</f>
        <v>43601</v>
      </c>
      <c r="C1573" s="60">
        <f>'DATA HISTORICAL'!$C2218</f>
        <v>4512.8</v>
      </c>
      <c r="D1573" s="53">
        <f t="shared" si="48"/>
        <v>3.8502127221440779E-2</v>
      </c>
      <c r="E1573" s="53">
        <v>8.0178342557053021E-3</v>
      </c>
      <c r="G1573" s="90">
        <v>1565</v>
      </c>
      <c r="H1573" s="90">
        <f t="shared" ca="1" si="49"/>
        <v>1.6619007457316166E-2</v>
      </c>
    </row>
    <row r="1574" spans="2:8" x14ac:dyDescent="0.3">
      <c r="B1574" s="58">
        <f>'DATA HISTORICAL'!$B2219</f>
        <v>43600</v>
      </c>
      <c r="C1574" s="60">
        <f>'DATA HISTORICAL'!$C2219</f>
        <v>4342.3500000000004</v>
      </c>
      <c r="D1574" s="53">
        <f t="shared" si="48"/>
        <v>-1.8696397633620489E-2</v>
      </c>
      <c r="E1574" s="53">
        <v>8.0135915644689356E-3</v>
      </c>
      <c r="G1574" s="90">
        <v>1566</v>
      </c>
      <c r="H1574" s="90">
        <f t="shared" ca="1" si="49"/>
        <v>3.8406918678971919E-3</v>
      </c>
    </row>
    <row r="1575" spans="2:8" x14ac:dyDescent="0.3">
      <c r="B1575" s="58">
        <f>'DATA HISTORICAL'!$B2220</f>
        <v>43599</v>
      </c>
      <c r="C1575" s="60">
        <f>'DATA HISTORICAL'!$C2220</f>
        <v>4424.3</v>
      </c>
      <c r="D1575" s="53">
        <f t="shared" si="48"/>
        <v>1.9594932391337177E-2</v>
      </c>
      <c r="E1575" s="53">
        <v>8.0099681683532768E-3</v>
      </c>
      <c r="G1575" s="90">
        <v>1567</v>
      </c>
      <c r="H1575" s="90">
        <f t="shared" ca="1" si="49"/>
        <v>8.4638107110171189E-3</v>
      </c>
    </row>
    <row r="1576" spans="2:8" x14ac:dyDescent="0.3">
      <c r="B1576" s="58">
        <f>'DATA HISTORICAL'!$B2221</f>
        <v>43598</v>
      </c>
      <c r="C1576" s="60">
        <f>'DATA HISTORICAL'!$C2221</f>
        <v>4338.45</v>
      </c>
      <c r="D1576" s="53">
        <f t="shared" si="48"/>
        <v>-2.1841350639087095E-2</v>
      </c>
      <c r="E1576" s="53">
        <v>8.0074342237012007E-3</v>
      </c>
      <c r="G1576" s="90">
        <v>1568</v>
      </c>
      <c r="H1576" s="90">
        <f t="shared" ca="1" si="49"/>
        <v>7.3293291377671942E-3</v>
      </c>
    </row>
    <row r="1577" spans="2:8" x14ac:dyDescent="0.3">
      <c r="B1577" s="58">
        <f>'DATA HISTORICAL'!$B2222</f>
        <v>43595</v>
      </c>
      <c r="C1577" s="60">
        <f>'DATA HISTORICAL'!$C2222</f>
        <v>4434.25</v>
      </c>
      <c r="D1577" s="53">
        <f t="shared" si="48"/>
        <v>-9.9073476754932294E-3</v>
      </c>
      <c r="E1577" s="53">
        <v>7.992930091894836E-3</v>
      </c>
      <c r="G1577" s="90">
        <v>1569</v>
      </c>
      <c r="H1577" s="90">
        <f t="shared" ca="1" si="49"/>
        <v>1.0715102361962697E-2</v>
      </c>
    </row>
    <row r="1578" spans="2:8" x14ac:dyDescent="0.3">
      <c r="B1578" s="58">
        <f>'DATA HISTORICAL'!$B2223</f>
        <v>43594</v>
      </c>
      <c r="C1578" s="60">
        <f>'DATA HISTORICAL'!$C2223</f>
        <v>4478.3999999999996</v>
      </c>
      <c r="D1578" s="53">
        <f t="shared" si="48"/>
        <v>-6.5101136328034968E-3</v>
      </c>
      <c r="E1578" s="53">
        <v>7.977567637537604E-3</v>
      </c>
      <c r="G1578" s="90">
        <v>1570</v>
      </c>
      <c r="H1578" s="90">
        <f t="shared" ca="1" si="49"/>
        <v>1.7237782637772203E-2</v>
      </c>
    </row>
    <row r="1579" spans="2:8" x14ac:dyDescent="0.3">
      <c r="B1579" s="58">
        <f>'DATA HISTORICAL'!$B2224</f>
        <v>43593</v>
      </c>
      <c r="C1579" s="60">
        <f>'DATA HISTORICAL'!$C2224</f>
        <v>4507.6499999999996</v>
      </c>
      <c r="D1579" s="53">
        <f t="shared" si="48"/>
        <v>-5.2218862089924061E-3</v>
      </c>
      <c r="E1579" s="53">
        <v>7.9461156460364276E-3</v>
      </c>
      <c r="G1579" s="90">
        <v>1571</v>
      </c>
      <c r="H1579" s="90">
        <f t="shared" ca="1" si="49"/>
        <v>6.8381346107348334E-3</v>
      </c>
    </row>
    <row r="1580" spans="2:8" x14ac:dyDescent="0.3">
      <c r="B1580" s="58">
        <f>'DATA HISTORICAL'!$B2225</f>
        <v>43592</v>
      </c>
      <c r="C1580" s="60">
        <f>'DATA HISTORICAL'!$C2225</f>
        <v>4531.25</v>
      </c>
      <c r="D1580" s="53">
        <f t="shared" si="48"/>
        <v>2.8066937030765873E-3</v>
      </c>
      <c r="E1580" s="53">
        <v>7.9277510189282429E-3</v>
      </c>
      <c r="G1580" s="90">
        <v>1572</v>
      </c>
      <c r="H1580" s="90">
        <f t="shared" ca="1" si="49"/>
        <v>2.4685301148580155E-2</v>
      </c>
    </row>
    <row r="1581" spans="2:8" x14ac:dyDescent="0.3">
      <c r="B1581" s="58">
        <f>'DATA HISTORICAL'!$B2226</f>
        <v>43591</v>
      </c>
      <c r="C1581" s="60">
        <f>'DATA HISTORICAL'!$C2226</f>
        <v>4518.55</v>
      </c>
      <c r="D1581" s="53">
        <f t="shared" si="48"/>
        <v>-1.0446402189832468E-2</v>
      </c>
      <c r="E1581" s="53">
        <v>7.9254789692910447E-3</v>
      </c>
      <c r="G1581" s="90">
        <v>1573</v>
      </c>
      <c r="H1581" s="90">
        <f t="shared" ca="1" si="49"/>
        <v>-7.986936240010057E-3</v>
      </c>
    </row>
    <row r="1582" spans="2:8" x14ac:dyDescent="0.3">
      <c r="B1582" s="58">
        <f>'DATA HISTORICAL'!$B2227</f>
        <v>43588</v>
      </c>
      <c r="C1582" s="60">
        <f>'DATA HISTORICAL'!$C2227</f>
        <v>4566</v>
      </c>
      <c r="D1582" s="53">
        <f t="shared" si="48"/>
        <v>-1.0955970320838124E-2</v>
      </c>
      <c r="E1582" s="53">
        <v>7.9234800351782337E-3</v>
      </c>
      <c r="G1582" s="90">
        <v>1574</v>
      </c>
      <c r="H1582" s="90">
        <f t="shared" ca="1" si="49"/>
        <v>-7.9973663974078606E-4</v>
      </c>
    </row>
    <row r="1583" spans="2:8" x14ac:dyDescent="0.3">
      <c r="B1583" s="58">
        <f>'DATA HISTORICAL'!$B2228</f>
        <v>43587</v>
      </c>
      <c r="C1583" s="60">
        <f>'DATA HISTORICAL'!$C2228</f>
        <v>4616.3</v>
      </c>
      <c r="D1583" s="53">
        <f t="shared" si="48"/>
        <v>-1.0830598617773054E-4</v>
      </c>
      <c r="E1583" s="53">
        <v>7.9168381705934879E-3</v>
      </c>
      <c r="G1583" s="90">
        <v>1575</v>
      </c>
      <c r="H1583" s="90">
        <f t="shared" ca="1" si="49"/>
        <v>6.2226218020478207E-3</v>
      </c>
    </row>
    <row r="1584" spans="2:8" x14ac:dyDescent="0.3">
      <c r="B1584" s="58">
        <f>'DATA HISTORICAL'!$B2229</f>
        <v>43585</v>
      </c>
      <c r="C1584" s="60">
        <f>'DATA HISTORICAL'!$C2229</f>
        <v>4616.8</v>
      </c>
      <c r="D1584" s="53">
        <f t="shared" si="48"/>
        <v>1.4848134518655679E-3</v>
      </c>
      <c r="E1584" s="53">
        <v>7.9101093496164801E-3</v>
      </c>
      <c r="G1584" s="90">
        <v>1576</v>
      </c>
      <c r="H1584" s="90">
        <f t="shared" ca="1" si="49"/>
        <v>-6.0666306670375441E-3</v>
      </c>
    </row>
    <row r="1585" spans="2:8" x14ac:dyDescent="0.3">
      <c r="B1585" s="58">
        <f>'DATA HISTORICAL'!$B2230</f>
        <v>43581</v>
      </c>
      <c r="C1585" s="60">
        <f>'DATA HISTORICAL'!$C2230</f>
        <v>4609.95</v>
      </c>
      <c r="D1585" s="53">
        <f t="shared" si="48"/>
        <v>-1.9612204857141951E-3</v>
      </c>
      <c r="E1585" s="53">
        <v>7.8988907940098496E-3</v>
      </c>
      <c r="G1585" s="90">
        <v>1577</v>
      </c>
      <c r="H1585" s="90">
        <f t="shared" ca="1" si="49"/>
        <v>4.9717545143255742E-2</v>
      </c>
    </row>
    <row r="1586" spans="2:8" x14ac:dyDescent="0.3">
      <c r="B1586" s="58">
        <f>'DATA HISTORICAL'!$B2231</f>
        <v>43580</v>
      </c>
      <c r="C1586" s="60">
        <f>'DATA HISTORICAL'!$C2231</f>
        <v>4619</v>
      </c>
      <c r="D1586" s="53">
        <f t="shared" si="48"/>
        <v>4.9790339432381918E-2</v>
      </c>
      <c r="E1586" s="53">
        <v>7.8594740360174928E-3</v>
      </c>
      <c r="G1586" s="90">
        <v>1578</v>
      </c>
      <c r="H1586" s="90">
        <f t="shared" ca="1" si="49"/>
        <v>-2.5360874297448786E-2</v>
      </c>
    </row>
    <row r="1587" spans="2:8" x14ac:dyDescent="0.3">
      <c r="B1587" s="58">
        <f>'DATA HISTORICAL'!$B2232</f>
        <v>43579</v>
      </c>
      <c r="C1587" s="60">
        <f>'DATA HISTORICAL'!$C2232</f>
        <v>4394.6499999999996</v>
      </c>
      <c r="D1587" s="53">
        <f t="shared" si="48"/>
        <v>4.572012022310637E-2</v>
      </c>
      <c r="E1587" s="53">
        <v>7.8505578624122954E-3</v>
      </c>
      <c r="G1587" s="90">
        <v>1579</v>
      </c>
      <c r="H1587" s="90">
        <f t="shared" ca="1" si="49"/>
        <v>1.9560693100441742E-2</v>
      </c>
    </row>
    <row r="1588" spans="2:8" x14ac:dyDescent="0.3">
      <c r="B1588" s="58">
        <f>'DATA HISTORICAL'!$B2233</f>
        <v>43578</v>
      </c>
      <c r="C1588" s="60">
        <f>'DATA HISTORICAL'!$C2233</f>
        <v>4198.25</v>
      </c>
      <c r="D1588" s="53">
        <f t="shared" si="48"/>
        <v>-1.5708491764140008E-3</v>
      </c>
      <c r="E1588" s="53">
        <v>7.8318792561514819E-3</v>
      </c>
      <c r="G1588" s="90">
        <v>1580</v>
      </c>
      <c r="H1588" s="90">
        <f t="shared" ca="1" si="49"/>
        <v>1.3597558537359472E-2</v>
      </c>
    </row>
    <row r="1589" spans="2:8" x14ac:dyDescent="0.3">
      <c r="B1589" s="58">
        <f>'DATA HISTORICAL'!$B2234</f>
        <v>43577</v>
      </c>
      <c r="C1589" s="60">
        <f>'DATA HISTORICAL'!$C2234</f>
        <v>4204.8500000000004</v>
      </c>
      <c r="D1589" s="53">
        <f t="shared" si="48"/>
        <v>-1.3018802153802789E-2</v>
      </c>
      <c r="E1589" s="53">
        <v>7.8119169692207804E-3</v>
      </c>
      <c r="G1589" s="90">
        <v>1581</v>
      </c>
      <c r="H1589" s="90">
        <f t="shared" ca="1" si="49"/>
        <v>5.6889520528298583E-3</v>
      </c>
    </row>
    <row r="1590" spans="2:8" x14ac:dyDescent="0.3">
      <c r="B1590" s="58">
        <f>'DATA HISTORICAL'!$B2235</f>
        <v>43573</v>
      </c>
      <c r="C1590" s="60">
        <f>'DATA HISTORICAL'!$C2235</f>
        <v>4259.95</v>
      </c>
      <c r="D1590" s="53">
        <f t="shared" si="48"/>
        <v>1.1509102855843266E-3</v>
      </c>
      <c r="E1590" s="53">
        <v>7.7620053354891094E-3</v>
      </c>
      <c r="G1590" s="90">
        <v>1582</v>
      </c>
      <c r="H1590" s="90">
        <f t="shared" ca="1" si="49"/>
        <v>3.7422523055684435E-2</v>
      </c>
    </row>
    <row r="1591" spans="2:8" x14ac:dyDescent="0.3">
      <c r="B1591" s="58">
        <f>'DATA HISTORICAL'!$B2236</f>
        <v>43571</v>
      </c>
      <c r="C1591" s="60">
        <f>'DATA HISTORICAL'!$C2236</f>
        <v>4255.05</v>
      </c>
      <c r="D1591" s="53">
        <f t="shared" si="48"/>
        <v>7.0162486321164175E-3</v>
      </c>
      <c r="E1591" s="53">
        <v>7.7411149161829328E-3</v>
      </c>
      <c r="G1591" s="90">
        <v>1583</v>
      </c>
      <c r="H1591" s="90">
        <f t="shared" ca="1" si="49"/>
        <v>2.6596381587510456E-2</v>
      </c>
    </row>
    <row r="1592" spans="2:8" x14ac:dyDescent="0.3">
      <c r="B1592" s="58">
        <f>'DATA HISTORICAL'!$B2237</f>
        <v>43570</v>
      </c>
      <c r="C1592" s="60">
        <f>'DATA HISTORICAL'!$C2237</f>
        <v>4225.3</v>
      </c>
      <c r="D1592" s="53">
        <f t="shared" si="48"/>
        <v>1.4013909365371745E-2</v>
      </c>
      <c r="E1592" s="53">
        <v>7.7245314891066907E-3</v>
      </c>
      <c r="G1592" s="90">
        <v>1584</v>
      </c>
      <c r="H1592" s="90">
        <f t="shared" ca="1" si="49"/>
        <v>1.2975264605207232E-2</v>
      </c>
    </row>
    <row r="1593" spans="2:8" x14ac:dyDescent="0.3">
      <c r="B1593" s="58">
        <f>'DATA HISTORICAL'!$B2238</f>
        <v>43567</v>
      </c>
      <c r="C1593" s="60">
        <f>'DATA HISTORICAL'!$C2238</f>
        <v>4166.5</v>
      </c>
      <c r="D1593" s="53">
        <f t="shared" si="48"/>
        <v>6.3443357752023012E-3</v>
      </c>
      <c r="E1593" s="53">
        <v>7.7027147645908536E-3</v>
      </c>
      <c r="G1593" s="90">
        <v>1585</v>
      </c>
      <c r="H1593" s="90">
        <f t="shared" ca="1" si="49"/>
        <v>-1.3259354332611009E-2</v>
      </c>
    </row>
    <row r="1594" spans="2:8" x14ac:dyDescent="0.3">
      <c r="B1594" s="58">
        <f>'DATA HISTORICAL'!$B2239</f>
        <v>43566</v>
      </c>
      <c r="C1594" s="60">
        <f>'DATA HISTORICAL'!$C2239</f>
        <v>4140.1499999999996</v>
      </c>
      <c r="D1594" s="53">
        <f t="shared" si="48"/>
        <v>2.2004071166677993E-3</v>
      </c>
      <c r="E1594" s="53">
        <v>7.7021308842605517E-3</v>
      </c>
      <c r="G1594" s="90">
        <v>1586</v>
      </c>
      <c r="H1594" s="90">
        <f t="shared" ca="1" si="49"/>
        <v>3.8101130655167834E-2</v>
      </c>
    </row>
    <row r="1595" spans="2:8" x14ac:dyDescent="0.3">
      <c r="B1595" s="58">
        <f>'DATA HISTORICAL'!$B2240</f>
        <v>43565</v>
      </c>
      <c r="C1595" s="60">
        <f>'DATA HISTORICAL'!$C2240</f>
        <v>4131.05</v>
      </c>
      <c r="D1595" s="53">
        <f t="shared" si="48"/>
        <v>-7.7523973877947107E-3</v>
      </c>
      <c r="E1595" s="53">
        <v>7.7015275058320504E-3</v>
      </c>
      <c r="G1595" s="90">
        <v>1587</v>
      </c>
      <c r="H1595" s="90">
        <f t="shared" ca="1" si="49"/>
        <v>1.8737955286535934E-2</v>
      </c>
    </row>
    <row r="1596" spans="2:8" x14ac:dyDescent="0.3">
      <c r="B1596" s="58">
        <f>'DATA HISTORICAL'!$B2241</f>
        <v>43564</v>
      </c>
      <c r="C1596" s="60">
        <f>'DATA HISTORICAL'!$C2241</f>
        <v>4163.2</v>
      </c>
      <c r="D1596" s="53">
        <f t="shared" si="48"/>
        <v>-8.7634533612516801E-4</v>
      </c>
      <c r="E1596" s="53">
        <v>7.6954416633758281E-3</v>
      </c>
      <c r="G1596" s="90">
        <v>1588</v>
      </c>
      <c r="H1596" s="90">
        <f t="shared" ca="1" si="49"/>
        <v>2.8580954743253666E-2</v>
      </c>
    </row>
    <row r="1597" spans="2:8" x14ac:dyDescent="0.3">
      <c r="B1597" s="58">
        <f>'DATA HISTORICAL'!$B2242</f>
        <v>43563</v>
      </c>
      <c r="C1597" s="60">
        <f>'DATA HISTORICAL'!$C2242</f>
        <v>4166.8500000000004</v>
      </c>
      <c r="D1597" s="53">
        <f t="shared" si="48"/>
        <v>-5.6358400991361243E-3</v>
      </c>
      <c r="E1597" s="53">
        <v>7.6890830454846111E-3</v>
      </c>
      <c r="G1597" s="90">
        <v>1589</v>
      </c>
      <c r="H1597" s="90">
        <f t="shared" ca="1" si="49"/>
        <v>3.3559839820425416E-2</v>
      </c>
    </row>
    <row r="1598" spans="2:8" x14ac:dyDescent="0.3">
      <c r="B1598" s="58">
        <f>'DATA HISTORICAL'!$B2243</f>
        <v>43560</v>
      </c>
      <c r="C1598" s="60">
        <f>'DATA HISTORICAL'!$C2243</f>
        <v>4190.3999999999996</v>
      </c>
      <c r="D1598" s="53">
        <f t="shared" si="48"/>
        <v>2.671146133229271E-2</v>
      </c>
      <c r="E1598" s="53">
        <v>7.6827849226573349E-3</v>
      </c>
      <c r="G1598" s="90">
        <v>1590</v>
      </c>
      <c r="H1598" s="90">
        <f t="shared" ca="1" si="49"/>
        <v>-1.5956754113331077E-2</v>
      </c>
    </row>
    <row r="1599" spans="2:8" x14ac:dyDescent="0.3">
      <c r="B1599" s="58">
        <f>'DATA HISTORICAL'!$B2244</f>
        <v>43559</v>
      </c>
      <c r="C1599" s="60">
        <f>'DATA HISTORICAL'!$C2244</f>
        <v>4079.95</v>
      </c>
      <c r="D1599" s="53">
        <f t="shared" si="48"/>
        <v>1.9390452297800086E-2</v>
      </c>
      <c r="E1599" s="53">
        <v>7.6778205225211012E-3</v>
      </c>
      <c r="G1599" s="90">
        <v>1591</v>
      </c>
      <c r="H1599" s="90">
        <f t="shared" ca="1" si="49"/>
        <v>-1.7694618732008805E-3</v>
      </c>
    </row>
    <row r="1600" spans="2:8" x14ac:dyDescent="0.3">
      <c r="B1600" s="58">
        <f>'DATA HISTORICAL'!$B2245</f>
        <v>43558</v>
      </c>
      <c r="C1600" s="60">
        <f>'DATA HISTORICAL'!$C2245</f>
        <v>4001.6</v>
      </c>
      <c r="D1600" s="53">
        <f t="shared" si="48"/>
        <v>-6.0790460763822263E-3</v>
      </c>
      <c r="E1600" s="53">
        <v>7.6771517079458921E-3</v>
      </c>
      <c r="G1600" s="90">
        <v>1592</v>
      </c>
      <c r="H1600" s="90">
        <f t="shared" ca="1" si="49"/>
        <v>7.573524277350455E-3</v>
      </c>
    </row>
    <row r="1601" spans="2:8" x14ac:dyDescent="0.3">
      <c r="B1601" s="58">
        <f>'DATA HISTORICAL'!$B2246</f>
        <v>43557</v>
      </c>
      <c r="C1601" s="60">
        <f>'DATA HISTORICAL'!$C2246</f>
        <v>4026</v>
      </c>
      <c r="D1601" s="53">
        <f t="shared" si="48"/>
        <v>-6.807378228025014E-3</v>
      </c>
      <c r="E1601" s="53">
        <v>7.6741080385408899E-3</v>
      </c>
      <c r="G1601" s="90">
        <v>1593</v>
      </c>
      <c r="H1601" s="90">
        <f t="shared" ca="1" si="49"/>
        <v>5.9628915877369872E-3</v>
      </c>
    </row>
    <row r="1602" spans="2:8" x14ac:dyDescent="0.3">
      <c r="B1602" s="58">
        <f>'DATA HISTORICAL'!$B2247</f>
        <v>43556</v>
      </c>
      <c r="C1602" s="60">
        <f>'DATA HISTORICAL'!$C2247</f>
        <v>4053.5</v>
      </c>
      <c r="D1602" s="53">
        <f t="shared" si="48"/>
        <v>1.3698929427262956E-2</v>
      </c>
      <c r="E1602" s="53">
        <v>7.6700350001332619E-3</v>
      </c>
      <c r="G1602" s="90">
        <v>1594</v>
      </c>
      <c r="H1602" s="90">
        <f t="shared" ca="1" si="49"/>
        <v>-1.5908912075280241E-2</v>
      </c>
    </row>
    <row r="1603" spans="2:8" x14ac:dyDescent="0.3">
      <c r="B1603" s="58">
        <f>'DATA HISTORICAL'!$B2248</f>
        <v>43553</v>
      </c>
      <c r="C1603" s="60">
        <f>'DATA HISTORICAL'!$C2248</f>
        <v>3998.35</v>
      </c>
      <c r="D1603" s="53">
        <f t="shared" si="48"/>
        <v>2.2612980284489045E-2</v>
      </c>
      <c r="E1603" s="53">
        <v>7.6629351476777538E-3</v>
      </c>
      <c r="G1603" s="90">
        <v>1595</v>
      </c>
      <c r="H1603" s="90">
        <f t="shared" ca="1" si="49"/>
        <v>-9.420136205509428E-3</v>
      </c>
    </row>
    <row r="1604" spans="2:8" x14ac:dyDescent="0.3">
      <c r="B1604" s="58">
        <f>'DATA HISTORICAL'!$B2249</f>
        <v>43552</v>
      </c>
      <c r="C1604" s="60">
        <f>'DATA HISTORICAL'!$C2249</f>
        <v>3908.95</v>
      </c>
      <c r="D1604" s="53">
        <f t="shared" si="48"/>
        <v>1.7923675566210201E-3</v>
      </c>
      <c r="E1604" s="53">
        <v>7.662564169900893E-3</v>
      </c>
      <c r="G1604" s="90">
        <v>1596</v>
      </c>
      <c r="H1604" s="90">
        <f t="shared" ca="1" si="49"/>
        <v>-6.1406559257263993E-3</v>
      </c>
    </row>
    <row r="1605" spans="2:8" x14ac:dyDescent="0.3">
      <c r="B1605" s="58">
        <f>'DATA HISTORICAL'!$B2250</f>
        <v>43551</v>
      </c>
      <c r="C1605" s="60">
        <f>'DATA HISTORICAL'!$C2250</f>
        <v>3901.95</v>
      </c>
      <c r="D1605" s="53">
        <f t="shared" si="48"/>
        <v>-6.0427776163047738E-3</v>
      </c>
      <c r="E1605" s="53">
        <v>7.6618988424850152E-3</v>
      </c>
      <c r="G1605" s="90">
        <v>1597</v>
      </c>
      <c r="H1605" s="90">
        <f t="shared" ca="1" si="49"/>
        <v>-6.5226012442527953E-3</v>
      </c>
    </row>
    <row r="1606" spans="2:8" x14ac:dyDescent="0.3">
      <c r="B1606" s="58">
        <f>'DATA HISTORICAL'!$B2251</f>
        <v>43550</v>
      </c>
      <c r="C1606" s="60">
        <f>'DATA HISTORICAL'!$C2251</f>
        <v>3925.6</v>
      </c>
      <c r="D1606" s="53">
        <f t="shared" si="48"/>
        <v>1.3993417722434828E-2</v>
      </c>
      <c r="E1606" s="53">
        <v>7.6456410219656072E-3</v>
      </c>
      <c r="G1606" s="90">
        <v>1598</v>
      </c>
      <c r="H1606" s="90">
        <f t="shared" ca="1" si="49"/>
        <v>7.3105156759522266E-3</v>
      </c>
    </row>
    <row r="1607" spans="2:8" x14ac:dyDescent="0.3">
      <c r="B1607" s="58">
        <f>'DATA HISTORICAL'!$B2252</f>
        <v>43549</v>
      </c>
      <c r="C1607" s="60">
        <f>'DATA HISTORICAL'!$C2252</f>
        <v>3871.05</v>
      </c>
      <c r="D1607" s="53">
        <f t="shared" si="48"/>
        <v>-1.5050022555088588E-2</v>
      </c>
      <c r="E1607" s="53">
        <v>7.6402994748652944E-3</v>
      </c>
      <c r="G1607" s="90">
        <v>1599</v>
      </c>
      <c r="H1607" s="90">
        <f t="shared" ca="1" si="49"/>
        <v>-1.844528797850363E-2</v>
      </c>
    </row>
    <row r="1608" spans="2:8" x14ac:dyDescent="0.3">
      <c r="B1608" s="58">
        <f>'DATA HISTORICAL'!$B2253</f>
        <v>43546</v>
      </c>
      <c r="C1608" s="60">
        <f>'DATA HISTORICAL'!$C2253</f>
        <v>3929.75</v>
      </c>
      <c r="D1608" s="53">
        <f t="shared" si="48"/>
        <v>1.8975941914623916E-3</v>
      </c>
      <c r="E1608" s="53">
        <v>7.6377894481175403E-3</v>
      </c>
      <c r="G1608" s="90">
        <v>1600</v>
      </c>
      <c r="H1608" s="90">
        <f t="shared" ca="1" si="49"/>
        <v>-8.7644962687934251E-3</v>
      </c>
    </row>
    <row r="1609" spans="2:8" x14ac:dyDescent="0.3">
      <c r="B1609" s="58">
        <f>'DATA HISTORICAL'!$B2254</f>
        <v>43544</v>
      </c>
      <c r="C1609" s="60">
        <f>'DATA HISTORICAL'!$C2254</f>
        <v>3922.3</v>
      </c>
      <c r="D1609" s="53">
        <f t="shared" ref="D1609:D1672" si="50">LN(C1609/C1610)</f>
        <v>-1.4100963997032506E-2</v>
      </c>
      <c r="E1609" s="53">
        <v>7.5846936823062601E-3</v>
      </c>
      <c r="G1609" s="90">
        <v>1601</v>
      </c>
      <c r="H1609" s="90">
        <f t="shared" ref="H1609:H1672" ca="1" si="51">_xlfn.NORM.INV(RAND(),N$10,N$11)</f>
        <v>-1.0104057292565374E-2</v>
      </c>
    </row>
    <row r="1610" spans="2:8" x14ac:dyDescent="0.3">
      <c r="B1610" s="58">
        <f>'DATA HISTORICAL'!$B2255</f>
        <v>43543</v>
      </c>
      <c r="C1610" s="60">
        <f>'DATA HISTORICAL'!$C2255</f>
        <v>3978</v>
      </c>
      <c r="D1610" s="53">
        <f t="shared" si="50"/>
        <v>1.9627091678486889E-3</v>
      </c>
      <c r="E1610" s="53">
        <v>7.5816552053349162E-3</v>
      </c>
      <c r="G1610" s="90">
        <v>1602</v>
      </c>
      <c r="H1610" s="90">
        <f t="shared" ca="1" si="51"/>
        <v>2.7421865552398465E-3</v>
      </c>
    </row>
    <row r="1611" spans="2:8" x14ac:dyDescent="0.3">
      <c r="B1611" s="58">
        <f>'DATA HISTORICAL'!$B2256</f>
        <v>43542</v>
      </c>
      <c r="C1611" s="60">
        <f>'DATA HISTORICAL'!$C2256</f>
        <v>3970.2</v>
      </c>
      <c r="D1611" s="53">
        <f t="shared" si="50"/>
        <v>1.3720210660221322E-2</v>
      </c>
      <c r="E1611" s="53">
        <v>7.5757938084577226E-3</v>
      </c>
      <c r="G1611" s="90">
        <v>1603</v>
      </c>
      <c r="H1611" s="90">
        <f t="shared" ca="1" si="51"/>
        <v>2.38062988133531E-2</v>
      </c>
    </row>
    <row r="1612" spans="2:8" x14ac:dyDescent="0.3">
      <c r="B1612" s="58">
        <f>'DATA HISTORICAL'!$B2257</f>
        <v>43539</v>
      </c>
      <c r="C1612" s="60">
        <f>'DATA HISTORICAL'!$C2257</f>
        <v>3916.1</v>
      </c>
      <c r="D1612" s="53">
        <f t="shared" si="50"/>
        <v>-1.2195195713180793E-2</v>
      </c>
      <c r="E1612" s="53">
        <v>7.561952892467215E-3</v>
      </c>
      <c r="G1612" s="90">
        <v>1604</v>
      </c>
      <c r="H1612" s="90">
        <f t="shared" ca="1" si="51"/>
        <v>1.2954198585395305E-2</v>
      </c>
    </row>
    <row r="1613" spans="2:8" x14ac:dyDescent="0.3">
      <c r="B1613" s="58">
        <f>'DATA HISTORICAL'!$B2258</f>
        <v>43538</v>
      </c>
      <c r="C1613" s="60">
        <f>'DATA HISTORICAL'!$C2258</f>
        <v>3964.15</v>
      </c>
      <c r="D1613" s="53">
        <f t="shared" si="50"/>
        <v>-1.539493219864865E-2</v>
      </c>
      <c r="E1613" s="53">
        <v>7.5537643175519658E-3</v>
      </c>
      <c r="G1613" s="90">
        <v>1605</v>
      </c>
      <c r="H1613" s="90">
        <f t="shared" ca="1" si="51"/>
        <v>-1.7164741975401594E-2</v>
      </c>
    </row>
    <row r="1614" spans="2:8" x14ac:dyDescent="0.3">
      <c r="B1614" s="58">
        <f>'DATA HISTORICAL'!$B2259</f>
        <v>43537</v>
      </c>
      <c r="C1614" s="60">
        <f>'DATA HISTORICAL'!$C2259</f>
        <v>4025.65</v>
      </c>
      <c r="D1614" s="53">
        <f t="shared" si="50"/>
        <v>-1.7263462202695885E-2</v>
      </c>
      <c r="E1614" s="53">
        <v>7.545825025360429E-3</v>
      </c>
      <c r="G1614" s="90">
        <v>1606</v>
      </c>
      <c r="H1614" s="90">
        <f t="shared" ca="1" si="51"/>
        <v>2.4036477909484003E-2</v>
      </c>
    </row>
    <row r="1615" spans="2:8" x14ac:dyDescent="0.3">
      <c r="B1615" s="58">
        <f>'DATA HISTORICAL'!$B2260</f>
        <v>43536</v>
      </c>
      <c r="C1615" s="60">
        <f>'DATA HISTORICAL'!$C2260</f>
        <v>4095.75</v>
      </c>
      <c r="D1615" s="53">
        <f t="shared" si="50"/>
        <v>1.1442868170161534E-2</v>
      </c>
      <c r="E1615" s="53">
        <v>7.5332199062989793E-3</v>
      </c>
      <c r="G1615" s="90">
        <v>1607</v>
      </c>
      <c r="H1615" s="90">
        <f t="shared" ca="1" si="51"/>
        <v>1.854331892296297E-2</v>
      </c>
    </row>
    <row r="1616" spans="2:8" x14ac:dyDescent="0.3">
      <c r="B1616" s="58">
        <f>'DATA HISTORICAL'!$B2261</f>
        <v>43535</v>
      </c>
      <c r="C1616" s="60">
        <f>'DATA HISTORICAL'!$C2261</f>
        <v>4049.15</v>
      </c>
      <c r="D1616" s="53">
        <f t="shared" si="50"/>
        <v>1.9237236365147931E-2</v>
      </c>
      <c r="E1616" s="53">
        <v>7.5277200066790262E-3</v>
      </c>
      <c r="G1616" s="90">
        <v>1608</v>
      </c>
      <c r="H1616" s="90">
        <f t="shared" ca="1" si="51"/>
        <v>2.4454737881233649E-2</v>
      </c>
    </row>
    <row r="1617" spans="2:8" x14ac:dyDescent="0.3">
      <c r="B1617" s="58">
        <f>'DATA HISTORICAL'!$B2262</f>
        <v>43532</v>
      </c>
      <c r="C1617" s="60">
        <f>'DATA HISTORICAL'!$C2262</f>
        <v>3972</v>
      </c>
      <c r="D1617" s="53">
        <f t="shared" si="50"/>
        <v>1.5016515939915782E-2</v>
      </c>
      <c r="E1617" s="53">
        <v>7.5249596521231006E-3</v>
      </c>
      <c r="G1617" s="90">
        <v>1609</v>
      </c>
      <c r="H1617" s="90">
        <f t="shared" ca="1" si="51"/>
        <v>-1.5269341123012301E-2</v>
      </c>
    </row>
    <row r="1618" spans="2:8" x14ac:dyDescent="0.3">
      <c r="B1618" s="58">
        <f>'DATA HISTORICAL'!$B2263</f>
        <v>43531</v>
      </c>
      <c r="C1618" s="60">
        <f>'DATA HISTORICAL'!$C2263</f>
        <v>3912.8</v>
      </c>
      <c r="D1618" s="53">
        <f t="shared" si="50"/>
        <v>-1.6689335533468179E-2</v>
      </c>
      <c r="E1618" s="53">
        <v>7.524354638699474E-3</v>
      </c>
      <c r="G1618" s="90">
        <v>1610</v>
      </c>
      <c r="H1618" s="90">
        <f t="shared" ca="1" si="51"/>
        <v>-2.2378293439325883E-3</v>
      </c>
    </row>
    <row r="1619" spans="2:8" x14ac:dyDescent="0.3">
      <c r="B1619" s="58">
        <f>'DATA HISTORICAL'!$B2264</f>
        <v>43530</v>
      </c>
      <c r="C1619" s="60">
        <f>'DATA HISTORICAL'!$C2264</f>
        <v>3978.65</v>
      </c>
      <c r="D1619" s="53">
        <f t="shared" si="50"/>
        <v>4.1431392183893315E-3</v>
      </c>
      <c r="E1619" s="53">
        <v>7.5063486409651659E-3</v>
      </c>
      <c r="G1619" s="90">
        <v>1611</v>
      </c>
      <c r="H1619" s="90">
        <f t="shared" ca="1" si="51"/>
        <v>2.2278668938644965E-2</v>
      </c>
    </row>
    <row r="1620" spans="2:8" x14ac:dyDescent="0.3">
      <c r="B1620" s="58">
        <f>'DATA HISTORICAL'!$B2265</f>
        <v>43529</v>
      </c>
      <c r="C1620" s="60">
        <f>'DATA HISTORICAL'!$C2265</f>
        <v>3962.2</v>
      </c>
      <c r="D1620" s="53">
        <f t="shared" si="50"/>
        <v>2.1389621102578464E-2</v>
      </c>
      <c r="E1620" s="53">
        <v>7.4774501573695905E-3</v>
      </c>
      <c r="G1620" s="90">
        <v>1612</v>
      </c>
      <c r="H1620" s="90">
        <f t="shared" ca="1" si="51"/>
        <v>-1.2563124087060847E-2</v>
      </c>
    </row>
    <row r="1621" spans="2:8" x14ac:dyDescent="0.3">
      <c r="B1621" s="58">
        <f>'DATA HISTORICAL'!$B2266</f>
        <v>43525</v>
      </c>
      <c r="C1621" s="60">
        <f>'DATA HISTORICAL'!$C2266</f>
        <v>3878.35</v>
      </c>
      <c r="D1621" s="53">
        <f t="shared" si="50"/>
        <v>1.3459258187671862E-2</v>
      </c>
      <c r="E1621" s="53">
        <v>7.4754746112426799E-3</v>
      </c>
      <c r="G1621" s="90">
        <v>1613</v>
      </c>
      <c r="H1621" s="90">
        <f t="shared" ca="1" si="51"/>
        <v>1.5021773889882422E-3</v>
      </c>
    </row>
    <row r="1622" spans="2:8" x14ac:dyDescent="0.3">
      <c r="B1622" s="58">
        <f>'DATA HISTORICAL'!$B2267</f>
        <v>43524</v>
      </c>
      <c r="C1622" s="60">
        <f>'DATA HISTORICAL'!$C2267</f>
        <v>3826.5</v>
      </c>
      <c r="D1622" s="53">
        <f t="shared" si="50"/>
        <v>-1.6227221126225252E-2</v>
      </c>
      <c r="E1622" s="53">
        <v>7.4624633750056957E-3</v>
      </c>
      <c r="G1622" s="90">
        <v>1614</v>
      </c>
      <c r="H1622" s="90">
        <f t="shared" ca="1" si="51"/>
        <v>3.2413058498793793E-2</v>
      </c>
    </row>
    <row r="1623" spans="2:8" x14ac:dyDescent="0.3">
      <c r="B1623" s="58">
        <f>'DATA HISTORICAL'!$B2268</f>
        <v>43523</v>
      </c>
      <c r="C1623" s="60">
        <f>'DATA HISTORICAL'!$C2268</f>
        <v>3889.1</v>
      </c>
      <c r="D1623" s="53">
        <f t="shared" si="50"/>
        <v>2.6194408256308619E-2</v>
      </c>
      <c r="E1623" s="53">
        <v>7.440597019857941E-3</v>
      </c>
      <c r="G1623" s="90">
        <v>1615</v>
      </c>
      <c r="H1623" s="90">
        <f t="shared" ca="1" si="51"/>
        <v>-9.2859576989235693E-3</v>
      </c>
    </row>
    <row r="1624" spans="2:8" x14ac:dyDescent="0.3">
      <c r="B1624" s="58">
        <f>'DATA HISTORICAL'!$B2269</f>
        <v>43522</v>
      </c>
      <c r="C1624" s="60">
        <f>'DATA HISTORICAL'!$C2269</f>
        <v>3788.55</v>
      </c>
      <c r="D1624" s="53">
        <f t="shared" si="50"/>
        <v>1.9174088280342016E-2</v>
      </c>
      <c r="E1624" s="53">
        <v>7.4263303768142891E-3</v>
      </c>
      <c r="G1624" s="90">
        <v>1616</v>
      </c>
      <c r="H1624" s="90">
        <f t="shared" ca="1" si="51"/>
        <v>-1.1762626651438391E-2</v>
      </c>
    </row>
    <row r="1625" spans="2:8" x14ac:dyDescent="0.3">
      <c r="B1625" s="58">
        <f>'DATA HISTORICAL'!$B2270</f>
        <v>43521</v>
      </c>
      <c r="C1625" s="60">
        <f>'DATA HISTORICAL'!$C2270</f>
        <v>3716.6</v>
      </c>
      <c r="D1625" s="53">
        <f t="shared" si="50"/>
        <v>2.4761898744570274E-2</v>
      </c>
      <c r="E1625" s="53">
        <v>7.4183476280738694E-3</v>
      </c>
      <c r="G1625" s="90">
        <v>1617</v>
      </c>
      <c r="H1625" s="90">
        <f t="shared" ca="1" si="51"/>
        <v>3.3574101417515205E-2</v>
      </c>
    </row>
    <row r="1626" spans="2:8" x14ac:dyDescent="0.3">
      <c r="B1626" s="58">
        <f>'DATA HISTORICAL'!$B2271</f>
        <v>43518</v>
      </c>
      <c r="C1626" s="60">
        <f>'DATA HISTORICAL'!$C2271</f>
        <v>3625.7</v>
      </c>
      <c r="D1626" s="53">
        <f t="shared" si="50"/>
        <v>-1.5295685052414373E-3</v>
      </c>
      <c r="E1626" s="53">
        <v>7.4083335875687693E-3</v>
      </c>
      <c r="G1626" s="90">
        <v>1618</v>
      </c>
      <c r="H1626" s="90">
        <f t="shared" ca="1" si="51"/>
        <v>3.0017345431966266E-2</v>
      </c>
    </row>
    <row r="1627" spans="2:8" x14ac:dyDescent="0.3">
      <c r="B1627" s="58">
        <f>'DATA HISTORICAL'!$B2272</f>
        <v>43517</v>
      </c>
      <c r="C1627" s="60">
        <f>'DATA HISTORICAL'!$C2272</f>
        <v>3631.25</v>
      </c>
      <c r="D1627" s="53">
        <f t="shared" si="50"/>
        <v>1.6073410475310787E-2</v>
      </c>
      <c r="E1627" s="53">
        <v>7.4062983201388429E-3</v>
      </c>
      <c r="G1627" s="90">
        <v>1619</v>
      </c>
      <c r="H1627" s="90">
        <f t="shared" ca="1" si="51"/>
        <v>4.3385497873049943E-3</v>
      </c>
    </row>
    <row r="1628" spans="2:8" x14ac:dyDescent="0.3">
      <c r="B1628" s="58">
        <f>'DATA HISTORICAL'!$B2273</f>
        <v>43516</v>
      </c>
      <c r="C1628" s="60">
        <f>'DATA HISTORICAL'!$C2273</f>
        <v>3573.35</v>
      </c>
      <c r="D1628" s="53">
        <f t="shared" si="50"/>
        <v>3.0040819130425087E-2</v>
      </c>
      <c r="E1628" s="53">
        <v>7.3873879138202274E-3</v>
      </c>
      <c r="G1628" s="90">
        <v>1620</v>
      </c>
      <c r="H1628" s="90">
        <f t="shared" ca="1" si="51"/>
        <v>-1.7192316198354363E-2</v>
      </c>
    </row>
    <row r="1629" spans="2:8" x14ac:dyDescent="0.3">
      <c r="B1629" s="58">
        <f>'DATA HISTORICAL'!$B2274</f>
        <v>43515</v>
      </c>
      <c r="C1629" s="60">
        <f>'DATA HISTORICAL'!$C2274</f>
        <v>3467.6</v>
      </c>
      <c r="D1629" s="53">
        <f t="shared" si="50"/>
        <v>1.112113363596887E-2</v>
      </c>
      <c r="E1629" s="53">
        <v>7.3753612525612484E-3</v>
      </c>
      <c r="G1629" s="90">
        <v>1621</v>
      </c>
      <c r="H1629" s="90">
        <f t="shared" ca="1" si="51"/>
        <v>2.8222169620565875E-2</v>
      </c>
    </row>
    <row r="1630" spans="2:8" x14ac:dyDescent="0.3">
      <c r="B1630" s="58">
        <f>'DATA HISTORICAL'!$B2275</f>
        <v>43514</v>
      </c>
      <c r="C1630" s="60">
        <f>'DATA HISTORICAL'!$C2275</f>
        <v>3429.25</v>
      </c>
      <c r="D1630" s="53">
        <f t="shared" si="50"/>
        <v>-2.9699965052327909E-3</v>
      </c>
      <c r="E1630" s="53">
        <v>7.3713712489929814E-3</v>
      </c>
      <c r="G1630" s="90">
        <v>1622</v>
      </c>
      <c r="H1630" s="90">
        <f t="shared" ca="1" si="51"/>
        <v>3.1590328881114893E-3</v>
      </c>
    </row>
    <row r="1631" spans="2:8" x14ac:dyDescent="0.3">
      <c r="B1631" s="58">
        <f>'DATA HISTORICAL'!$B2276</f>
        <v>43511</v>
      </c>
      <c r="C1631" s="60">
        <f>'DATA HISTORICAL'!$C2276</f>
        <v>3439.45</v>
      </c>
      <c r="D1631" s="53">
        <f t="shared" si="50"/>
        <v>-1.5993188091531319E-2</v>
      </c>
      <c r="E1631" s="53">
        <v>7.3672742678353035E-3</v>
      </c>
      <c r="G1631" s="90">
        <v>1623</v>
      </c>
      <c r="H1631" s="90">
        <f t="shared" ca="1" si="51"/>
        <v>9.069899898293883E-3</v>
      </c>
    </row>
    <row r="1632" spans="2:8" x14ac:dyDescent="0.3">
      <c r="B1632" s="58">
        <f>'DATA HISTORICAL'!$B2277</f>
        <v>43510</v>
      </c>
      <c r="C1632" s="60">
        <f>'DATA HISTORICAL'!$C2277</f>
        <v>3494.9</v>
      </c>
      <c r="D1632" s="53">
        <f t="shared" si="50"/>
        <v>6.5019641589521854E-3</v>
      </c>
      <c r="E1632" s="53">
        <v>7.3607985980584734E-3</v>
      </c>
      <c r="G1632" s="90">
        <v>1624</v>
      </c>
      <c r="H1632" s="90">
        <f t="shared" ca="1" si="51"/>
        <v>1.5584468549492806E-2</v>
      </c>
    </row>
    <row r="1633" spans="2:8" x14ac:dyDescent="0.3">
      <c r="B1633" s="58">
        <f>'DATA HISTORICAL'!$B2278</f>
        <v>43509</v>
      </c>
      <c r="C1633" s="60">
        <f>'DATA HISTORICAL'!$C2278</f>
        <v>3472.25</v>
      </c>
      <c r="D1633" s="53">
        <f t="shared" si="50"/>
        <v>5.7476402344170752E-3</v>
      </c>
      <c r="E1633" s="53">
        <v>7.3513077542241879E-3</v>
      </c>
      <c r="G1633" s="90">
        <v>1625</v>
      </c>
      <c r="H1633" s="90">
        <f t="shared" ca="1" si="51"/>
        <v>4.0888687090293856E-2</v>
      </c>
    </row>
    <row r="1634" spans="2:8" x14ac:dyDescent="0.3">
      <c r="B1634" s="58">
        <f>'DATA HISTORICAL'!$B2279</f>
        <v>43508</v>
      </c>
      <c r="C1634" s="60">
        <f>'DATA HISTORICAL'!$C2279</f>
        <v>3452.35</v>
      </c>
      <c r="D1634" s="53">
        <f t="shared" si="50"/>
        <v>8.5485570461095071E-4</v>
      </c>
      <c r="E1634" s="53">
        <v>7.3413837368202662E-3</v>
      </c>
      <c r="G1634" s="90">
        <v>1626</v>
      </c>
      <c r="H1634" s="90">
        <f t="shared" ca="1" si="51"/>
        <v>-2.9359134444677141E-2</v>
      </c>
    </row>
    <row r="1635" spans="2:8" x14ac:dyDescent="0.3">
      <c r="B1635" s="58">
        <f>'DATA HISTORICAL'!$B2280</f>
        <v>43507</v>
      </c>
      <c r="C1635" s="60">
        <f>'DATA HISTORICAL'!$C2280</f>
        <v>3449.4</v>
      </c>
      <c r="D1635" s="53">
        <f t="shared" si="50"/>
        <v>-3.0942073433869184E-2</v>
      </c>
      <c r="E1635" s="53">
        <v>7.3095441522279102E-3</v>
      </c>
      <c r="G1635" s="90">
        <v>1627</v>
      </c>
      <c r="H1635" s="90">
        <f t="shared" ca="1" si="51"/>
        <v>1.0049274550050806E-3</v>
      </c>
    </row>
    <row r="1636" spans="2:8" x14ac:dyDescent="0.3">
      <c r="B1636" s="58">
        <f>'DATA HISTORICAL'!$B2281</f>
        <v>43504</v>
      </c>
      <c r="C1636" s="60">
        <f>'DATA HISTORICAL'!$C2281</f>
        <v>3557.8</v>
      </c>
      <c r="D1636" s="53">
        <f t="shared" si="50"/>
        <v>-3.5772692408918591E-3</v>
      </c>
      <c r="E1636" s="53">
        <v>7.3082333143798034E-3</v>
      </c>
      <c r="G1636" s="90">
        <v>1628</v>
      </c>
      <c r="H1636" s="90">
        <f t="shared" ca="1" si="51"/>
        <v>7.0550673096192087E-3</v>
      </c>
    </row>
    <row r="1637" spans="2:8" x14ac:dyDescent="0.3">
      <c r="B1637" s="58">
        <f>'DATA HISTORICAL'!$B2282</f>
        <v>43503</v>
      </c>
      <c r="C1637" s="60">
        <f>'DATA HISTORICAL'!$C2282</f>
        <v>3570.55</v>
      </c>
      <c r="D1637" s="53">
        <f t="shared" si="50"/>
        <v>1.7003897943654776E-2</v>
      </c>
      <c r="E1637" s="53">
        <v>7.3046801799645936E-3</v>
      </c>
      <c r="G1637" s="90">
        <v>1629</v>
      </c>
      <c r="H1637" s="90">
        <f t="shared" ca="1" si="51"/>
        <v>1.41408220140037E-3</v>
      </c>
    </row>
    <row r="1638" spans="2:8" x14ac:dyDescent="0.3">
      <c r="B1638" s="58">
        <f>'DATA HISTORICAL'!$B2283</f>
        <v>43502</v>
      </c>
      <c r="C1638" s="60">
        <f>'DATA HISTORICAL'!$C2283</f>
        <v>3510.35</v>
      </c>
      <c r="D1638" s="53">
        <f t="shared" si="50"/>
        <v>1.3941506053583247E-2</v>
      </c>
      <c r="E1638" s="53">
        <v>7.2734205549593875E-3</v>
      </c>
      <c r="G1638" s="90">
        <v>1630</v>
      </c>
      <c r="H1638" s="90">
        <f t="shared" ca="1" si="51"/>
        <v>-1.3051986267766984E-2</v>
      </c>
    </row>
    <row r="1639" spans="2:8" x14ac:dyDescent="0.3">
      <c r="B1639" s="58">
        <f>'DATA HISTORICAL'!$B2284</f>
        <v>43501</v>
      </c>
      <c r="C1639" s="60">
        <f>'DATA HISTORICAL'!$C2284</f>
        <v>3461.75</v>
      </c>
      <c r="D1639" s="53">
        <f t="shared" si="50"/>
        <v>4.124910867366347E-3</v>
      </c>
      <c r="E1639" s="53">
        <v>7.2727593290796569E-3</v>
      </c>
      <c r="G1639" s="90">
        <v>1631</v>
      </c>
      <c r="H1639" s="90">
        <f t="shared" ca="1" si="51"/>
        <v>1.5117933207041627E-2</v>
      </c>
    </row>
    <row r="1640" spans="2:8" x14ac:dyDescent="0.3">
      <c r="B1640" s="58">
        <f>'DATA HISTORICAL'!$B2285</f>
        <v>43500</v>
      </c>
      <c r="C1640" s="60">
        <f>'DATA HISTORICAL'!$C2285</f>
        <v>3447.5</v>
      </c>
      <c r="D1640" s="53">
        <f t="shared" si="50"/>
        <v>-1.043126401631864E-2</v>
      </c>
      <c r="E1640" s="53">
        <v>7.2639900624929289E-3</v>
      </c>
      <c r="G1640" s="90">
        <v>1632</v>
      </c>
      <c r="H1640" s="90">
        <f t="shared" ca="1" si="51"/>
        <v>1.6835084527731227E-2</v>
      </c>
    </row>
    <row r="1641" spans="2:8" x14ac:dyDescent="0.3">
      <c r="B1641" s="58">
        <f>'DATA HISTORICAL'!$B2286</f>
        <v>43497</v>
      </c>
      <c r="C1641" s="60">
        <f>'DATA HISTORICAL'!$C2286</f>
        <v>3483.65</v>
      </c>
      <c r="D1641" s="53">
        <f t="shared" si="50"/>
        <v>-1.0195718765869E-2</v>
      </c>
      <c r="E1641" s="53">
        <v>7.220054178661642E-3</v>
      </c>
      <c r="G1641" s="90">
        <v>1633</v>
      </c>
      <c r="H1641" s="90">
        <f t="shared" ca="1" si="51"/>
        <v>1.1970294137150748E-2</v>
      </c>
    </row>
    <row r="1642" spans="2:8" x14ac:dyDescent="0.3">
      <c r="B1642" s="58">
        <f>'DATA HISTORICAL'!$B2287</f>
        <v>43496</v>
      </c>
      <c r="C1642" s="60">
        <f>'DATA HISTORICAL'!$C2287</f>
        <v>3519.35</v>
      </c>
      <c r="D1642" s="53">
        <f t="shared" si="50"/>
        <v>2.2165511613764254E-2</v>
      </c>
      <c r="E1642" s="53">
        <v>7.2123127487266235E-3</v>
      </c>
      <c r="G1642" s="90">
        <v>1634</v>
      </c>
      <c r="H1642" s="90">
        <f t="shared" ca="1" si="51"/>
        <v>6.6740345486265909E-3</v>
      </c>
    </row>
    <row r="1643" spans="2:8" x14ac:dyDescent="0.3">
      <c r="B1643" s="58">
        <f>'DATA HISTORICAL'!$B2288</f>
        <v>43495</v>
      </c>
      <c r="C1643" s="60">
        <f>'DATA HISTORICAL'!$C2288</f>
        <v>3442.2</v>
      </c>
      <c r="D1643" s="53">
        <f t="shared" si="50"/>
        <v>9.501155122278589E-3</v>
      </c>
      <c r="E1643" s="53">
        <v>7.1929679122993764E-3</v>
      </c>
      <c r="G1643" s="90">
        <v>1635</v>
      </c>
      <c r="H1643" s="90">
        <f t="shared" ca="1" si="51"/>
        <v>-4.3733397260874343E-2</v>
      </c>
    </row>
    <row r="1644" spans="2:8" x14ac:dyDescent="0.3">
      <c r="B1644" s="58">
        <f>'DATA HISTORICAL'!$B2289</f>
        <v>43494</v>
      </c>
      <c r="C1644" s="60">
        <f>'DATA HISTORICAL'!$C2289</f>
        <v>3409.65</v>
      </c>
      <c r="D1644" s="53">
        <f t="shared" si="50"/>
        <v>1.0377298649841141E-2</v>
      </c>
      <c r="E1644" s="53">
        <v>7.1809148487334915E-3</v>
      </c>
      <c r="G1644" s="90">
        <v>1636</v>
      </c>
      <c r="H1644" s="90">
        <f t="shared" ca="1" si="51"/>
        <v>-1.3509242513433887E-2</v>
      </c>
    </row>
    <row r="1645" spans="2:8" x14ac:dyDescent="0.3">
      <c r="B1645" s="58">
        <f>'DATA HISTORICAL'!$B2290</f>
        <v>43493</v>
      </c>
      <c r="C1645" s="60">
        <f>'DATA HISTORICAL'!$C2290</f>
        <v>3374.45</v>
      </c>
      <c r="D1645" s="53">
        <f t="shared" si="50"/>
        <v>-3.9611583654201775E-2</v>
      </c>
      <c r="E1645" s="53">
        <v>7.1702318498577796E-3</v>
      </c>
      <c r="G1645" s="90">
        <v>1637</v>
      </c>
      <c r="H1645" s="90">
        <f t="shared" ca="1" si="51"/>
        <v>1.9768583852103713E-2</v>
      </c>
    </row>
    <row r="1646" spans="2:8" x14ac:dyDescent="0.3">
      <c r="B1646" s="58">
        <f>'DATA HISTORICAL'!$B2291</f>
        <v>43490</v>
      </c>
      <c r="C1646" s="60">
        <f>'DATA HISTORICAL'!$C2291</f>
        <v>3510.8</v>
      </c>
      <c r="D1646" s="53">
        <f t="shared" si="50"/>
        <v>-7.6706766874118634E-2</v>
      </c>
      <c r="E1646" s="53">
        <v>7.1666903693514148E-3</v>
      </c>
      <c r="G1646" s="90">
        <v>1638</v>
      </c>
      <c r="H1646" s="90">
        <f t="shared" ca="1" si="51"/>
        <v>1.0565888372429895E-2</v>
      </c>
    </row>
    <row r="1647" spans="2:8" x14ac:dyDescent="0.3">
      <c r="B1647" s="58">
        <f>'DATA HISTORICAL'!$B2292</f>
        <v>43489</v>
      </c>
      <c r="C1647" s="60">
        <f>'DATA HISTORICAL'!$C2292</f>
        <v>3790.7</v>
      </c>
      <c r="D1647" s="53">
        <f t="shared" si="50"/>
        <v>-1.5691266608202029E-2</v>
      </c>
      <c r="E1647" s="53">
        <v>7.1568966669941858E-3</v>
      </c>
      <c r="G1647" s="90">
        <v>1639</v>
      </c>
      <c r="H1647" s="90">
        <f t="shared" ca="1" si="51"/>
        <v>-7.171361829713876E-3</v>
      </c>
    </row>
    <row r="1648" spans="2:8" x14ac:dyDescent="0.3">
      <c r="B1648" s="58">
        <f>'DATA HISTORICAL'!$B2293</f>
        <v>43488</v>
      </c>
      <c r="C1648" s="60">
        <f>'DATA HISTORICAL'!$C2293</f>
        <v>3850.65</v>
      </c>
      <c r="D1648" s="53">
        <f t="shared" si="50"/>
        <v>-2.5547435485872285E-3</v>
      </c>
      <c r="E1648" s="53">
        <v>7.1553516896212706E-3</v>
      </c>
      <c r="G1648" s="90">
        <v>1640</v>
      </c>
      <c r="H1648" s="90">
        <f t="shared" ca="1" si="51"/>
        <v>1.6245001889221296E-2</v>
      </c>
    </row>
    <row r="1649" spans="2:8" x14ac:dyDescent="0.3">
      <c r="B1649" s="58">
        <f>'DATA HISTORICAL'!$B2294</f>
        <v>43487</v>
      </c>
      <c r="C1649" s="60">
        <f>'DATA HISTORICAL'!$C2294</f>
        <v>3860.5</v>
      </c>
      <c r="D1649" s="53">
        <f t="shared" si="50"/>
        <v>2.8404504152874125E-3</v>
      </c>
      <c r="E1649" s="53">
        <v>7.1371277621035149E-3</v>
      </c>
      <c r="G1649" s="90">
        <v>1641</v>
      </c>
      <c r="H1649" s="90">
        <f t="shared" ca="1" si="51"/>
        <v>2.2553135211205912E-2</v>
      </c>
    </row>
    <row r="1650" spans="2:8" x14ac:dyDescent="0.3">
      <c r="B1650" s="58">
        <f>'DATA HISTORICAL'!$B2295</f>
        <v>43486</v>
      </c>
      <c r="C1650" s="60">
        <f>'DATA HISTORICAL'!$C2295</f>
        <v>3849.55</v>
      </c>
      <c r="D1650" s="53">
        <f t="shared" si="50"/>
        <v>7.7189248238596275E-3</v>
      </c>
      <c r="E1650" s="53">
        <v>7.1246320324428233E-3</v>
      </c>
      <c r="G1650" s="90">
        <v>1642</v>
      </c>
      <c r="H1650" s="90">
        <f t="shared" ca="1" si="51"/>
        <v>-1.4311209421860201E-2</v>
      </c>
    </row>
    <row r="1651" spans="2:8" x14ac:dyDescent="0.3">
      <c r="B1651" s="58">
        <f>'DATA HISTORICAL'!$B2296</f>
        <v>43483</v>
      </c>
      <c r="C1651" s="60">
        <f>'DATA HISTORICAL'!$C2296</f>
        <v>3819.95</v>
      </c>
      <c r="D1651" s="53">
        <f t="shared" si="50"/>
        <v>-6.9133114746750702E-3</v>
      </c>
      <c r="E1651" s="53">
        <v>7.1193129566179533E-3</v>
      </c>
      <c r="G1651" s="90">
        <v>1643</v>
      </c>
      <c r="H1651" s="90">
        <f t="shared" ca="1" si="51"/>
        <v>1.0514948657217917E-2</v>
      </c>
    </row>
    <row r="1652" spans="2:8" x14ac:dyDescent="0.3">
      <c r="B1652" s="58">
        <f>'DATA HISTORICAL'!$B2297</f>
        <v>43482</v>
      </c>
      <c r="C1652" s="60">
        <f>'DATA HISTORICAL'!$C2297</f>
        <v>3846.45</v>
      </c>
      <c r="D1652" s="53">
        <f t="shared" si="50"/>
        <v>-1.0487006867824658E-2</v>
      </c>
      <c r="E1652" s="53">
        <v>7.1187344582887063E-3</v>
      </c>
      <c r="G1652" s="90">
        <v>1644</v>
      </c>
      <c r="H1652" s="90">
        <f t="shared" ca="1" si="51"/>
        <v>-5.1235692450215678E-3</v>
      </c>
    </row>
    <row r="1653" spans="2:8" x14ac:dyDescent="0.3">
      <c r="B1653" s="58">
        <f>'DATA HISTORICAL'!$B2298</f>
        <v>43481</v>
      </c>
      <c r="C1653" s="60">
        <f>'DATA HISTORICAL'!$C2298</f>
        <v>3887</v>
      </c>
      <c r="D1653" s="53">
        <f t="shared" si="50"/>
        <v>1.5386614016446613E-2</v>
      </c>
      <c r="E1653" s="53">
        <v>7.1143161425459532E-3</v>
      </c>
      <c r="G1653" s="90">
        <v>1645</v>
      </c>
      <c r="H1653" s="90">
        <f t="shared" ca="1" si="51"/>
        <v>1.2358005136142769E-2</v>
      </c>
    </row>
    <row r="1654" spans="2:8" x14ac:dyDescent="0.3">
      <c r="B1654" s="58">
        <f>'DATA HISTORICAL'!$B2299</f>
        <v>43480</v>
      </c>
      <c r="C1654" s="60">
        <f>'DATA HISTORICAL'!$C2299</f>
        <v>3827.65</v>
      </c>
      <c r="D1654" s="53">
        <f t="shared" si="50"/>
        <v>1.3426903888299056E-2</v>
      </c>
      <c r="E1654" s="53">
        <v>7.1018949859524682E-3</v>
      </c>
      <c r="G1654" s="90">
        <v>1646</v>
      </c>
      <c r="H1654" s="90">
        <f t="shared" ca="1" si="51"/>
        <v>1.5891063456966326E-2</v>
      </c>
    </row>
    <row r="1655" spans="2:8" x14ac:dyDescent="0.3">
      <c r="B1655" s="58">
        <f>'DATA HISTORICAL'!$B2300</f>
        <v>43479</v>
      </c>
      <c r="C1655" s="60">
        <f>'DATA HISTORICAL'!$C2300</f>
        <v>3776.6</v>
      </c>
      <c r="D1655" s="53">
        <f t="shared" si="50"/>
        <v>1.6960835146656306E-3</v>
      </c>
      <c r="E1655" s="53">
        <v>7.089005421313594E-3</v>
      </c>
      <c r="G1655" s="90">
        <v>1647</v>
      </c>
      <c r="H1655" s="90">
        <f t="shared" ca="1" si="51"/>
        <v>-1.3064310833242197E-2</v>
      </c>
    </row>
    <row r="1656" spans="2:8" x14ac:dyDescent="0.3">
      <c r="B1656" s="58">
        <f>'DATA HISTORICAL'!$B2301</f>
        <v>43476</v>
      </c>
      <c r="C1656" s="60">
        <f>'DATA HISTORICAL'!$C2301</f>
        <v>3770.2</v>
      </c>
      <c r="D1656" s="53">
        <f t="shared" si="50"/>
        <v>-1.2651056927747083E-2</v>
      </c>
      <c r="E1656" s="53">
        <v>7.0876512412381566E-3</v>
      </c>
      <c r="G1656" s="90">
        <v>1648</v>
      </c>
      <c r="H1656" s="90">
        <f t="shared" ca="1" si="51"/>
        <v>1.2430458395607677E-2</v>
      </c>
    </row>
    <row r="1657" spans="2:8" x14ac:dyDescent="0.3">
      <c r="B1657" s="58">
        <f>'DATA HISTORICAL'!$B2302</f>
        <v>43475</v>
      </c>
      <c r="C1657" s="60">
        <f>'DATA HISTORICAL'!$C2302</f>
        <v>3818.2</v>
      </c>
      <c r="D1657" s="53">
        <f t="shared" si="50"/>
        <v>2.4883929693779108E-4</v>
      </c>
      <c r="E1657" s="53">
        <v>7.0828423295502037E-3</v>
      </c>
      <c r="G1657" s="90">
        <v>1649</v>
      </c>
      <c r="H1657" s="90">
        <f t="shared" ca="1" si="51"/>
        <v>-1.9267318032513289E-2</v>
      </c>
    </row>
    <row r="1658" spans="2:8" x14ac:dyDescent="0.3">
      <c r="B1658" s="58">
        <f>'DATA HISTORICAL'!$B2303</f>
        <v>43474</v>
      </c>
      <c r="C1658" s="60">
        <f>'DATA HISTORICAL'!$C2303</f>
        <v>3817.25</v>
      </c>
      <c r="D1658" s="53">
        <f t="shared" si="50"/>
        <v>-2.5617062436950899E-2</v>
      </c>
      <c r="E1658" s="53">
        <v>7.0821637907533055E-3</v>
      </c>
      <c r="G1658" s="90">
        <v>1650</v>
      </c>
      <c r="H1658" s="90">
        <f t="shared" ca="1" si="51"/>
        <v>-1.6090855146020738E-2</v>
      </c>
    </row>
    <row r="1659" spans="2:8" x14ac:dyDescent="0.3">
      <c r="B1659" s="58">
        <f>'DATA HISTORICAL'!$B2304</f>
        <v>43473</v>
      </c>
      <c r="C1659" s="60">
        <f>'DATA HISTORICAL'!$C2304</f>
        <v>3916.3</v>
      </c>
      <c r="D1659" s="53">
        <f t="shared" si="50"/>
        <v>-2.6647812225698017E-3</v>
      </c>
      <c r="E1659" s="53">
        <v>7.0683111882474991E-3</v>
      </c>
      <c r="G1659" s="90">
        <v>1651</v>
      </c>
      <c r="H1659" s="90">
        <f t="shared" ca="1" si="51"/>
        <v>2.7723964314578031E-2</v>
      </c>
    </row>
    <row r="1660" spans="2:8" x14ac:dyDescent="0.3">
      <c r="B1660" s="58">
        <f>'DATA HISTORICAL'!$B2305</f>
        <v>43472</v>
      </c>
      <c r="C1660" s="60">
        <f>'DATA HISTORICAL'!$C2305</f>
        <v>3926.75</v>
      </c>
      <c r="D1660" s="53">
        <f t="shared" si="50"/>
        <v>3.1117314333724343E-3</v>
      </c>
      <c r="E1660" s="53">
        <v>7.0448268237024445E-3</v>
      </c>
      <c r="G1660" s="90">
        <v>1652</v>
      </c>
      <c r="H1660" s="90">
        <f t="shared" ca="1" si="51"/>
        <v>4.0057353418027075E-3</v>
      </c>
    </row>
    <row r="1661" spans="2:8" x14ac:dyDescent="0.3">
      <c r="B1661" s="58">
        <f>'DATA HISTORICAL'!$B2306</f>
        <v>43469</v>
      </c>
      <c r="C1661" s="60">
        <f>'DATA HISTORICAL'!$C2306</f>
        <v>3914.55</v>
      </c>
      <c r="D1661" s="53">
        <f t="shared" si="50"/>
        <v>3.711006741392844E-3</v>
      </c>
      <c r="E1661" s="53">
        <v>7.0432858821848736E-3</v>
      </c>
      <c r="G1661" s="90">
        <v>1653</v>
      </c>
      <c r="H1661" s="90">
        <f t="shared" ca="1" si="51"/>
        <v>1.9937544036919601E-2</v>
      </c>
    </row>
    <row r="1662" spans="2:8" x14ac:dyDescent="0.3">
      <c r="B1662" s="58">
        <f>'DATA HISTORICAL'!$B2307</f>
        <v>43468</v>
      </c>
      <c r="C1662" s="60">
        <f>'DATA HISTORICAL'!$C2307</f>
        <v>3900.05</v>
      </c>
      <c r="D1662" s="53">
        <f t="shared" si="50"/>
        <v>-2.6828825921993628E-2</v>
      </c>
      <c r="E1662" s="53">
        <v>7.0323616772218637E-3</v>
      </c>
      <c r="G1662" s="90">
        <v>1654</v>
      </c>
      <c r="H1662" s="90">
        <f t="shared" ca="1" si="51"/>
        <v>2.8256222146584343E-2</v>
      </c>
    </row>
    <row r="1663" spans="2:8" x14ac:dyDescent="0.3">
      <c r="B1663" s="58">
        <f>'DATA HISTORICAL'!$B2308</f>
        <v>43467</v>
      </c>
      <c r="C1663" s="60">
        <f>'DATA HISTORICAL'!$C2308</f>
        <v>4006.1</v>
      </c>
      <c r="D1663" s="53">
        <f t="shared" si="50"/>
        <v>-7.735206803412641E-4</v>
      </c>
      <c r="E1663" s="53">
        <v>7.0139036784431829E-3</v>
      </c>
      <c r="G1663" s="90">
        <v>1655</v>
      </c>
      <c r="H1663" s="90">
        <f t="shared" ca="1" si="51"/>
        <v>1.1359498949023349E-2</v>
      </c>
    </row>
    <row r="1664" spans="2:8" x14ac:dyDescent="0.3">
      <c r="B1664" s="58">
        <f>'DATA HISTORICAL'!$B2309</f>
        <v>43466</v>
      </c>
      <c r="C1664" s="60">
        <f>'DATA HISTORICAL'!$C2309</f>
        <v>4009.2</v>
      </c>
      <c r="D1664" s="53">
        <f t="shared" si="50"/>
        <v>4.5624223688795944E-3</v>
      </c>
      <c r="E1664" s="53">
        <v>7.0098678157674114E-3</v>
      </c>
      <c r="G1664" s="90">
        <v>1656</v>
      </c>
      <c r="H1664" s="90">
        <f t="shared" ca="1" si="51"/>
        <v>1.2950624922681633E-2</v>
      </c>
    </row>
    <row r="1665" spans="2:8" x14ac:dyDescent="0.3">
      <c r="B1665" s="58">
        <f>'DATA HISTORICAL'!$B2310</f>
        <v>43465</v>
      </c>
      <c r="C1665" s="60">
        <f>'DATA HISTORICAL'!$C2310</f>
        <v>3990.95</v>
      </c>
      <c r="D1665" s="53">
        <f t="shared" si="50"/>
        <v>-3.5017982481905384E-3</v>
      </c>
      <c r="E1665" s="53">
        <v>6.9994331912106343E-3</v>
      </c>
      <c r="G1665" s="90">
        <v>1657</v>
      </c>
      <c r="H1665" s="90">
        <f t="shared" ca="1" si="51"/>
        <v>1.3717118842816777E-3</v>
      </c>
    </row>
    <row r="1666" spans="2:8" x14ac:dyDescent="0.3">
      <c r="B1666" s="58">
        <f>'DATA HISTORICAL'!$B2311</f>
        <v>43462</v>
      </c>
      <c r="C1666" s="60">
        <f>'DATA HISTORICAL'!$C2311</f>
        <v>4004.95</v>
      </c>
      <c r="D1666" s="53">
        <f t="shared" si="50"/>
        <v>5.6213332458185002E-3</v>
      </c>
      <c r="E1666" s="53">
        <v>6.9979291876446368E-3</v>
      </c>
      <c r="G1666" s="90">
        <v>1658</v>
      </c>
      <c r="H1666" s="90">
        <f t="shared" ca="1" si="51"/>
        <v>3.9430751531762585E-2</v>
      </c>
    </row>
    <row r="1667" spans="2:8" x14ac:dyDescent="0.3">
      <c r="B1667" s="58">
        <f>'DATA HISTORICAL'!$B2312</f>
        <v>43461</v>
      </c>
      <c r="C1667" s="60">
        <f>'DATA HISTORICAL'!$C2312</f>
        <v>3982.5</v>
      </c>
      <c r="D1667" s="53">
        <f t="shared" si="50"/>
        <v>-3.4091226961448558E-3</v>
      </c>
      <c r="E1667" s="53">
        <v>6.9977346054548696E-3</v>
      </c>
      <c r="G1667" s="90">
        <v>1659</v>
      </c>
      <c r="H1667" s="90">
        <f t="shared" ca="1" si="51"/>
        <v>1.8279604926523588E-2</v>
      </c>
    </row>
    <row r="1668" spans="2:8" x14ac:dyDescent="0.3">
      <c r="B1668" s="58">
        <f>'DATA HISTORICAL'!$B2313</f>
        <v>43460</v>
      </c>
      <c r="C1668" s="60">
        <f>'DATA HISTORICAL'!$C2313</f>
        <v>3996.1</v>
      </c>
      <c r="D1668" s="53">
        <f t="shared" si="50"/>
        <v>1.9954536934512591E-2</v>
      </c>
      <c r="E1668" s="53">
        <v>6.9888146213025141E-3</v>
      </c>
      <c r="G1668" s="90">
        <v>1660</v>
      </c>
      <c r="H1668" s="90">
        <f t="shared" ca="1" si="51"/>
        <v>-1.0729389940807542E-3</v>
      </c>
    </row>
    <row r="1669" spans="2:8" x14ac:dyDescent="0.3">
      <c r="B1669" s="58">
        <f>'DATA HISTORICAL'!$B2314</f>
        <v>43458</v>
      </c>
      <c r="C1669" s="60">
        <f>'DATA HISTORICAL'!$C2314</f>
        <v>3917.15</v>
      </c>
      <c r="D1669" s="53">
        <f t="shared" si="50"/>
        <v>-1.699728952847903E-2</v>
      </c>
      <c r="E1669" s="53">
        <v>6.9872185782970725E-3</v>
      </c>
      <c r="G1669" s="90">
        <v>1661</v>
      </c>
      <c r="H1669" s="90">
        <f t="shared" ca="1" si="51"/>
        <v>-1.1268209883440659E-2</v>
      </c>
    </row>
    <row r="1670" spans="2:8" x14ac:dyDescent="0.3">
      <c r="B1670" s="58">
        <f>'DATA HISTORICAL'!$B2315</f>
        <v>43455</v>
      </c>
      <c r="C1670" s="60">
        <f>'DATA HISTORICAL'!$C2315</f>
        <v>3984.3</v>
      </c>
      <c r="D1670" s="53">
        <f t="shared" si="50"/>
        <v>-1.3969683791768217E-2</v>
      </c>
      <c r="E1670" s="53">
        <v>6.9753484281720908E-3</v>
      </c>
      <c r="G1670" s="90">
        <v>1662</v>
      </c>
      <c r="H1670" s="90">
        <f t="shared" ca="1" si="51"/>
        <v>3.9883233925741911E-2</v>
      </c>
    </row>
    <row r="1671" spans="2:8" x14ac:dyDescent="0.3">
      <c r="B1671" s="58">
        <f>'DATA HISTORICAL'!$B2316</f>
        <v>43454</v>
      </c>
      <c r="C1671" s="60">
        <f>'DATA HISTORICAL'!$C2316</f>
        <v>4040.35</v>
      </c>
      <c r="D1671" s="53">
        <f t="shared" si="50"/>
        <v>-1.0880241241331894E-2</v>
      </c>
      <c r="E1671" s="53">
        <v>6.9677098495129694E-3</v>
      </c>
      <c r="G1671" s="90">
        <v>1663</v>
      </c>
      <c r="H1671" s="90">
        <f t="shared" ca="1" si="51"/>
        <v>1.951916382545802E-2</v>
      </c>
    </row>
    <row r="1672" spans="2:8" x14ac:dyDescent="0.3">
      <c r="B1672" s="58">
        <f>'DATA HISTORICAL'!$B2317</f>
        <v>43453</v>
      </c>
      <c r="C1672" s="60">
        <f>'DATA HISTORICAL'!$C2317</f>
        <v>4084.55</v>
      </c>
      <c r="D1672" s="53">
        <f t="shared" si="50"/>
        <v>1.8881774893317015E-2</v>
      </c>
      <c r="E1672" s="53">
        <v>6.9632158695234351E-3</v>
      </c>
      <c r="G1672" s="90">
        <v>1664</v>
      </c>
      <c r="H1672" s="90">
        <f t="shared" ca="1" si="51"/>
        <v>-5.7691947097088152E-3</v>
      </c>
    </row>
    <row r="1673" spans="2:8" x14ac:dyDescent="0.3">
      <c r="B1673" s="58">
        <f>'DATA HISTORICAL'!$B2318</f>
        <v>43452</v>
      </c>
      <c r="C1673" s="60">
        <f>'DATA HISTORICAL'!$C2318</f>
        <v>4008.15</v>
      </c>
      <c r="D1673" s="53">
        <f t="shared" ref="D1673:D1736" si="52">LN(C1673/C1674)</f>
        <v>-2.8687425749753464E-4</v>
      </c>
      <c r="E1673" s="53">
        <v>6.9492982932059444E-3</v>
      </c>
      <c r="G1673" s="90">
        <v>1665</v>
      </c>
      <c r="H1673" s="90">
        <f t="shared" ref="H1673:H1736" ca="1" si="53">_xlfn.NORM.INV(RAND(),N$10,N$11)</f>
        <v>8.1580003029969456E-3</v>
      </c>
    </row>
    <row r="1674" spans="2:8" x14ac:dyDescent="0.3">
      <c r="B1674" s="58">
        <f>'DATA HISTORICAL'!$B2319</f>
        <v>43451</v>
      </c>
      <c r="C1674" s="60">
        <f>'DATA HISTORICAL'!$C2319</f>
        <v>4009.3</v>
      </c>
      <c r="D1674" s="53">
        <f t="shared" si="52"/>
        <v>1.0605976525583716E-3</v>
      </c>
      <c r="E1674" s="53">
        <v>6.9345811436233116E-3</v>
      </c>
      <c r="G1674" s="90">
        <v>1666</v>
      </c>
      <c r="H1674" s="90">
        <f t="shared" ca="1" si="53"/>
        <v>-1.6920986136824509E-2</v>
      </c>
    </row>
    <row r="1675" spans="2:8" x14ac:dyDescent="0.3">
      <c r="B1675" s="58">
        <f>'DATA HISTORICAL'!$B2320</f>
        <v>43448</v>
      </c>
      <c r="C1675" s="60">
        <f>'DATA HISTORICAL'!$C2320</f>
        <v>4005.05</v>
      </c>
      <c r="D1675" s="53">
        <f t="shared" si="52"/>
        <v>1.4068359986457543E-2</v>
      </c>
      <c r="E1675" s="53">
        <v>6.9329258369754702E-3</v>
      </c>
      <c r="G1675" s="90">
        <v>1667</v>
      </c>
      <c r="H1675" s="90">
        <f t="shared" ca="1" si="53"/>
        <v>5.0335388741626456E-3</v>
      </c>
    </row>
    <row r="1676" spans="2:8" x14ac:dyDescent="0.3">
      <c r="B1676" s="58">
        <f>'DATA HISTORICAL'!$B2321</f>
        <v>43447</v>
      </c>
      <c r="C1676" s="60">
        <f>'DATA HISTORICAL'!$C2321</f>
        <v>3949.1</v>
      </c>
      <c r="D1676" s="53">
        <f t="shared" si="52"/>
        <v>4.237778339810319E-3</v>
      </c>
      <c r="E1676" s="53">
        <v>6.9194283170468758E-3</v>
      </c>
      <c r="G1676" s="90">
        <v>1668</v>
      </c>
      <c r="H1676" s="90">
        <f t="shared" ca="1" si="53"/>
        <v>2.7798065938709003E-2</v>
      </c>
    </row>
    <row r="1677" spans="2:8" x14ac:dyDescent="0.3">
      <c r="B1677" s="58">
        <f>'DATA HISTORICAL'!$B2322</f>
        <v>43446</v>
      </c>
      <c r="C1677" s="60">
        <f>'DATA HISTORICAL'!$C2322</f>
        <v>3932.4</v>
      </c>
      <c r="D1677" s="53">
        <f t="shared" si="52"/>
        <v>1.4936548745919371E-2</v>
      </c>
      <c r="E1677" s="53">
        <v>6.9116930578498074E-3</v>
      </c>
      <c r="G1677" s="90">
        <v>1669</v>
      </c>
      <c r="H1677" s="90">
        <f t="shared" ca="1" si="53"/>
        <v>-7.8317397508666613E-3</v>
      </c>
    </row>
    <row r="1678" spans="2:8" x14ac:dyDescent="0.3">
      <c r="B1678" s="58">
        <f>'DATA HISTORICAL'!$B2323</f>
        <v>43445</v>
      </c>
      <c r="C1678" s="60">
        <f>'DATA HISTORICAL'!$C2323</f>
        <v>3874.1</v>
      </c>
      <c r="D1678" s="53">
        <f t="shared" si="52"/>
        <v>2.5502483308716239E-2</v>
      </c>
      <c r="E1678" s="53">
        <v>6.8718219133953031E-3</v>
      </c>
      <c r="G1678" s="90">
        <v>1670</v>
      </c>
      <c r="H1678" s="90">
        <f t="shared" ca="1" si="53"/>
        <v>4.8185857468502472E-2</v>
      </c>
    </row>
    <row r="1679" spans="2:8" x14ac:dyDescent="0.3">
      <c r="B1679" s="58">
        <f>'DATA HISTORICAL'!$B2324</f>
        <v>43444</v>
      </c>
      <c r="C1679" s="60">
        <f>'DATA HISTORICAL'!$C2324</f>
        <v>3776.55</v>
      </c>
      <c r="D1679" s="53">
        <f t="shared" si="52"/>
        <v>-4.0464461494299248E-2</v>
      </c>
      <c r="E1679" s="53">
        <v>6.8642492861368028E-3</v>
      </c>
      <c r="G1679" s="90">
        <v>1671</v>
      </c>
      <c r="H1679" s="90">
        <f t="shared" ca="1" si="53"/>
        <v>1.1174213960039314E-2</v>
      </c>
    </row>
    <row r="1680" spans="2:8" x14ac:dyDescent="0.3">
      <c r="B1680" s="58">
        <f>'DATA HISTORICAL'!$B2325</f>
        <v>43441</v>
      </c>
      <c r="C1680" s="60">
        <f>'DATA HISTORICAL'!$C2325</f>
        <v>3932.5</v>
      </c>
      <c r="D1680" s="53">
        <f t="shared" si="52"/>
        <v>1.7443048385507132E-2</v>
      </c>
      <c r="E1680" s="53">
        <v>6.8596053332517495E-3</v>
      </c>
      <c r="G1680" s="90">
        <v>1672</v>
      </c>
      <c r="H1680" s="90">
        <f t="shared" ca="1" si="53"/>
        <v>2.5138310106597204E-2</v>
      </c>
    </row>
    <row r="1681" spans="2:8" x14ac:dyDescent="0.3">
      <c r="B1681" s="58">
        <f>'DATA HISTORICAL'!$B2326</f>
        <v>43440</v>
      </c>
      <c r="C1681" s="60">
        <f>'DATA HISTORICAL'!$C2326</f>
        <v>3864.5</v>
      </c>
      <c r="D1681" s="53">
        <f t="shared" si="52"/>
        <v>-2.6694463788435454E-2</v>
      </c>
      <c r="E1681" s="53">
        <v>6.8490398395755544E-3</v>
      </c>
      <c r="G1681" s="90">
        <v>1673</v>
      </c>
      <c r="H1681" s="90">
        <f t="shared" ca="1" si="53"/>
        <v>1.3066258683518055E-2</v>
      </c>
    </row>
    <row r="1682" spans="2:8" x14ac:dyDescent="0.3">
      <c r="B1682" s="58">
        <f>'DATA HISTORICAL'!$B2327</f>
        <v>43439</v>
      </c>
      <c r="C1682" s="60">
        <f>'DATA HISTORICAL'!$C2327</f>
        <v>3969.05</v>
      </c>
      <c r="D1682" s="53">
        <f t="shared" si="52"/>
        <v>-1.5400881922062539E-2</v>
      </c>
      <c r="E1682" s="53">
        <v>6.8291844043286299E-3</v>
      </c>
      <c r="G1682" s="90">
        <v>1674</v>
      </c>
      <c r="H1682" s="90">
        <f t="shared" ca="1" si="53"/>
        <v>-1.8951036186566281E-3</v>
      </c>
    </row>
    <row r="1683" spans="2:8" x14ac:dyDescent="0.3">
      <c r="B1683" s="58">
        <f>'DATA HISTORICAL'!$B2328</f>
        <v>43438</v>
      </c>
      <c r="C1683" s="60">
        <f>'DATA HISTORICAL'!$C2328</f>
        <v>4030.65</v>
      </c>
      <c r="D1683" s="53">
        <f t="shared" si="52"/>
        <v>-4.0482126184418835E-3</v>
      </c>
      <c r="E1683" s="53">
        <v>6.8242974356713341E-3</v>
      </c>
      <c r="G1683" s="90">
        <v>1675</v>
      </c>
      <c r="H1683" s="90">
        <f t="shared" ca="1" si="53"/>
        <v>4.2117349044103738E-3</v>
      </c>
    </row>
    <row r="1684" spans="2:8" x14ac:dyDescent="0.3">
      <c r="B1684" s="58">
        <f>'DATA HISTORICAL'!$B2329</f>
        <v>43437</v>
      </c>
      <c r="C1684" s="60">
        <f>'DATA HISTORICAL'!$C2329</f>
        <v>4047</v>
      </c>
      <c r="D1684" s="53">
        <f t="shared" si="52"/>
        <v>1.176900860218631E-2</v>
      </c>
      <c r="E1684" s="53">
        <v>6.8199184201028756E-3</v>
      </c>
      <c r="G1684" s="90">
        <v>1676</v>
      </c>
      <c r="H1684" s="90">
        <f t="shared" ca="1" si="53"/>
        <v>-1.3447371221272278E-2</v>
      </c>
    </row>
    <row r="1685" spans="2:8" x14ac:dyDescent="0.3">
      <c r="B1685" s="58">
        <f>'DATA HISTORICAL'!$B2330</f>
        <v>43434</v>
      </c>
      <c r="C1685" s="60">
        <f>'DATA HISTORICAL'!$C2330</f>
        <v>3999.65</v>
      </c>
      <c r="D1685" s="53">
        <f t="shared" si="52"/>
        <v>-7.6587693246663773E-3</v>
      </c>
      <c r="E1685" s="53">
        <v>6.8199014977526609E-3</v>
      </c>
      <c r="G1685" s="90">
        <v>1677</v>
      </c>
      <c r="H1685" s="90">
        <f t="shared" ca="1" si="53"/>
        <v>-3.6372839059859698E-2</v>
      </c>
    </row>
    <row r="1686" spans="2:8" x14ac:dyDescent="0.3">
      <c r="B1686" s="58">
        <f>'DATA HISTORICAL'!$B2331</f>
        <v>43433</v>
      </c>
      <c r="C1686" s="60">
        <f>'DATA HISTORICAL'!$C2331</f>
        <v>4030.4</v>
      </c>
      <c r="D1686" s="53">
        <f t="shared" si="52"/>
        <v>6.5967405000906523E-3</v>
      </c>
      <c r="E1686" s="53">
        <v>6.817339052103963E-3</v>
      </c>
      <c r="G1686" s="90">
        <v>1678</v>
      </c>
      <c r="H1686" s="90">
        <f t="shared" ca="1" si="53"/>
        <v>-4.4416681846152134E-2</v>
      </c>
    </row>
    <row r="1687" spans="2:8" x14ac:dyDescent="0.3">
      <c r="B1687" s="58">
        <f>'DATA HISTORICAL'!$B2332</f>
        <v>43432</v>
      </c>
      <c r="C1687" s="60">
        <f>'DATA HISTORICAL'!$C2332</f>
        <v>4003.9</v>
      </c>
      <c r="D1687" s="53">
        <f t="shared" si="52"/>
        <v>-2.7469440420453749E-4</v>
      </c>
      <c r="E1687" s="53">
        <v>6.8172968213974098E-3</v>
      </c>
      <c r="G1687" s="90">
        <v>1679</v>
      </c>
      <c r="H1687" s="90">
        <f t="shared" ca="1" si="53"/>
        <v>1.0905729750707359E-2</v>
      </c>
    </row>
    <row r="1688" spans="2:8" x14ac:dyDescent="0.3">
      <c r="B1688" s="58">
        <f>'DATA HISTORICAL'!$B2333</f>
        <v>43431</v>
      </c>
      <c r="C1688" s="60">
        <f>'DATA HISTORICAL'!$C2333</f>
        <v>4005</v>
      </c>
      <c r="D1688" s="53">
        <f t="shared" si="52"/>
        <v>1.1337434759231487E-2</v>
      </c>
      <c r="E1688" s="53">
        <v>6.8170745631443647E-3</v>
      </c>
      <c r="G1688" s="90">
        <v>1680</v>
      </c>
      <c r="H1688" s="90">
        <f t="shared" ca="1" si="53"/>
        <v>1.0112071013257248E-2</v>
      </c>
    </row>
    <row r="1689" spans="2:8" x14ac:dyDescent="0.3">
      <c r="B1689" s="58">
        <f>'DATA HISTORICAL'!$B2334</f>
        <v>43430</v>
      </c>
      <c r="C1689" s="60">
        <f>'DATA HISTORICAL'!$C2334</f>
        <v>3959.85</v>
      </c>
      <c r="D1689" s="53">
        <f t="shared" si="52"/>
        <v>2.3893061523128753E-3</v>
      </c>
      <c r="E1689" s="53">
        <v>6.8170038871651238E-3</v>
      </c>
      <c r="G1689" s="90">
        <v>1681</v>
      </c>
      <c r="H1689" s="90">
        <f t="shared" ca="1" si="53"/>
        <v>2.9153871327879505E-3</v>
      </c>
    </row>
    <row r="1690" spans="2:8" x14ac:dyDescent="0.3">
      <c r="B1690" s="58">
        <f>'DATA HISTORICAL'!$B2335</f>
        <v>43426</v>
      </c>
      <c r="C1690" s="60">
        <f>'DATA HISTORICAL'!$C2335</f>
        <v>3950.4</v>
      </c>
      <c r="D1690" s="53">
        <f t="shared" si="52"/>
        <v>-2.3368004342285448E-2</v>
      </c>
      <c r="E1690" s="53">
        <v>6.8145060729745905E-3</v>
      </c>
      <c r="G1690" s="90">
        <v>1682</v>
      </c>
      <c r="H1690" s="90">
        <f t="shared" ca="1" si="53"/>
        <v>3.5741893124069953E-2</v>
      </c>
    </row>
    <row r="1691" spans="2:8" x14ac:dyDescent="0.3">
      <c r="B1691" s="58">
        <f>'DATA HISTORICAL'!$B2336</f>
        <v>43425</v>
      </c>
      <c r="C1691" s="60">
        <f>'DATA HISTORICAL'!$C2336</f>
        <v>4043.8</v>
      </c>
      <c r="D1691" s="53">
        <f t="shared" si="52"/>
        <v>1.6795382486557434E-2</v>
      </c>
      <c r="E1691" s="53">
        <v>6.7984535730579885E-3</v>
      </c>
      <c r="G1691" s="90">
        <v>1683</v>
      </c>
      <c r="H1691" s="90">
        <f t="shared" ca="1" si="53"/>
        <v>2.581913166656748E-2</v>
      </c>
    </row>
    <row r="1692" spans="2:8" x14ac:dyDescent="0.3">
      <c r="B1692" s="58">
        <f>'DATA HISTORICAL'!$B2337</f>
        <v>43424</v>
      </c>
      <c r="C1692" s="60">
        <f>'DATA HISTORICAL'!$C2337</f>
        <v>3976.45</v>
      </c>
      <c r="D1692" s="53">
        <f t="shared" si="52"/>
        <v>-1.3860668434020128E-2</v>
      </c>
      <c r="E1692" s="53">
        <v>6.7935310658898016E-3</v>
      </c>
      <c r="G1692" s="90">
        <v>1684</v>
      </c>
      <c r="H1692" s="90">
        <f t="shared" ca="1" si="53"/>
        <v>3.3549594594845702E-2</v>
      </c>
    </row>
    <row r="1693" spans="2:8" x14ac:dyDescent="0.3">
      <c r="B1693" s="58">
        <f>'DATA HISTORICAL'!$B2338</f>
        <v>43423</v>
      </c>
      <c r="C1693" s="60">
        <f>'DATA HISTORICAL'!$C2338</f>
        <v>4031.95</v>
      </c>
      <c r="D1693" s="53">
        <f t="shared" si="52"/>
        <v>1.7400227606635333E-2</v>
      </c>
      <c r="E1693" s="53">
        <v>6.7898757131474871E-3</v>
      </c>
      <c r="G1693" s="90">
        <v>1685</v>
      </c>
      <c r="H1693" s="90">
        <f t="shared" ca="1" si="53"/>
        <v>1.3506697466261919E-2</v>
      </c>
    </row>
    <row r="1694" spans="2:8" x14ac:dyDescent="0.3">
      <c r="B1694" s="58">
        <f>'DATA HISTORICAL'!$B2339</f>
        <v>43420</v>
      </c>
      <c r="C1694" s="60">
        <f>'DATA HISTORICAL'!$C2339</f>
        <v>3962.4</v>
      </c>
      <c r="D1694" s="53">
        <f t="shared" si="52"/>
        <v>1.2558337065008569E-2</v>
      </c>
      <c r="E1694" s="53">
        <v>6.780278852473693E-3</v>
      </c>
      <c r="G1694" s="90">
        <v>1686</v>
      </c>
      <c r="H1694" s="90">
        <f t="shared" ca="1" si="53"/>
        <v>2.1113994746567995E-2</v>
      </c>
    </row>
    <row r="1695" spans="2:8" x14ac:dyDescent="0.3">
      <c r="B1695" s="58">
        <f>'DATA HISTORICAL'!$B2340</f>
        <v>43419</v>
      </c>
      <c r="C1695" s="60">
        <f>'DATA HISTORICAL'!$C2340</f>
        <v>3912.95</v>
      </c>
      <c r="D1695" s="53">
        <f t="shared" si="52"/>
        <v>-1.0472542464164854E-3</v>
      </c>
      <c r="E1695" s="53">
        <v>6.7782944129423425E-3</v>
      </c>
      <c r="G1695" s="90">
        <v>1687</v>
      </c>
      <c r="H1695" s="90">
        <f t="shared" ca="1" si="53"/>
        <v>7.7421182590053997E-3</v>
      </c>
    </row>
    <row r="1696" spans="2:8" x14ac:dyDescent="0.3">
      <c r="B1696" s="58">
        <f>'DATA HISTORICAL'!$B2341</f>
        <v>43418</v>
      </c>
      <c r="C1696" s="60">
        <f>'DATA HISTORICAL'!$C2341</f>
        <v>3917.05</v>
      </c>
      <c r="D1696" s="53">
        <f t="shared" si="52"/>
        <v>2.2500126282181794E-2</v>
      </c>
      <c r="E1696" s="53">
        <v>6.7602731297092683E-3</v>
      </c>
      <c r="G1696" s="90">
        <v>1688</v>
      </c>
      <c r="H1696" s="90">
        <f t="shared" ca="1" si="53"/>
        <v>2.6743339367212071E-2</v>
      </c>
    </row>
    <row r="1697" spans="2:8" x14ac:dyDescent="0.3">
      <c r="B1697" s="58">
        <f>'DATA HISTORICAL'!$B2342</f>
        <v>43417</v>
      </c>
      <c r="C1697" s="60">
        <f>'DATA HISTORICAL'!$C2342</f>
        <v>3829.9</v>
      </c>
      <c r="D1697" s="53">
        <f t="shared" si="52"/>
        <v>2.7275320351252144E-2</v>
      </c>
      <c r="E1697" s="53">
        <v>6.7530281849883635E-3</v>
      </c>
      <c r="G1697" s="90">
        <v>1689</v>
      </c>
      <c r="H1697" s="90">
        <f t="shared" ca="1" si="53"/>
        <v>2.5232806178799003E-2</v>
      </c>
    </row>
    <row r="1698" spans="2:8" x14ac:dyDescent="0.3">
      <c r="B1698" s="58">
        <f>'DATA HISTORICAL'!$B2343</f>
        <v>43416</v>
      </c>
      <c r="C1698" s="60">
        <f>'DATA HISTORICAL'!$C2343</f>
        <v>3726.85</v>
      </c>
      <c r="D1698" s="53">
        <f t="shared" si="52"/>
        <v>-2.4124064106790358E-2</v>
      </c>
      <c r="E1698" s="53">
        <v>6.7527243044237292E-3</v>
      </c>
      <c r="G1698" s="90">
        <v>1690</v>
      </c>
      <c r="H1698" s="90">
        <f t="shared" ca="1" si="53"/>
        <v>-2.35897301160919E-2</v>
      </c>
    </row>
    <row r="1699" spans="2:8" x14ac:dyDescent="0.3">
      <c r="B1699" s="58">
        <f>'DATA HISTORICAL'!$B2344</f>
        <v>43413</v>
      </c>
      <c r="C1699" s="60">
        <f>'DATA HISTORICAL'!$C2344</f>
        <v>3817.85</v>
      </c>
      <c r="D1699" s="53">
        <f t="shared" si="52"/>
        <v>9.2758330744385133E-3</v>
      </c>
      <c r="E1699" s="53">
        <v>6.7332272948243668E-3</v>
      </c>
      <c r="G1699" s="90">
        <v>1691</v>
      </c>
      <c r="H1699" s="90">
        <f t="shared" ca="1" si="53"/>
        <v>-6.2449292633479014E-3</v>
      </c>
    </row>
    <row r="1700" spans="2:8" x14ac:dyDescent="0.3">
      <c r="B1700" s="58">
        <f>'DATA HISTORICAL'!$B2345</f>
        <v>43411</v>
      </c>
      <c r="C1700" s="60">
        <f>'DATA HISTORICAL'!$C2345</f>
        <v>3782.6</v>
      </c>
      <c r="D1700" s="53">
        <f t="shared" si="52"/>
        <v>1.0150213356764394E-2</v>
      </c>
      <c r="E1700" s="53">
        <v>6.7275329315295432E-3</v>
      </c>
      <c r="G1700" s="90">
        <v>1692</v>
      </c>
      <c r="H1700" s="90">
        <f t="shared" ca="1" si="53"/>
        <v>-2.0882506764925174E-2</v>
      </c>
    </row>
    <row r="1701" spans="2:8" x14ac:dyDescent="0.3">
      <c r="B1701" s="58">
        <f>'DATA HISTORICAL'!$B2346</f>
        <v>43410</v>
      </c>
      <c r="C1701" s="60">
        <f>'DATA HISTORICAL'!$C2346</f>
        <v>3744.4</v>
      </c>
      <c r="D1701" s="53">
        <f t="shared" si="52"/>
        <v>-8.0197797820060115E-3</v>
      </c>
      <c r="E1701" s="53">
        <v>6.7168314587858708E-3</v>
      </c>
      <c r="G1701" s="90">
        <v>1693</v>
      </c>
      <c r="H1701" s="90">
        <f t="shared" ca="1" si="53"/>
        <v>6.3237984935530988E-3</v>
      </c>
    </row>
    <row r="1702" spans="2:8" x14ac:dyDescent="0.3">
      <c r="B1702" s="58">
        <f>'DATA HISTORICAL'!$B2347</f>
        <v>43409</v>
      </c>
      <c r="C1702" s="60">
        <f>'DATA HISTORICAL'!$C2347</f>
        <v>3774.55</v>
      </c>
      <c r="D1702" s="53">
        <f t="shared" si="52"/>
        <v>1.1658482426887197E-2</v>
      </c>
      <c r="E1702" s="53">
        <v>6.7129363747376394E-3</v>
      </c>
      <c r="G1702" s="90">
        <v>1694</v>
      </c>
      <c r="H1702" s="90">
        <f t="shared" ca="1" si="53"/>
        <v>-1.5689023284227999E-2</v>
      </c>
    </row>
    <row r="1703" spans="2:8" x14ac:dyDescent="0.3">
      <c r="B1703" s="58">
        <f>'DATA HISTORICAL'!$B2348</f>
        <v>43406</v>
      </c>
      <c r="C1703" s="60">
        <f>'DATA HISTORICAL'!$C2348</f>
        <v>3730.8</v>
      </c>
      <c r="D1703" s="53">
        <f t="shared" si="52"/>
        <v>3.5230614077812965E-2</v>
      </c>
      <c r="E1703" s="53">
        <v>6.7108176101448036E-3</v>
      </c>
      <c r="G1703" s="90">
        <v>1695</v>
      </c>
      <c r="H1703" s="90">
        <f t="shared" ca="1" si="53"/>
        <v>-1.5174451028064147E-2</v>
      </c>
    </row>
    <row r="1704" spans="2:8" x14ac:dyDescent="0.3">
      <c r="B1704" s="58">
        <f>'DATA HISTORICAL'!$B2349</f>
        <v>43405</v>
      </c>
      <c r="C1704" s="60">
        <f>'DATA HISTORICAL'!$C2349</f>
        <v>3601.65</v>
      </c>
      <c r="D1704" s="53">
        <f t="shared" si="52"/>
        <v>2.8800548564375899E-2</v>
      </c>
      <c r="E1704" s="53">
        <v>6.7058429340621029E-3</v>
      </c>
      <c r="G1704" s="90">
        <v>1696</v>
      </c>
      <c r="H1704" s="90">
        <f t="shared" ca="1" si="53"/>
        <v>2.0013869006323966E-2</v>
      </c>
    </row>
    <row r="1705" spans="2:8" x14ac:dyDescent="0.3">
      <c r="B1705" s="58">
        <f>'DATA HISTORICAL'!$B2350</f>
        <v>43404</v>
      </c>
      <c r="C1705" s="60">
        <f>'DATA HISTORICAL'!$C2350</f>
        <v>3499.4</v>
      </c>
      <c r="D1705" s="53">
        <f t="shared" si="52"/>
        <v>1.026857889397368E-2</v>
      </c>
      <c r="E1705" s="53">
        <v>6.6896183894587158E-3</v>
      </c>
      <c r="G1705" s="90">
        <v>1697</v>
      </c>
      <c r="H1705" s="90">
        <f t="shared" ca="1" si="53"/>
        <v>-1.0999782517445468E-2</v>
      </c>
    </row>
    <row r="1706" spans="2:8" x14ac:dyDescent="0.3">
      <c r="B1706" s="58">
        <f>'DATA HISTORICAL'!$B2351</f>
        <v>43403</v>
      </c>
      <c r="C1706" s="60">
        <f>'DATA HISTORICAL'!$C2351</f>
        <v>3463.65</v>
      </c>
      <c r="D1706" s="53">
        <f t="shared" si="52"/>
        <v>6.3574109722994623E-3</v>
      </c>
      <c r="E1706" s="53">
        <v>6.689425975238172E-3</v>
      </c>
      <c r="G1706" s="90">
        <v>1698</v>
      </c>
      <c r="H1706" s="90">
        <f t="shared" ca="1" si="53"/>
        <v>2.2630515889415443E-3</v>
      </c>
    </row>
    <row r="1707" spans="2:8" x14ac:dyDescent="0.3">
      <c r="B1707" s="58">
        <f>'DATA HISTORICAL'!$B2352</f>
        <v>43402</v>
      </c>
      <c r="C1707" s="60">
        <f>'DATA HISTORICAL'!$C2352</f>
        <v>3441.7</v>
      </c>
      <c r="D1707" s="53">
        <f t="shared" si="52"/>
        <v>1.6109539408635482E-2</v>
      </c>
      <c r="E1707" s="53">
        <v>6.6733595576736505E-3</v>
      </c>
      <c r="G1707" s="90">
        <v>1699</v>
      </c>
      <c r="H1707" s="90">
        <f t="shared" ca="1" si="53"/>
        <v>1.7857022159333512E-4</v>
      </c>
    </row>
    <row r="1708" spans="2:8" x14ac:dyDescent="0.3">
      <c r="B1708" s="58">
        <f>'DATA HISTORICAL'!$B2353</f>
        <v>43399</v>
      </c>
      <c r="C1708" s="60">
        <f>'DATA HISTORICAL'!$C2353</f>
        <v>3386.7</v>
      </c>
      <c r="D1708" s="53">
        <f t="shared" si="52"/>
        <v>1.1642197370283281E-2</v>
      </c>
      <c r="E1708" s="53">
        <v>6.6669303180353521E-3</v>
      </c>
      <c r="G1708" s="90">
        <v>1700</v>
      </c>
      <c r="H1708" s="90">
        <f t="shared" ca="1" si="53"/>
        <v>-1.2428701243528354E-2</v>
      </c>
    </row>
    <row r="1709" spans="2:8" x14ac:dyDescent="0.3">
      <c r="B1709" s="58">
        <f>'DATA HISTORICAL'!$B2354</f>
        <v>43398</v>
      </c>
      <c r="C1709" s="60">
        <f>'DATA HISTORICAL'!$C2354</f>
        <v>3347.5</v>
      </c>
      <c r="D1709" s="53">
        <f t="shared" si="52"/>
        <v>-1.0711655594927772E-2</v>
      </c>
      <c r="E1709" s="53">
        <v>6.6606361895478593E-3</v>
      </c>
      <c r="G1709" s="90">
        <v>1701</v>
      </c>
      <c r="H1709" s="90">
        <f t="shared" ca="1" si="53"/>
        <v>-1.2063441267290233E-2</v>
      </c>
    </row>
    <row r="1710" spans="2:8" x14ac:dyDescent="0.3">
      <c r="B1710" s="58">
        <f>'DATA HISTORICAL'!$B2355</f>
        <v>43397</v>
      </c>
      <c r="C1710" s="60">
        <f>'DATA HISTORICAL'!$C2355</f>
        <v>3383.55</v>
      </c>
      <c r="D1710" s="53">
        <f t="shared" si="52"/>
        <v>1.1862429505204308E-2</v>
      </c>
      <c r="E1710" s="53">
        <v>6.6560087958699053E-3</v>
      </c>
      <c r="G1710" s="90">
        <v>1702</v>
      </c>
      <c r="H1710" s="90">
        <f t="shared" ca="1" si="53"/>
        <v>1.8077370767842216E-2</v>
      </c>
    </row>
    <row r="1711" spans="2:8" x14ac:dyDescent="0.3">
      <c r="B1711" s="58">
        <f>'DATA HISTORICAL'!$B2356</f>
        <v>43396</v>
      </c>
      <c r="C1711" s="60">
        <f>'DATA HISTORICAL'!$C2356</f>
        <v>3343.65</v>
      </c>
      <c r="D1711" s="53">
        <f t="shared" si="52"/>
        <v>-3.5144429882937346E-2</v>
      </c>
      <c r="E1711" s="53">
        <v>6.6512260608861196E-3</v>
      </c>
      <c r="G1711" s="90">
        <v>1703</v>
      </c>
      <c r="H1711" s="90">
        <f t="shared" ca="1" si="53"/>
        <v>8.7217339925711925E-3</v>
      </c>
    </row>
    <row r="1712" spans="2:8" x14ac:dyDescent="0.3">
      <c r="B1712" s="58">
        <f>'DATA HISTORICAL'!$B2357</f>
        <v>43395</v>
      </c>
      <c r="C1712" s="60">
        <f>'DATA HISTORICAL'!$C2357</f>
        <v>3463.25</v>
      </c>
      <c r="D1712" s="53">
        <f t="shared" si="52"/>
        <v>-4.1389508325696607E-2</v>
      </c>
      <c r="E1712" s="53">
        <v>6.649076728672933E-3</v>
      </c>
      <c r="G1712" s="90">
        <v>1704</v>
      </c>
      <c r="H1712" s="90">
        <f t="shared" ca="1" si="53"/>
        <v>-5.3950476110847358E-3</v>
      </c>
    </row>
    <row r="1713" spans="2:8" x14ac:dyDescent="0.3">
      <c r="B1713" s="58">
        <f>'DATA HISTORICAL'!$B2358</f>
        <v>43392</v>
      </c>
      <c r="C1713" s="60">
        <f>'DATA HISTORICAL'!$C2358</f>
        <v>3609.6</v>
      </c>
      <c r="D1713" s="53">
        <f t="shared" si="52"/>
        <v>-3.0932832009031911E-2</v>
      </c>
      <c r="E1713" s="53">
        <v>6.6485124952327121E-3</v>
      </c>
      <c r="G1713" s="90">
        <v>1705</v>
      </c>
      <c r="H1713" s="90">
        <f t="shared" ca="1" si="53"/>
        <v>2.1998058829799556E-2</v>
      </c>
    </row>
    <row r="1714" spans="2:8" x14ac:dyDescent="0.3">
      <c r="B1714" s="58">
        <f>'DATA HISTORICAL'!$B2359</f>
        <v>43390</v>
      </c>
      <c r="C1714" s="60">
        <f>'DATA HISTORICAL'!$C2359</f>
        <v>3723</v>
      </c>
      <c r="D1714" s="53">
        <f t="shared" si="52"/>
        <v>-7.9457860160884117E-3</v>
      </c>
      <c r="E1714" s="53">
        <v>6.6481806007664028E-3</v>
      </c>
      <c r="G1714" s="90">
        <v>1706</v>
      </c>
      <c r="H1714" s="90">
        <f t="shared" ca="1" si="53"/>
        <v>2.813933641861897E-2</v>
      </c>
    </row>
    <row r="1715" spans="2:8" x14ac:dyDescent="0.3">
      <c r="B1715" s="58">
        <f>'DATA HISTORICAL'!$B2360</f>
        <v>43389</v>
      </c>
      <c r="C1715" s="60">
        <f>'DATA HISTORICAL'!$C2360</f>
        <v>3752.7</v>
      </c>
      <c r="D1715" s="53">
        <f t="shared" si="52"/>
        <v>1.1875064155977938E-2</v>
      </c>
      <c r="E1715" s="53">
        <v>6.6462632982630587E-3</v>
      </c>
      <c r="G1715" s="90">
        <v>1707</v>
      </c>
      <c r="H1715" s="90">
        <f t="shared" ca="1" si="53"/>
        <v>4.2633050729828502E-2</v>
      </c>
    </row>
    <row r="1716" spans="2:8" x14ac:dyDescent="0.3">
      <c r="B1716" s="58">
        <f>'DATA HISTORICAL'!$B2361</f>
        <v>43388</v>
      </c>
      <c r="C1716" s="60">
        <f>'DATA HISTORICAL'!$C2361</f>
        <v>3708.4</v>
      </c>
      <c r="D1716" s="53">
        <f t="shared" si="52"/>
        <v>-2.3123419007483013E-2</v>
      </c>
      <c r="E1716" s="53">
        <v>6.6430618221500213E-3</v>
      </c>
      <c r="G1716" s="90">
        <v>1708</v>
      </c>
      <c r="H1716" s="90">
        <f t="shared" ca="1" si="53"/>
        <v>1.0924828954282401E-2</v>
      </c>
    </row>
    <row r="1717" spans="2:8" x14ac:dyDescent="0.3">
      <c r="B1717" s="58">
        <f>'DATA HISTORICAL'!$B2362</f>
        <v>43385</v>
      </c>
      <c r="C1717" s="60">
        <f>'DATA HISTORICAL'!$C2362</f>
        <v>3795.15</v>
      </c>
      <c r="D1717" s="53">
        <f t="shared" si="52"/>
        <v>2.8436288483161098E-2</v>
      </c>
      <c r="E1717" s="53">
        <v>6.6310207760120581E-3</v>
      </c>
      <c r="G1717" s="90">
        <v>1709</v>
      </c>
      <c r="H1717" s="90">
        <f t="shared" ca="1" si="53"/>
        <v>1.8108699627571827E-2</v>
      </c>
    </row>
    <row r="1718" spans="2:8" x14ac:dyDescent="0.3">
      <c r="B1718" s="58">
        <f>'DATA HISTORICAL'!$B2363</f>
        <v>43384</v>
      </c>
      <c r="C1718" s="60">
        <f>'DATA HISTORICAL'!$C2363</f>
        <v>3688.75</v>
      </c>
      <c r="D1718" s="53">
        <f t="shared" si="52"/>
        <v>-2.3907121804305702E-2</v>
      </c>
      <c r="E1718" s="53">
        <v>6.6212294709512747E-3</v>
      </c>
      <c r="G1718" s="90">
        <v>1710</v>
      </c>
      <c r="H1718" s="90">
        <f t="shared" ca="1" si="53"/>
        <v>1.2931808050098997E-2</v>
      </c>
    </row>
    <row r="1719" spans="2:8" x14ac:dyDescent="0.3">
      <c r="B1719" s="58">
        <f>'DATA HISTORICAL'!$B2364</f>
        <v>43383</v>
      </c>
      <c r="C1719" s="60">
        <f>'DATA HISTORICAL'!$C2364</f>
        <v>3778</v>
      </c>
      <c r="D1719" s="53">
        <f t="shared" si="52"/>
        <v>-1.0582011569479615E-3</v>
      </c>
      <c r="E1719" s="53">
        <v>6.6154467719665173E-3</v>
      </c>
      <c r="G1719" s="90">
        <v>1711</v>
      </c>
      <c r="H1719" s="90">
        <f t="shared" ca="1" si="53"/>
        <v>1.5149024290173327E-2</v>
      </c>
    </row>
    <row r="1720" spans="2:8" x14ac:dyDescent="0.3">
      <c r="B1720" s="58">
        <f>'DATA HISTORICAL'!$B2365</f>
        <v>43382</v>
      </c>
      <c r="C1720" s="60">
        <f>'DATA HISTORICAL'!$C2365</f>
        <v>3782</v>
      </c>
      <c r="D1720" s="53">
        <f t="shared" si="52"/>
        <v>6.1266088279849111E-3</v>
      </c>
      <c r="E1720" s="53">
        <v>6.6056447302152875E-3</v>
      </c>
      <c r="G1720" s="90">
        <v>1712</v>
      </c>
      <c r="H1720" s="90">
        <f t="shared" ca="1" si="53"/>
        <v>-6.8953183921295885E-4</v>
      </c>
    </row>
    <row r="1721" spans="2:8" x14ac:dyDescent="0.3">
      <c r="B1721" s="58">
        <f>'DATA HISTORICAL'!$B2366</f>
        <v>43381</v>
      </c>
      <c r="C1721" s="60">
        <f>'DATA HISTORICAL'!$C2366</f>
        <v>3758.9</v>
      </c>
      <c r="D1721" s="53">
        <f t="shared" si="52"/>
        <v>-9.2417939022047049E-3</v>
      </c>
      <c r="E1721" s="53">
        <v>6.595794858994578E-3</v>
      </c>
      <c r="G1721" s="90">
        <v>1713</v>
      </c>
      <c r="H1721" s="90">
        <f t="shared" ca="1" si="53"/>
        <v>1.0219426599643743E-2</v>
      </c>
    </row>
    <row r="1722" spans="2:8" x14ac:dyDescent="0.3">
      <c r="B1722" s="58">
        <f>'DATA HISTORICAL'!$B2367</f>
        <v>43378</v>
      </c>
      <c r="C1722" s="60">
        <f>'DATA HISTORICAL'!$C2367</f>
        <v>3793.8</v>
      </c>
      <c r="D1722" s="53">
        <f t="shared" si="52"/>
        <v>-3.8738535098555217E-2</v>
      </c>
      <c r="E1722" s="53">
        <v>6.558709492574138E-3</v>
      </c>
      <c r="G1722" s="90">
        <v>1714</v>
      </c>
      <c r="H1722" s="90">
        <f t="shared" ca="1" si="53"/>
        <v>-1.5806745896988519E-2</v>
      </c>
    </row>
    <row r="1723" spans="2:8" x14ac:dyDescent="0.3">
      <c r="B1723" s="58">
        <f>'DATA HISTORICAL'!$B2368</f>
        <v>43377</v>
      </c>
      <c r="C1723" s="60">
        <f>'DATA HISTORICAL'!$C2368</f>
        <v>3943.65</v>
      </c>
      <c r="D1723" s="53">
        <f t="shared" si="52"/>
        <v>2.1361789745106108E-2</v>
      </c>
      <c r="E1723" s="53">
        <v>6.5311514156600383E-3</v>
      </c>
      <c r="G1723" s="90">
        <v>1715</v>
      </c>
      <c r="H1723" s="90">
        <f t="shared" ca="1" si="53"/>
        <v>2.2855936809920867E-2</v>
      </c>
    </row>
    <row r="1724" spans="2:8" x14ac:dyDescent="0.3">
      <c r="B1724" s="58">
        <f>'DATA HISTORICAL'!$B2369</f>
        <v>43376</v>
      </c>
      <c r="C1724" s="60">
        <f>'DATA HISTORICAL'!$C2369</f>
        <v>3860.3</v>
      </c>
      <c r="D1724" s="53">
        <f t="shared" si="52"/>
        <v>-2.0486582778910283E-2</v>
      </c>
      <c r="E1724" s="53">
        <v>6.5251448705562522E-3</v>
      </c>
      <c r="G1724" s="90">
        <v>1716</v>
      </c>
      <c r="H1724" s="90">
        <f t="shared" ca="1" si="53"/>
        <v>-1.1079325678814159E-2</v>
      </c>
    </row>
    <row r="1725" spans="2:8" x14ac:dyDescent="0.3">
      <c r="B1725" s="58">
        <f>'DATA HISTORICAL'!$B2370</f>
        <v>43374</v>
      </c>
      <c r="C1725" s="60">
        <f>'DATA HISTORICAL'!$C2370</f>
        <v>3940.2</v>
      </c>
      <c r="D1725" s="53">
        <f t="shared" si="52"/>
        <v>-2.9939174824026811E-2</v>
      </c>
      <c r="E1725" s="53">
        <v>6.5156916831721713E-3</v>
      </c>
      <c r="G1725" s="90">
        <v>1717</v>
      </c>
      <c r="H1725" s="90">
        <f t="shared" ca="1" si="53"/>
        <v>1.8371668068370119E-2</v>
      </c>
    </row>
    <row r="1726" spans="2:8" x14ac:dyDescent="0.3">
      <c r="B1726" s="58">
        <f>'DATA HISTORICAL'!$B2371</f>
        <v>43371</v>
      </c>
      <c r="C1726" s="60">
        <f>'DATA HISTORICAL'!$C2371</f>
        <v>4059.95</v>
      </c>
      <c r="D1726" s="53">
        <f t="shared" si="52"/>
        <v>-1.4779587760529483E-2</v>
      </c>
      <c r="E1726" s="53">
        <v>6.5129950515799302E-3</v>
      </c>
      <c r="G1726" s="90">
        <v>1718</v>
      </c>
      <c r="H1726" s="90">
        <f t="shared" ca="1" si="53"/>
        <v>1.664148269834425E-2</v>
      </c>
    </row>
    <row r="1727" spans="2:8" x14ac:dyDescent="0.3">
      <c r="B1727" s="58">
        <f>'DATA HISTORICAL'!$B2372</f>
        <v>43370</v>
      </c>
      <c r="C1727" s="60">
        <f>'DATA HISTORICAL'!$C2372</f>
        <v>4120.3999999999996</v>
      </c>
      <c r="D1727" s="53">
        <f t="shared" si="52"/>
        <v>1.2909393428898783E-2</v>
      </c>
      <c r="E1727" s="53">
        <v>6.4822592791706343E-3</v>
      </c>
      <c r="G1727" s="90">
        <v>1719</v>
      </c>
      <c r="H1727" s="90">
        <f t="shared" ca="1" si="53"/>
        <v>1.6682314949302095E-2</v>
      </c>
    </row>
    <row r="1728" spans="2:8" x14ac:dyDescent="0.3">
      <c r="B1728" s="58">
        <f>'DATA HISTORICAL'!$B2373</f>
        <v>43369</v>
      </c>
      <c r="C1728" s="60">
        <f>'DATA HISTORICAL'!$C2373</f>
        <v>4067.55</v>
      </c>
      <c r="D1728" s="53">
        <f t="shared" si="52"/>
        <v>9.597109325400149E-3</v>
      </c>
      <c r="E1728" s="53">
        <v>6.4689710477645428E-3</v>
      </c>
      <c r="G1728" s="90">
        <v>1720</v>
      </c>
      <c r="H1728" s="90">
        <f t="shared" ca="1" si="53"/>
        <v>2.866618283565758E-2</v>
      </c>
    </row>
    <row r="1729" spans="2:8" x14ac:dyDescent="0.3">
      <c r="B1729" s="58">
        <f>'DATA HISTORICAL'!$B2374</f>
        <v>43368</v>
      </c>
      <c r="C1729" s="60">
        <f>'DATA HISTORICAL'!$C2374</f>
        <v>4028.7</v>
      </c>
      <c r="D1729" s="53">
        <f t="shared" si="52"/>
        <v>1.3444152715959884E-2</v>
      </c>
      <c r="E1729" s="53">
        <v>6.4601361588158233E-3</v>
      </c>
      <c r="G1729" s="90">
        <v>1721</v>
      </c>
      <c r="H1729" s="90">
        <f t="shared" ca="1" si="53"/>
        <v>4.1131235971777154E-2</v>
      </c>
    </row>
    <row r="1730" spans="2:8" x14ac:dyDescent="0.3">
      <c r="B1730" s="58">
        <f>'DATA HISTORICAL'!$B2375</f>
        <v>43367</v>
      </c>
      <c r="C1730" s="60">
        <f>'DATA HISTORICAL'!$C2375</f>
        <v>3974.9</v>
      </c>
      <c r="D1730" s="53">
        <f t="shared" si="52"/>
        <v>-2.3483690983429156E-2</v>
      </c>
      <c r="E1730" s="53">
        <v>6.4508758135625619E-3</v>
      </c>
      <c r="G1730" s="90">
        <v>1722</v>
      </c>
      <c r="H1730" s="90">
        <f t="shared" ca="1" si="53"/>
        <v>7.0541514338291079E-3</v>
      </c>
    </row>
    <row r="1731" spans="2:8" x14ac:dyDescent="0.3">
      <c r="B1731" s="58">
        <f>'DATA HISTORICAL'!$B2376</f>
        <v>43364</v>
      </c>
      <c r="C1731" s="60">
        <f>'DATA HISTORICAL'!$C2376</f>
        <v>4069.35</v>
      </c>
      <c r="D1731" s="53">
        <f t="shared" si="52"/>
        <v>4.59357585097756E-3</v>
      </c>
      <c r="E1731" s="53">
        <v>6.445519945019935E-3</v>
      </c>
      <c r="G1731" s="90">
        <v>1723</v>
      </c>
      <c r="H1731" s="90">
        <f t="shared" ca="1" si="53"/>
        <v>-2.6990901957948423E-2</v>
      </c>
    </row>
    <row r="1732" spans="2:8" x14ac:dyDescent="0.3">
      <c r="B1732" s="58">
        <f>'DATA HISTORICAL'!$B2377</f>
        <v>43362</v>
      </c>
      <c r="C1732" s="60">
        <f>'DATA HISTORICAL'!$C2377</f>
        <v>4050.7</v>
      </c>
      <c r="D1732" s="53">
        <f t="shared" si="52"/>
        <v>-2.2809525772777154E-3</v>
      </c>
      <c r="E1732" s="53">
        <v>6.4296957487602812E-3</v>
      </c>
      <c r="G1732" s="90">
        <v>1724</v>
      </c>
      <c r="H1732" s="90">
        <f t="shared" ca="1" si="53"/>
        <v>-1.8167754728261525E-2</v>
      </c>
    </row>
    <row r="1733" spans="2:8" x14ac:dyDescent="0.3">
      <c r="B1733" s="58">
        <f>'DATA HISTORICAL'!$B2378</f>
        <v>43361</v>
      </c>
      <c r="C1733" s="60">
        <f>'DATA HISTORICAL'!$C2378</f>
        <v>4059.95</v>
      </c>
      <c r="D1733" s="53">
        <f t="shared" si="52"/>
        <v>-1.0669609820757644E-2</v>
      </c>
      <c r="E1733" s="53">
        <v>6.414035906289541E-3</v>
      </c>
      <c r="G1733" s="90">
        <v>1725</v>
      </c>
      <c r="H1733" s="90">
        <f t="shared" ca="1" si="53"/>
        <v>1.6359653599213292E-2</v>
      </c>
    </row>
    <row r="1734" spans="2:8" x14ac:dyDescent="0.3">
      <c r="B1734" s="58">
        <f>'DATA HISTORICAL'!$B2379</f>
        <v>43360</v>
      </c>
      <c r="C1734" s="60">
        <f>'DATA HISTORICAL'!$C2379</f>
        <v>4103.5</v>
      </c>
      <c r="D1734" s="53">
        <f t="shared" si="52"/>
        <v>-2.0645645638170236E-2</v>
      </c>
      <c r="E1734" s="53">
        <v>6.3735968260492512E-3</v>
      </c>
      <c r="G1734" s="90">
        <v>1726</v>
      </c>
      <c r="H1734" s="90">
        <f t="shared" ca="1" si="53"/>
        <v>2.0809842440560566E-2</v>
      </c>
    </row>
    <row r="1735" spans="2:8" x14ac:dyDescent="0.3">
      <c r="B1735" s="58">
        <f>'DATA HISTORICAL'!$B2380</f>
        <v>43357</v>
      </c>
      <c r="C1735" s="60">
        <f>'DATA HISTORICAL'!$C2380</f>
        <v>4189.1000000000004</v>
      </c>
      <c r="D1735" s="53">
        <f t="shared" si="52"/>
        <v>2.238958042041931E-2</v>
      </c>
      <c r="E1735" s="53">
        <v>6.3703261229796949E-3</v>
      </c>
      <c r="G1735" s="90">
        <v>1727</v>
      </c>
      <c r="H1735" s="90">
        <f t="shared" ca="1" si="53"/>
        <v>-3.1970779230837416E-2</v>
      </c>
    </row>
    <row r="1736" spans="2:8" x14ac:dyDescent="0.3">
      <c r="B1736" s="58">
        <f>'DATA HISTORICAL'!$B2381</f>
        <v>43355</v>
      </c>
      <c r="C1736" s="60">
        <f>'DATA HISTORICAL'!$C2381</f>
        <v>4096.3500000000004</v>
      </c>
      <c r="D1736" s="53">
        <f t="shared" si="52"/>
        <v>-2.7425830366227867E-3</v>
      </c>
      <c r="E1736" s="53">
        <v>6.361891503243085E-3</v>
      </c>
      <c r="G1736" s="90">
        <v>1728</v>
      </c>
      <c r="H1736" s="90">
        <f t="shared" ca="1" si="53"/>
        <v>6.4326536532431028E-3</v>
      </c>
    </row>
    <row r="1737" spans="2:8" x14ac:dyDescent="0.3">
      <c r="B1737" s="58">
        <f>'DATA HISTORICAL'!$B2382</f>
        <v>43354</v>
      </c>
      <c r="C1737" s="60">
        <f>'DATA HISTORICAL'!$C2382</f>
        <v>4107.6000000000004</v>
      </c>
      <c r="D1737" s="53">
        <f t="shared" ref="D1737:D1800" si="54">LN(C1737/C1738)</f>
        <v>-1.1389272556959915E-2</v>
      </c>
      <c r="E1737" s="53">
        <v>6.3598942396757225E-3</v>
      </c>
      <c r="G1737" s="90">
        <v>1729</v>
      </c>
      <c r="H1737" s="90">
        <f t="shared" ref="H1737:H1800" ca="1" si="55">_xlfn.NORM.INV(RAND(),N$10,N$11)</f>
        <v>-8.2895472615820455E-3</v>
      </c>
    </row>
    <row r="1738" spans="2:8" x14ac:dyDescent="0.3">
      <c r="B1738" s="58">
        <f>'DATA HISTORICAL'!$B2383</f>
        <v>43353</v>
      </c>
      <c r="C1738" s="60">
        <f>'DATA HISTORICAL'!$C2383</f>
        <v>4154.6499999999996</v>
      </c>
      <c r="D1738" s="53">
        <f t="shared" si="54"/>
        <v>-2.6964003798770435E-2</v>
      </c>
      <c r="E1738" s="53">
        <v>6.3523301806714741E-3</v>
      </c>
      <c r="G1738" s="90">
        <v>1730</v>
      </c>
      <c r="H1738" s="90">
        <f t="shared" ca="1" si="55"/>
        <v>6.3675066179924144E-3</v>
      </c>
    </row>
    <row r="1739" spans="2:8" x14ac:dyDescent="0.3">
      <c r="B1739" s="58">
        <f>'DATA HISTORICAL'!$B2384</f>
        <v>43350</v>
      </c>
      <c r="C1739" s="60">
        <f>'DATA HISTORICAL'!$C2384</f>
        <v>4268.2</v>
      </c>
      <c r="D1739" s="53">
        <f t="shared" si="54"/>
        <v>2.7313071250571704E-2</v>
      </c>
      <c r="E1739" s="53">
        <v>6.3509078242937611E-3</v>
      </c>
      <c r="G1739" s="90">
        <v>1731</v>
      </c>
      <c r="H1739" s="90">
        <f t="shared" ca="1" si="55"/>
        <v>6.9893902428533579E-3</v>
      </c>
    </row>
    <row r="1740" spans="2:8" x14ac:dyDescent="0.3">
      <c r="B1740" s="58">
        <f>'DATA HISTORICAL'!$B2385</f>
        <v>43349</v>
      </c>
      <c r="C1740" s="60">
        <f>'DATA HISTORICAL'!$C2385</f>
        <v>4153.2</v>
      </c>
      <c r="D1740" s="53">
        <f t="shared" si="54"/>
        <v>-1.5037325468326927E-3</v>
      </c>
      <c r="E1740" s="53">
        <v>6.3483134987518241E-3</v>
      </c>
      <c r="G1740" s="90">
        <v>1732</v>
      </c>
      <c r="H1740" s="90">
        <f t="shared" ca="1" si="55"/>
        <v>-1.5497893216957354E-2</v>
      </c>
    </row>
    <row r="1741" spans="2:8" x14ac:dyDescent="0.3">
      <c r="B1741" s="58">
        <f>'DATA HISTORICAL'!$B2386</f>
        <v>43348</v>
      </c>
      <c r="C1741" s="60">
        <f>'DATA HISTORICAL'!$C2386</f>
        <v>4159.45</v>
      </c>
      <c r="D1741" s="53">
        <f t="shared" si="54"/>
        <v>-9.9754433401511491E-3</v>
      </c>
      <c r="E1741" s="53">
        <v>6.3295032539880851E-3</v>
      </c>
      <c r="G1741" s="90">
        <v>1733</v>
      </c>
      <c r="H1741" s="90">
        <f t="shared" ca="1" si="55"/>
        <v>5.3912153792935874E-2</v>
      </c>
    </row>
    <row r="1742" spans="2:8" x14ac:dyDescent="0.3">
      <c r="B1742" s="58">
        <f>'DATA HISTORICAL'!$B2387</f>
        <v>43347</v>
      </c>
      <c r="C1742" s="60">
        <f>'DATA HISTORICAL'!$C2387</f>
        <v>4201.1499999999996</v>
      </c>
      <c r="D1742" s="53">
        <f t="shared" si="54"/>
        <v>-4.0216738969416375E-2</v>
      </c>
      <c r="E1742" s="53">
        <v>6.328859434630749E-3</v>
      </c>
      <c r="G1742" s="90">
        <v>1734</v>
      </c>
      <c r="H1742" s="90">
        <f t="shared" ca="1" si="55"/>
        <v>-2.6979916497547076E-2</v>
      </c>
    </row>
    <row r="1743" spans="2:8" x14ac:dyDescent="0.3">
      <c r="B1743" s="58">
        <f>'DATA HISTORICAL'!$B2388</f>
        <v>43346</v>
      </c>
      <c r="C1743" s="60">
        <f>'DATA HISTORICAL'!$C2388</f>
        <v>4373.55</v>
      </c>
      <c r="D1743" s="53">
        <f t="shared" si="54"/>
        <v>-2.3043041025294614E-2</v>
      </c>
      <c r="E1743" s="53">
        <v>6.3200440185880577E-3</v>
      </c>
      <c r="G1743" s="90">
        <v>1735</v>
      </c>
      <c r="H1743" s="90">
        <f t="shared" ca="1" si="55"/>
        <v>9.2825607932292779E-3</v>
      </c>
    </row>
    <row r="1744" spans="2:8" x14ac:dyDescent="0.3">
      <c r="B1744" s="58">
        <f>'DATA HISTORICAL'!$B2389</f>
        <v>43343</v>
      </c>
      <c r="C1744" s="60">
        <f>'DATA HISTORICAL'!$C2389</f>
        <v>4475.5</v>
      </c>
      <c r="D1744" s="53">
        <f t="shared" si="54"/>
        <v>1.1031464727093682E-2</v>
      </c>
      <c r="E1744" s="53">
        <v>6.3103247168062775E-3</v>
      </c>
      <c r="G1744" s="90">
        <v>1736</v>
      </c>
      <c r="H1744" s="90">
        <f t="shared" ca="1" si="55"/>
        <v>5.8665677919122637E-3</v>
      </c>
    </row>
    <row r="1745" spans="2:8" x14ac:dyDescent="0.3">
      <c r="B1745" s="58">
        <f>'DATA HISTORICAL'!$B2390</f>
        <v>43342</v>
      </c>
      <c r="C1745" s="60">
        <f>'DATA HISTORICAL'!$C2390</f>
        <v>4426.3999999999996</v>
      </c>
      <c r="D1745" s="53">
        <f t="shared" si="54"/>
        <v>5.5389880354221174E-3</v>
      </c>
      <c r="E1745" s="53">
        <v>6.305753378383524E-3</v>
      </c>
      <c r="G1745" s="90">
        <v>1737</v>
      </c>
      <c r="H1745" s="90">
        <f t="shared" ca="1" si="55"/>
        <v>6.737882293039882E-3</v>
      </c>
    </row>
    <row r="1746" spans="2:8" x14ac:dyDescent="0.3">
      <c r="B1746" s="58">
        <f>'DATA HISTORICAL'!$B2391</f>
        <v>43341</v>
      </c>
      <c r="C1746" s="60">
        <f>'DATA HISTORICAL'!$C2391</f>
        <v>4401.95</v>
      </c>
      <c r="D1746" s="53">
        <f t="shared" si="54"/>
        <v>-5.8213446989387125E-3</v>
      </c>
      <c r="E1746" s="53">
        <v>6.291200842305277E-3</v>
      </c>
      <c r="G1746" s="90">
        <v>1738</v>
      </c>
      <c r="H1746" s="90">
        <f t="shared" ca="1" si="55"/>
        <v>2.8598209636324309E-2</v>
      </c>
    </row>
    <row r="1747" spans="2:8" x14ac:dyDescent="0.3">
      <c r="B1747" s="58">
        <f>'DATA HISTORICAL'!$B2392</f>
        <v>43340</v>
      </c>
      <c r="C1747" s="60">
        <f>'DATA HISTORICAL'!$C2392</f>
        <v>4427.6499999999996</v>
      </c>
      <c r="D1747" s="53">
        <f t="shared" si="54"/>
        <v>1.2922910550826261E-2</v>
      </c>
      <c r="E1747" s="53">
        <v>6.2750101129953103E-3</v>
      </c>
      <c r="G1747" s="90">
        <v>1739</v>
      </c>
      <c r="H1747" s="90">
        <f t="shared" ca="1" si="55"/>
        <v>2.825758717057043E-2</v>
      </c>
    </row>
    <row r="1748" spans="2:8" x14ac:dyDescent="0.3">
      <c r="B1748" s="58">
        <f>'DATA HISTORICAL'!$B2393</f>
        <v>43339</v>
      </c>
      <c r="C1748" s="60">
        <f>'DATA HISTORICAL'!$C2393</f>
        <v>4370.8</v>
      </c>
      <c r="D1748" s="53">
        <f t="shared" si="54"/>
        <v>1.2617011318565133E-2</v>
      </c>
      <c r="E1748" s="53">
        <v>6.2594539808966346E-3</v>
      </c>
      <c r="G1748" s="90">
        <v>1740</v>
      </c>
      <c r="H1748" s="90">
        <f t="shared" ca="1" si="55"/>
        <v>3.0627630385254779E-2</v>
      </c>
    </row>
    <row r="1749" spans="2:8" x14ac:dyDescent="0.3">
      <c r="B1749" s="58">
        <f>'DATA HISTORICAL'!$B2394</f>
        <v>43336</v>
      </c>
      <c r="C1749" s="60">
        <f>'DATA HISTORICAL'!$C2394</f>
        <v>4316</v>
      </c>
      <c r="D1749" s="53">
        <f t="shared" si="54"/>
        <v>-7.2144138841529594E-3</v>
      </c>
      <c r="E1749" s="53">
        <v>6.2536325083247368E-3</v>
      </c>
      <c r="G1749" s="90">
        <v>1741</v>
      </c>
      <c r="H1749" s="90">
        <f t="shared" ca="1" si="55"/>
        <v>-1.7765193428124385E-2</v>
      </c>
    </row>
    <row r="1750" spans="2:8" x14ac:dyDescent="0.3">
      <c r="B1750" s="58">
        <f>'DATA HISTORICAL'!$B2395</f>
        <v>43335</v>
      </c>
      <c r="C1750" s="60">
        <f>'DATA HISTORICAL'!$C2395</f>
        <v>4347.25</v>
      </c>
      <c r="D1750" s="53">
        <f t="shared" si="54"/>
        <v>-6.7835977513538189E-4</v>
      </c>
      <c r="E1750" s="53">
        <v>6.2530266275498351E-3</v>
      </c>
      <c r="G1750" s="90">
        <v>1742</v>
      </c>
      <c r="H1750" s="90">
        <f t="shared" ca="1" si="55"/>
        <v>1.1018218491664844E-2</v>
      </c>
    </row>
    <row r="1751" spans="2:8" x14ac:dyDescent="0.3">
      <c r="B1751" s="58">
        <f>'DATA HISTORICAL'!$B2396</f>
        <v>43333</v>
      </c>
      <c r="C1751" s="60">
        <f>'DATA HISTORICAL'!$C2396</f>
        <v>4350.2</v>
      </c>
      <c r="D1751" s="53">
        <f t="shared" si="54"/>
        <v>1.1444020906953239E-2</v>
      </c>
      <c r="E1751" s="53">
        <v>6.2207394441693518E-3</v>
      </c>
      <c r="G1751" s="90">
        <v>1743</v>
      </c>
      <c r="H1751" s="90">
        <f t="shared" ca="1" si="55"/>
        <v>1.6229962783514299E-2</v>
      </c>
    </row>
    <row r="1752" spans="2:8" x14ac:dyDescent="0.3">
      <c r="B1752" s="58">
        <f>'DATA HISTORICAL'!$B2397</f>
        <v>43332</v>
      </c>
      <c r="C1752" s="60">
        <f>'DATA HISTORICAL'!$C2397</f>
        <v>4300.7</v>
      </c>
      <c r="D1752" s="53">
        <f t="shared" si="54"/>
        <v>3.4939008802703213E-3</v>
      </c>
      <c r="E1752" s="53">
        <v>6.2196572939555552E-3</v>
      </c>
      <c r="G1752" s="90">
        <v>1744</v>
      </c>
      <c r="H1752" s="90">
        <f t="shared" ca="1" si="55"/>
        <v>3.6470002687587844E-3</v>
      </c>
    </row>
    <row r="1753" spans="2:8" x14ac:dyDescent="0.3">
      <c r="B1753" s="58">
        <f>'DATA HISTORICAL'!$B2398</f>
        <v>43329</v>
      </c>
      <c r="C1753" s="60">
        <f>'DATA HISTORICAL'!$C2398</f>
        <v>4285.7</v>
      </c>
      <c r="D1753" s="53">
        <f t="shared" si="54"/>
        <v>1.6990243037682148E-2</v>
      </c>
      <c r="E1753" s="53">
        <v>6.2176366108705819E-3</v>
      </c>
      <c r="G1753" s="90">
        <v>1745</v>
      </c>
      <c r="H1753" s="90">
        <f t="shared" ca="1" si="55"/>
        <v>1.6628798967993765E-2</v>
      </c>
    </row>
    <row r="1754" spans="2:8" x14ac:dyDescent="0.3">
      <c r="B1754" s="58">
        <f>'DATA HISTORICAL'!$B2399</f>
        <v>43328</v>
      </c>
      <c r="C1754" s="60">
        <f>'DATA HISTORICAL'!$C2399</f>
        <v>4213.5</v>
      </c>
      <c r="D1754" s="53">
        <f t="shared" si="54"/>
        <v>-2.0112042236875852E-2</v>
      </c>
      <c r="E1754" s="53">
        <v>6.200245524873374E-3</v>
      </c>
      <c r="G1754" s="90">
        <v>1746</v>
      </c>
      <c r="H1754" s="90">
        <f t="shared" ca="1" si="55"/>
        <v>2.7113552378925682E-2</v>
      </c>
    </row>
    <row r="1755" spans="2:8" x14ac:dyDescent="0.3">
      <c r="B1755" s="58">
        <f>'DATA HISTORICAL'!$B2400</f>
        <v>43326</v>
      </c>
      <c r="C1755" s="60">
        <f>'DATA HISTORICAL'!$C2400</f>
        <v>4299.1000000000004</v>
      </c>
      <c r="D1755" s="53">
        <f t="shared" si="54"/>
        <v>2.4703079952265127E-2</v>
      </c>
      <c r="E1755" s="53">
        <v>6.1828849330064018E-3</v>
      </c>
      <c r="G1755" s="90">
        <v>1747</v>
      </c>
      <c r="H1755" s="90">
        <f t="shared" ca="1" si="55"/>
        <v>-1.0281369470124587E-2</v>
      </c>
    </row>
    <row r="1756" spans="2:8" x14ac:dyDescent="0.3">
      <c r="B1756" s="58">
        <f>'DATA HISTORICAL'!$B2401</f>
        <v>43325</v>
      </c>
      <c r="C1756" s="60">
        <f>'DATA HISTORICAL'!$C2401</f>
        <v>4194.2</v>
      </c>
      <c r="D1756" s="53">
        <f t="shared" si="54"/>
        <v>-1.2321846812775128E-2</v>
      </c>
      <c r="E1756" s="53">
        <v>6.1780074793563282E-3</v>
      </c>
      <c r="G1756" s="90">
        <v>1748</v>
      </c>
      <c r="H1756" s="90">
        <f t="shared" ca="1" si="55"/>
        <v>3.1527110817677256E-2</v>
      </c>
    </row>
    <row r="1757" spans="2:8" x14ac:dyDescent="0.3">
      <c r="B1757" s="58">
        <f>'DATA HISTORICAL'!$B2402</f>
        <v>43322</v>
      </c>
      <c r="C1757" s="60">
        <f>'DATA HISTORICAL'!$C2402</f>
        <v>4246.2</v>
      </c>
      <c r="D1757" s="53">
        <f t="shared" si="54"/>
        <v>-1.5099036412882723E-2</v>
      </c>
      <c r="E1757" s="53">
        <v>6.1754113051656319E-3</v>
      </c>
      <c r="G1757" s="90">
        <v>1749</v>
      </c>
      <c r="H1757" s="90">
        <f t="shared" ca="1" si="55"/>
        <v>-2.5150656639548259E-2</v>
      </c>
    </row>
    <row r="1758" spans="2:8" x14ac:dyDescent="0.3">
      <c r="B1758" s="58">
        <f>'DATA HISTORICAL'!$B2403</f>
        <v>43321</v>
      </c>
      <c r="C1758" s="60">
        <f>'DATA HISTORICAL'!$C2403</f>
        <v>4310.8</v>
      </c>
      <c r="D1758" s="53">
        <f t="shared" si="54"/>
        <v>1.5593718589678385E-2</v>
      </c>
      <c r="E1758" s="53">
        <v>6.1751812774128957E-3</v>
      </c>
      <c r="G1758" s="90">
        <v>1750</v>
      </c>
      <c r="H1758" s="90">
        <f t="shared" ca="1" si="55"/>
        <v>1.3093340214727529E-4</v>
      </c>
    </row>
    <row r="1759" spans="2:8" x14ac:dyDescent="0.3">
      <c r="B1759" s="58">
        <f>'DATA HISTORICAL'!$B2404</f>
        <v>43320</v>
      </c>
      <c r="C1759" s="60">
        <f>'DATA HISTORICAL'!$C2404</f>
        <v>4244.1000000000004</v>
      </c>
      <c r="D1759" s="53">
        <f t="shared" si="54"/>
        <v>8.851290807028827E-3</v>
      </c>
      <c r="E1759" s="53">
        <v>6.171055708510861E-3</v>
      </c>
      <c r="G1759" s="90">
        <v>1751</v>
      </c>
      <c r="H1759" s="90">
        <f t="shared" ca="1" si="55"/>
        <v>1.1338453772436238E-2</v>
      </c>
    </row>
    <row r="1760" spans="2:8" x14ac:dyDescent="0.3">
      <c r="B1760" s="58">
        <f>'DATA HISTORICAL'!$B2405</f>
        <v>43319</v>
      </c>
      <c r="C1760" s="60">
        <f>'DATA HISTORICAL'!$C2405</f>
        <v>4206.7</v>
      </c>
      <c r="D1760" s="53">
        <f t="shared" si="54"/>
        <v>6.8937001494134799E-3</v>
      </c>
      <c r="E1760" s="53">
        <v>6.145823243897796E-3</v>
      </c>
      <c r="G1760" s="90">
        <v>1752</v>
      </c>
      <c r="H1760" s="90">
        <f t="shared" ca="1" si="55"/>
        <v>7.5937686438077179E-3</v>
      </c>
    </row>
    <row r="1761" spans="2:8" x14ac:dyDescent="0.3">
      <c r="B1761" s="58">
        <f>'DATA HISTORICAL'!$B2406</f>
        <v>43318</v>
      </c>
      <c r="C1761" s="60">
        <f>'DATA HISTORICAL'!$C2406</f>
        <v>4177.8</v>
      </c>
      <c r="D1761" s="53">
        <f t="shared" si="54"/>
        <v>2.4084703484157739E-3</v>
      </c>
      <c r="E1761" s="53">
        <v>6.1455042913123653E-3</v>
      </c>
      <c r="G1761" s="90">
        <v>1753</v>
      </c>
      <c r="H1761" s="90">
        <f t="shared" ca="1" si="55"/>
        <v>-7.2050367408520765E-3</v>
      </c>
    </row>
    <row r="1762" spans="2:8" x14ac:dyDescent="0.3">
      <c r="B1762" s="58">
        <f>'DATA HISTORICAL'!$B2407</f>
        <v>43315</v>
      </c>
      <c r="C1762" s="60">
        <f>'DATA HISTORICAL'!$C2407</f>
        <v>4167.75</v>
      </c>
      <c r="D1762" s="53">
        <f t="shared" si="54"/>
        <v>-3.7718949075130153E-3</v>
      </c>
      <c r="E1762" s="53">
        <v>6.145448128717119E-3</v>
      </c>
      <c r="G1762" s="90">
        <v>1754</v>
      </c>
      <c r="H1762" s="90">
        <f t="shared" ca="1" si="55"/>
        <v>2.4193182707322116E-3</v>
      </c>
    </row>
    <row r="1763" spans="2:8" x14ac:dyDescent="0.3">
      <c r="B1763" s="58">
        <f>'DATA HISTORICAL'!$B2408</f>
        <v>43314</v>
      </c>
      <c r="C1763" s="60">
        <f>'DATA HISTORICAL'!$C2408</f>
        <v>4183.5</v>
      </c>
      <c r="D1763" s="53">
        <f t="shared" si="54"/>
        <v>-2.2801760003100507E-3</v>
      </c>
      <c r="E1763" s="53">
        <v>6.1382032684350321E-3</v>
      </c>
      <c r="G1763" s="90">
        <v>1755</v>
      </c>
      <c r="H1763" s="90">
        <f t="shared" ca="1" si="55"/>
        <v>1.9464280946562234E-3</v>
      </c>
    </row>
    <row r="1764" spans="2:8" x14ac:dyDescent="0.3">
      <c r="B1764" s="58">
        <f>'DATA HISTORICAL'!$B2409</f>
        <v>43313</v>
      </c>
      <c r="C1764" s="60">
        <f>'DATA HISTORICAL'!$C2409</f>
        <v>4193.05</v>
      </c>
      <c r="D1764" s="53">
        <f t="shared" si="54"/>
        <v>-1.7885141668192475E-4</v>
      </c>
      <c r="E1764" s="53">
        <v>6.135603632486844E-3</v>
      </c>
      <c r="G1764" s="90">
        <v>1756</v>
      </c>
      <c r="H1764" s="90">
        <f t="shared" ca="1" si="55"/>
        <v>2.4539570200173333E-2</v>
      </c>
    </row>
    <row r="1765" spans="2:8" x14ac:dyDescent="0.3">
      <c r="B1765" s="58">
        <f>'DATA HISTORICAL'!$B2410</f>
        <v>43312</v>
      </c>
      <c r="C1765" s="60">
        <f>'DATA HISTORICAL'!$C2410</f>
        <v>4193.8</v>
      </c>
      <c r="D1765" s="53">
        <f t="shared" si="54"/>
        <v>-1.1745807452756003E-2</v>
      </c>
      <c r="E1765" s="53">
        <v>6.1241371343127987E-3</v>
      </c>
      <c r="G1765" s="90">
        <v>1757</v>
      </c>
      <c r="H1765" s="90">
        <f t="shared" ca="1" si="55"/>
        <v>2.1148000928792904E-2</v>
      </c>
    </row>
    <row r="1766" spans="2:8" x14ac:dyDescent="0.3">
      <c r="B1766" s="58">
        <f>'DATA HISTORICAL'!$B2411</f>
        <v>43311</v>
      </c>
      <c r="C1766" s="60">
        <f>'DATA HISTORICAL'!$C2411</f>
        <v>4243.3500000000004</v>
      </c>
      <c r="D1766" s="53">
        <f t="shared" si="54"/>
        <v>2.8371883921304852E-2</v>
      </c>
      <c r="E1766" s="53">
        <v>6.1219946174851875E-3</v>
      </c>
      <c r="G1766" s="90">
        <v>1758</v>
      </c>
      <c r="H1766" s="90">
        <f t="shared" ca="1" si="55"/>
        <v>-2.5605583557841444E-2</v>
      </c>
    </row>
    <row r="1767" spans="2:8" x14ac:dyDescent="0.3">
      <c r="B1767" s="58">
        <f>'DATA HISTORICAL'!$B2412</f>
        <v>43308</v>
      </c>
      <c r="C1767" s="60">
        <f>'DATA HISTORICAL'!$C2412</f>
        <v>4124.6499999999996</v>
      </c>
      <c r="D1767" s="53">
        <f t="shared" si="54"/>
        <v>-4.3907200306273235E-3</v>
      </c>
      <c r="E1767" s="53">
        <v>6.1055344587925293E-3</v>
      </c>
      <c r="G1767" s="90">
        <v>1759</v>
      </c>
      <c r="H1767" s="90">
        <f t="shared" ca="1" si="55"/>
        <v>1.4942616646313505E-2</v>
      </c>
    </row>
    <row r="1768" spans="2:8" x14ac:dyDescent="0.3">
      <c r="B1768" s="58">
        <f>'DATA HISTORICAL'!$B2413</f>
        <v>43307</v>
      </c>
      <c r="C1768" s="60">
        <f>'DATA HISTORICAL'!$C2413</f>
        <v>4142.8</v>
      </c>
      <c r="D1768" s="53">
        <f t="shared" si="54"/>
        <v>2.3927420728010663E-2</v>
      </c>
      <c r="E1768" s="53">
        <v>6.0977985853484327E-3</v>
      </c>
      <c r="G1768" s="90">
        <v>1760</v>
      </c>
      <c r="H1768" s="90">
        <f t="shared" ca="1" si="55"/>
        <v>-3.6877300688116068E-3</v>
      </c>
    </row>
    <row r="1769" spans="2:8" x14ac:dyDescent="0.3">
      <c r="B1769" s="58">
        <f>'DATA HISTORICAL'!$B2414</f>
        <v>43306</v>
      </c>
      <c r="C1769" s="60">
        <f>'DATA HISTORICAL'!$C2414</f>
        <v>4044.85</v>
      </c>
      <c r="D1769" s="53">
        <f t="shared" si="54"/>
        <v>-2.2478075095298596E-2</v>
      </c>
      <c r="E1769" s="53">
        <v>6.096724367766395E-3</v>
      </c>
      <c r="G1769" s="90">
        <v>1761</v>
      </c>
      <c r="H1769" s="90">
        <f t="shared" ca="1" si="55"/>
        <v>2.7977258812050858E-2</v>
      </c>
    </row>
    <row r="1770" spans="2:8" x14ac:dyDescent="0.3">
      <c r="B1770" s="58">
        <f>'DATA HISTORICAL'!$B2415</f>
        <v>43305</v>
      </c>
      <c r="C1770" s="60">
        <f>'DATA HISTORICAL'!$C2415</f>
        <v>4136.8</v>
      </c>
      <c r="D1770" s="53">
        <f t="shared" si="54"/>
        <v>3.1218586386185652E-2</v>
      </c>
      <c r="E1770" s="53">
        <v>6.0923829996120237E-3</v>
      </c>
      <c r="G1770" s="90">
        <v>1762</v>
      </c>
      <c r="H1770" s="90">
        <f t="shared" ca="1" si="55"/>
        <v>4.9253854253688077E-2</v>
      </c>
    </row>
    <row r="1771" spans="2:8" x14ac:dyDescent="0.3">
      <c r="B1771" s="58">
        <f>'DATA HISTORICAL'!$B2416</f>
        <v>43304</v>
      </c>
      <c r="C1771" s="60">
        <f>'DATA HISTORICAL'!$C2416</f>
        <v>4009.65</v>
      </c>
      <c r="D1771" s="53">
        <f t="shared" si="54"/>
        <v>3.5010268639880444E-2</v>
      </c>
      <c r="E1771" s="53">
        <v>6.076337256872285E-3</v>
      </c>
      <c r="G1771" s="90">
        <v>1763</v>
      </c>
      <c r="H1771" s="90">
        <f t="shared" ca="1" si="55"/>
        <v>-5.9784364694990492E-4</v>
      </c>
    </row>
    <row r="1772" spans="2:8" x14ac:dyDescent="0.3">
      <c r="B1772" s="58">
        <f>'DATA HISTORICAL'!$B2417</f>
        <v>43301</v>
      </c>
      <c r="C1772" s="60">
        <f>'DATA HISTORICAL'!$C2417</f>
        <v>3871.7</v>
      </c>
      <c r="D1772" s="53">
        <f t="shared" si="54"/>
        <v>3.7391927328102336E-3</v>
      </c>
      <c r="E1772" s="53">
        <v>6.0315953657989734E-3</v>
      </c>
      <c r="G1772" s="90">
        <v>1764</v>
      </c>
      <c r="H1772" s="90">
        <f t="shared" ca="1" si="55"/>
        <v>-1.7631952282493899E-2</v>
      </c>
    </row>
    <row r="1773" spans="2:8" x14ac:dyDescent="0.3">
      <c r="B1773" s="58">
        <f>'DATA HISTORICAL'!$B2418</f>
        <v>43300</v>
      </c>
      <c r="C1773" s="60">
        <f>'DATA HISTORICAL'!$C2418</f>
        <v>3857.25</v>
      </c>
      <c r="D1773" s="53">
        <f t="shared" si="54"/>
        <v>2.0501914637227037E-3</v>
      </c>
      <c r="E1773" s="53">
        <v>6.0173178929886087E-3</v>
      </c>
      <c r="G1773" s="90">
        <v>1765</v>
      </c>
      <c r="H1773" s="90">
        <f t="shared" ca="1" si="55"/>
        <v>3.4308658767652493E-3</v>
      </c>
    </row>
    <row r="1774" spans="2:8" x14ac:dyDescent="0.3">
      <c r="B1774" s="58">
        <f>'DATA HISTORICAL'!$B2419</f>
        <v>43299</v>
      </c>
      <c r="C1774" s="60">
        <f>'DATA HISTORICAL'!$C2419</f>
        <v>3849.35</v>
      </c>
      <c r="D1774" s="53">
        <f t="shared" si="54"/>
        <v>-1.1840723009078529E-2</v>
      </c>
      <c r="E1774" s="53">
        <v>6.0126876680677323E-3</v>
      </c>
      <c r="G1774" s="90">
        <v>1766</v>
      </c>
      <c r="H1774" s="90">
        <f t="shared" ca="1" si="55"/>
        <v>-2.1246741781627419E-2</v>
      </c>
    </row>
    <row r="1775" spans="2:8" x14ac:dyDescent="0.3">
      <c r="B1775" s="58">
        <f>'DATA HISTORICAL'!$B2420</f>
        <v>43298</v>
      </c>
      <c r="C1775" s="60">
        <f>'DATA HISTORICAL'!$C2420</f>
        <v>3895.2</v>
      </c>
      <c r="D1775" s="53">
        <f t="shared" si="54"/>
        <v>8.0421095360825815E-3</v>
      </c>
      <c r="E1775" s="53">
        <v>5.9958977714675999E-3</v>
      </c>
      <c r="G1775" s="90">
        <v>1767</v>
      </c>
      <c r="H1775" s="90">
        <f t="shared" ca="1" si="55"/>
        <v>9.0761361028353551E-3</v>
      </c>
    </row>
    <row r="1776" spans="2:8" x14ac:dyDescent="0.3">
      <c r="B1776" s="58">
        <f>'DATA HISTORICAL'!$B2421</f>
        <v>43297</v>
      </c>
      <c r="C1776" s="60">
        <f>'DATA HISTORICAL'!$C2421</f>
        <v>3864</v>
      </c>
      <c r="D1776" s="53">
        <f t="shared" si="54"/>
        <v>-2.5487630520148439E-2</v>
      </c>
      <c r="E1776" s="53">
        <v>5.9868939421074911E-3</v>
      </c>
      <c r="G1776" s="90">
        <v>1768</v>
      </c>
      <c r="H1776" s="90">
        <f t="shared" ca="1" si="55"/>
        <v>1.6388902015912962E-2</v>
      </c>
    </row>
    <row r="1777" spans="2:8" x14ac:dyDescent="0.3">
      <c r="B1777" s="58">
        <f>'DATA HISTORICAL'!$B2422</f>
        <v>43294</v>
      </c>
      <c r="C1777" s="60">
        <f>'DATA HISTORICAL'!$C2422</f>
        <v>3963.75</v>
      </c>
      <c r="D1777" s="53">
        <f t="shared" si="54"/>
        <v>4.2474181189470495E-3</v>
      </c>
      <c r="E1777" s="53">
        <v>5.9703293736072232E-3</v>
      </c>
      <c r="G1777" s="90">
        <v>1769</v>
      </c>
      <c r="H1777" s="90">
        <f t="shared" ca="1" si="55"/>
        <v>3.3516411860741807E-2</v>
      </c>
    </row>
    <row r="1778" spans="2:8" x14ac:dyDescent="0.3">
      <c r="B1778" s="58">
        <f>'DATA HISTORICAL'!$B2423</f>
        <v>43293</v>
      </c>
      <c r="C1778" s="60">
        <f>'DATA HISTORICAL'!$C2423</f>
        <v>3946.95</v>
      </c>
      <c r="D1778" s="53">
        <f t="shared" si="54"/>
        <v>-1.2280425661071305E-3</v>
      </c>
      <c r="E1778" s="53">
        <v>5.9672205241270921E-3</v>
      </c>
      <c r="G1778" s="90">
        <v>1770</v>
      </c>
      <c r="H1778" s="90">
        <f t="shared" ca="1" si="55"/>
        <v>9.4212573475468339E-3</v>
      </c>
    </row>
    <row r="1779" spans="2:8" x14ac:dyDescent="0.3">
      <c r="B1779" s="58">
        <f>'DATA HISTORICAL'!$B2424</f>
        <v>43292</v>
      </c>
      <c r="C1779" s="60">
        <f>'DATA HISTORICAL'!$C2424</f>
        <v>3951.8</v>
      </c>
      <c r="D1779" s="53">
        <f t="shared" si="54"/>
        <v>-2.0223476228810847E-3</v>
      </c>
      <c r="E1779" s="53">
        <v>5.9651871649671522E-3</v>
      </c>
      <c r="G1779" s="90">
        <v>1771</v>
      </c>
      <c r="H1779" s="90">
        <f t="shared" ca="1" si="55"/>
        <v>3.3237825174464053E-2</v>
      </c>
    </row>
    <row r="1780" spans="2:8" x14ac:dyDescent="0.3">
      <c r="B1780" s="58">
        <f>'DATA HISTORICAL'!$B2425</f>
        <v>43291</v>
      </c>
      <c r="C1780" s="60">
        <f>'DATA HISTORICAL'!$C2425</f>
        <v>3959.8</v>
      </c>
      <c r="D1780" s="53">
        <f t="shared" si="54"/>
        <v>1.5409291990663343E-2</v>
      </c>
      <c r="E1780" s="53">
        <v>5.9649358792012502E-3</v>
      </c>
      <c r="G1780" s="90">
        <v>1772</v>
      </c>
      <c r="H1780" s="90">
        <f t="shared" ca="1" si="55"/>
        <v>-8.3237274614303657E-3</v>
      </c>
    </row>
    <row r="1781" spans="2:8" x14ac:dyDescent="0.3">
      <c r="B1781" s="58">
        <f>'DATA HISTORICAL'!$B2426</f>
        <v>43290</v>
      </c>
      <c r="C1781" s="60">
        <f>'DATA HISTORICAL'!$C2426</f>
        <v>3899.25</v>
      </c>
      <c r="D1781" s="53">
        <f t="shared" si="54"/>
        <v>-1.4032011837643918E-2</v>
      </c>
      <c r="E1781" s="53">
        <v>5.9619885566187577E-3</v>
      </c>
      <c r="G1781" s="90">
        <v>1773</v>
      </c>
      <c r="H1781" s="90">
        <f t="shared" ca="1" si="55"/>
        <v>3.2006724669035598E-2</v>
      </c>
    </row>
    <row r="1782" spans="2:8" x14ac:dyDescent="0.3">
      <c r="B1782" s="58">
        <f>'DATA HISTORICAL'!$B2427</f>
        <v>43287</v>
      </c>
      <c r="C1782" s="60">
        <f>'DATA HISTORICAL'!$C2427</f>
        <v>3954.35</v>
      </c>
      <c r="D1782" s="53">
        <f t="shared" si="54"/>
        <v>4.5877453543443593E-3</v>
      </c>
      <c r="E1782" s="53">
        <v>5.9566195127688766E-3</v>
      </c>
      <c r="G1782" s="90">
        <v>1774</v>
      </c>
      <c r="H1782" s="90">
        <f t="shared" ca="1" si="55"/>
        <v>1.8259800527574144E-2</v>
      </c>
    </row>
    <row r="1783" spans="2:8" x14ac:dyDescent="0.3">
      <c r="B1783" s="58">
        <f>'DATA HISTORICAL'!$B2428</f>
        <v>43286</v>
      </c>
      <c r="C1783" s="60">
        <f>'DATA HISTORICAL'!$C2428</f>
        <v>3936.25</v>
      </c>
      <c r="D1783" s="53">
        <f t="shared" si="54"/>
        <v>3.7690985086101136E-2</v>
      </c>
      <c r="E1783" s="53">
        <v>5.9387685439698393E-3</v>
      </c>
      <c r="G1783" s="90">
        <v>1775</v>
      </c>
      <c r="H1783" s="90">
        <f t="shared" ca="1" si="55"/>
        <v>1.2546307883849937E-2</v>
      </c>
    </row>
    <row r="1784" spans="2:8" x14ac:dyDescent="0.3">
      <c r="B1784" s="58">
        <f>'DATA HISTORICAL'!$B2429</f>
        <v>43285</v>
      </c>
      <c r="C1784" s="60">
        <f>'DATA HISTORICAL'!$C2429</f>
        <v>3790.65</v>
      </c>
      <c r="D1784" s="53">
        <f t="shared" si="54"/>
        <v>1.0821669164698122E-2</v>
      </c>
      <c r="E1784" s="53">
        <v>5.9344752761353627E-3</v>
      </c>
      <c r="G1784" s="90">
        <v>1776</v>
      </c>
      <c r="H1784" s="90">
        <f t="shared" ca="1" si="55"/>
        <v>3.1748770936265575E-2</v>
      </c>
    </row>
    <row r="1785" spans="2:8" x14ac:dyDescent="0.3">
      <c r="B1785" s="58">
        <f>'DATA HISTORICAL'!$B2430</f>
        <v>43284</v>
      </c>
      <c r="C1785" s="60">
        <f>'DATA HISTORICAL'!$C2430</f>
        <v>3749.85</v>
      </c>
      <c r="D1785" s="53">
        <f t="shared" si="54"/>
        <v>-7.2936295113295068E-3</v>
      </c>
      <c r="E1785" s="53">
        <v>5.9323266271465456E-3</v>
      </c>
      <c r="G1785" s="90">
        <v>1777</v>
      </c>
      <c r="H1785" s="90">
        <f t="shared" ca="1" si="55"/>
        <v>3.2208717449867724E-2</v>
      </c>
    </row>
    <row r="1786" spans="2:8" x14ac:dyDescent="0.3">
      <c r="B1786" s="58">
        <f>'DATA HISTORICAL'!$B2431</f>
        <v>43283</v>
      </c>
      <c r="C1786" s="60">
        <f>'DATA HISTORICAL'!$C2431</f>
        <v>3777.3</v>
      </c>
      <c r="D1786" s="53">
        <f t="shared" si="54"/>
        <v>-1.0874394603599433E-2</v>
      </c>
      <c r="E1786" s="53">
        <v>5.9267929919463386E-3</v>
      </c>
      <c r="G1786" s="90">
        <v>1778</v>
      </c>
      <c r="H1786" s="90">
        <f t="shared" ca="1" si="55"/>
        <v>-1.2861731587105771E-2</v>
      </c>
    </row>
    <row r="1787" spans="2:8" x14ac:dyDescent="0.3">
      <c r="B1787" s="58">
        <f>'DATA HISTORICAL'!$B2432</f>
        <v>43280</v>
      </c>
      <c r="C1787" s="60">
        <f>'DATA HISTORICAL'!$C2432</f>
        <v>3818.6</v>
      </c>
      <c r="D1787" s="53">
        <f t="shared" si="54"/>
        <v>2.5783921725823142E-2</v>
      </c>
      <c r="E1787" s="53">
        <v>5.9252894534613902E-3</v>
      </c>
      <c r="G1787" s="90">
        <v>1779</v>
      </c>
      <c r="H1787" s="90">
        <f t="shared" ca="1" si="55"/>
        <v>3.0958397731339548E-3</v>
      </c>
    </row>
    <row r="1788" spans="2:8" x14ac:dyDescent="0.3">
      <c r="B1788" s="58">
        <f>'DATA HISTORICAL'!$B2433</f>
        <v>43279</v>
      </c>
      <c r="C1788" s="60">
        <f>'DATA HISTORICAL'!$C2433</f>
        <v>3721.4</v>
      </c>
      <c r="D1788" s="53">
        <f t="shared" si="54"/>
        <v>-1.3810254782719347E-2</v>
      </c>
      <c r="E1788" s="53">
        <v>5.9217696837688414E-3</v>
      </c>
      <c r="G1788" s="90">
        <v>1780</v>
      </c>
      <c r="H1788" s="90">
        <f t="shared" ca="1" si="55"/>
        <v>7.8382460265046944E-3</v>
      </c>
    </row>
    <row r="1789" spans="2:8" x14ac:dyDescent="0.3">
      <c r="B1789" s="58">
        <f>'DATA HISTORICAL'!$B2434</f>
        <v>43278</v>
      </c>
      <c r="C1789" s="60">
        <f>'DATA HISTORICAL'!$C2434</f>
        <v>3773.15</v>
      </c>
      <c r="D1789" s="53">
        <f t="shared" si="54"/>
        <v>-1.7588211573100473E-2</v>
      </c>
      <c r="E1789" s="53">
        <v>5.9083929764825321E-3</v>
      </c>
      <c r="G1789" s="90">
        <v>1781</v>
      </c>
      <c r="H1789" s="90">
        <f t="shared" ca="1" si="55"/>
        <v>4.2741578362416689E-2</v>
      </c>
    </row>
    <row r="1790" spans="2:8" x14ac:dyDescent="0.3">
      <c r="B1790" s="58">
        <f>'DATA HISTORICAL'!$B2435</f>
        <v>43277</v>
      </c>
      <c r="C1790" s="60">
        <f>'DATA HISTORICAL'!$C2435</f>
        <v>3840.1</v>
      </c>
      <c r="D1790" s="53">
        <f t="shared" si="54"/>
        <v>2.3209376783245649E-2</v>
      </c>
      <c r="E1790" s="53">
        <v>5.9000051230561667E-3</v>
      </c>
      <c r="G1790" s="90">
        <v>1782</v>
      </c>
      <c r="H1790" s="90">
        <f t="shared" ca="1" si="55"/>
        <v>2.7292403533604247E-2</v>
      </c>
    </row>
    <row r="1791" spans="2:8" x14ac:dyDescent="0.3">
      <c r="B1791" s="58">
        <f>'DATA HISTORICAL'!$B2436</f>
        <v>43276</v>
      </c>
      <c r="C1791" s="60">
        <f>'DATA HISTORICAL'!$C2436</f>
        <v>3752</v>
      </c>
      <c r="D1791" s="53">
        <f t="shared" si="54"/>
        <v>3.001692955389762E-2</v>
      </c>
      <c r="E1791" s="53">
        <v>5.8952406213401429E-3</v>
      </c>
      <c r="G1791" s="90">
        <v>1783</v>
      </c>
      <c r="H1791" s="90">
        <f t="shared" ca="1" si="55"/>
        <v>9.7215391331183371E-3</v>
      </c>
    </row>
    <row r="1792" spans="2:8" x14ac:dyDescent="0.3">
      <c r="B1792" s="58">
        <f>'DATA HISTORICAL'!$B2437</f>
        <v>43273</v>
      </c>
      <c r="C1792" s="60">
        <f>'DATA HISTORICAL'!$C2437</f>
        <v>3641.05</v>
      </c>
      <c r="D1792" s="53">
        <f t="shared" si="54"/>
        <v>6.6547962237652261E-3</v>
      </c>
      <c r="E1792" s="53">
        <v>5.8946143012545936E-3</v>
      </c>
      <c r="G1792" s="90">
        <v>1784</v>
      </c>
      <c r="H1792" s="90">
        <f t="shared" ca="1" si="55"/>
        <v>-8.4169438985675638E-3</v>
      </c>
    </row>
    <row r="1793" spans="2:8" x14ac:dyDescent="0.3">
      <c r="B1793" s="58">
        <f>'DATA HISTORICAL'!$B2438</f>
        <v>43272</v>
      </c>
      <c r="C1793" s="60">
        <f>'DATA HISTORICAL'!$C2438</f>
        <v>3616.9</v>
      </c>
      <c r="D1793" s="53">
        <f t="shared" si="54"/>
        <v>-9.4796568593199845E-3</v>
      </c>
      <c r="E1793" s="53">
        <v>5.8778095372044757E-3</v>
      </c>
      <c r="G1793" s="90">
        <v>1785</v>
      </c>
      <c r="H1793" s="90">
        <f t="shared" ca="1" si="55"/>
        <v>8.0244669093116408E-3</v>
      </c>
    </row>
    <row r="1794" spans="2:8" x14ac:dyDescent="0.3">
      <c r="B1794" s="58">
        <f>'DATA HISTORICAL'!$B2439</f>
        <v>43271</v>
      </c>
      <c r="C1794" s="60">
        <f>'DATA HISTORICAL'!$C2439</f>
        <v>3651.35</v>
      </c>
      <c r="D1794" s="53">
        <f t="shared" si="54"/>
        <v>9.1789001355022809E-4</v>
      </c>
      <c r="E1794" s="53">
        <v>5.8619610744058276E-3</v>
      </c>
      <c r="G1794" s="90">
        <v>1786</v>
      </c>
      <c r="H1794" s="90">
        <f t="shared" ca="1" si="55"/>
        <v>2.8385176869813913E-2</v>
      </c>
    </row>
    <row r="1795" spans="2:8" x14ac:dyDescent="0.3">
      <c r="B1795" s="58">
        <f>'DATA HISTORICAL'!$B2440</f>
        <v>43270</v>
      </c>
      <c r="C1795" s="60">
        <f>'DATA HISTORICAL'!$C2440</f>
        <v>3648</v>
      </c>
      <c r="D1795" s="53">
        <f t="shared" si="54"/>
        <v>-5.8763407908954644E-3</v>
      </c>
      <c r="E1795" s="53">
        <v>5.8532147283955832E-3</v>
      </c>
      <c r="G1795" s="90">
        <v>1787</v>
      </c>
      <c r="H1795" s="90">
        <f t="shared" ca="1" si="55"/>
        <v>4.5921032602121825E-2</v>
      </c>
    </row>
    <row r="1796" spans="2:8" x14ac:dyDescent="0.3">
      <c r="B1796" s="58">
        <f>'DATA HISTORICAL'!$B2441</f>
        <v>43269</v>
      </c>
      <c r="C1796" s="60">
        <f>'DATA HISTORICAL'!$C2441</f>
        <v>3669.5</v>
      </c>
      <c r="D1796" s="53">
        <f t="shared" si="54"/>
        <v>-6.0180995772317865E-3</v>
      </c>
      <c r="E1796" s="53">
        <v>5.8518068146694675E-3</v>
      </c>
      <c r="G1796" s="90">
        <v>1788</v>
      </c>
      <c r="H1796" s="90">
        <f t="shared" ca="1" si="55"/>
        <v>-5.9563336528806942E-3</v>
      </c>
    </row>
    <row r="1797" spans="2:8" x14ac:dyDescent="0.3">
      <c r="B1797" s="58">
        <f>'DATA HISTORICAL'!$B2442</f>
        <v>43266</v>
      </c>
      <c r="C1797" s="60">
        <f>'DATA HISTORICAL'!$C2442</f>
        <v>3691.65</v>
      </c>
      <c r="D1797" s="53">
        <f t="shared" si="54"/>
        <v>-2.0205416129691765E-2</v>
      </c>
      <c r="E1797" s="53">
        <v>5.8482263850424413E-3</v>
      </c>
      <c r="G1797" s="90">
        <v>1789</v>
      </c>
      <c r="H1797" s="90">
        <f t="shared" ca="1" si="55"/>
        <v>3.9877671001773045E-3</v>
      </c>
    </row>
    <row r="1798" spans="2:8" x14ac:dyDescent="0.3">
      <c r="B1798" s="58">
        <f>'DATA HISTORICAL'!$B2443</f>
        <v>43265</v>
      </c>
      <c r="C1798" s="60">
        <f>'DATA HISTORICAL'!$C2443</f>
        <v>3767</v>
      </c>
      <c r="D1798" s="53">
        <f t="shared" si="54"/>
        <v>-8.880020295216156E-3</v>
      </c>
      <c r="E1798" s="53">
        <v>5.8424358740771084E-3</v>
      </c>
      <c r="G1798" s="90">
        <v>1790</v>
      </c>
      <c r="H1798" s="90">
        <f t="shared" ca="1" si="55"/>
        <v>9.9456505028173506E-3</v>
      </c>
    </row>
    <row r="1799" spans="2:8" x14ac:dyDescent="0.3">
      <c r="B1799" s="58">
        <f>'DATA HISTORICAL'!$B2444</f>
        <v>43264</v>
      </c>
      <c r="C1799" s="60">
        <f>'DATA HISTORICAL'!$C2444</f>
        <v>3800.6</v>
      </c>
      <c r="D1799" s="53">
        <f t="shared" si="54"/>
        <v>9.0924134357162623E-3</v>
      </c>
      <c r="E1799" s="53">
        <v>5.8361382676885834E-3</v>
      </c>
      <c r="G1799" s="90">
        <v>1791</v>
      </c>
      <c r="H1799" s="90">
        <f t="shared" ca="1" si="55"/>
        <v>-7.8983540742051314E-3</v>
      </c>
    </row>
    <row r="1800" spans="2:8" x14ac:dyDescent="0.3">
      <c r="B1800" s="58">
        <f>'DATA HISTORICAL'!$B2445</f>
        <v>43263</v>
      </c>
      <c r="C1800" s="60">
        <f>'DATA HISTORICAL'!$C2445</f>
        <v>3766.2</v>
      </c>
      <c r="D1800" s="53">
        <f t="shared" si="54"/>
        <v>-6.3258684011214573E-3</v>
      </c>
      <c r="E1800" s="53">
        <v>5.8139046106679484E-3</v>
      </c>
      <c r="G1800" s="90">
        <v>1792</v>
      </c>
      <c r="H1800" s="90">
        <f t="shared" ca="1" si="55"/>
        <v>1.5652881704460681E-2</v>
      </c>
    </row>
    <row r="1801" spans="2:8" x14ac:dyDescent="0.3">
      <c r="B1801" s="58">
        <f>'DATA HISTORICAL'!$B2446</f>
        <v>43262</v>
      </c>
      <c r="C1801" s="60">
        <f>'DATA HISTORICAL'!$C2446</f>
        <v>3790.1</v>
      </c>
      <c r="D1801" s="53">
        <f t="shared" ref="D1801:D1864" si="56">LN(C1801/C1802)</f>
        <v>1.9973349765320409E-2</v>
      </c>
      <c r="E1801" s="53">
        <v>5.7951317638403064E-3</v>
      </c>
      <c r="G1801" s="90">
        <v>1793</v>
      </c>
      <c r="H1801" s="90">
        <f t="shared" ref="H1801:H1864" ca="1" si="57">_xlfn.NORM.INV(RAND(),N$10,N$11)</f>
        <v>9.9830188361478833E-3</v>
      </c>
    </row>
    <row r="1802" spans="2:8" x14ac:dyDescent="0.3">
      <c r="B1802" s="58">
        <f>'DATA HISTORICAL'!$B2447</f>
        <v>43259</v>
      </c>
      <c r="C1802" s="60">
        <f>'DATA HISTORICAL'!$C2447</f>
        <v>3715.15</v>
      </c>
      <c r="D1802" s="53">
        <f t="shared" si="56"/>
        <v>-2.1510299623891784E-3</v>
      </c>
      <c r="E1802" s="53">
        <v>5.7950333488000737E-3</v>
      </c>
      <c r="G1802" s="90">
        <v>1794</v>
      </c>
      <c r="H1802" s="90">
        <f t="shared" ca="1" si="57"/>
        <v>2.3877692509594331E-2</v>
      </c>
    </row>
    <row r="1803" spans="2:8" x14ac:dyDescent="0.3">
      <c r="B1803" s="58">
        <f>'DATA HISTORICAL'!$B2448</f>
        <v>43258</v>
      </c>
      <c r="C1803" s="60">
        <f>'DATA HISTORICAL'!$C2448</f>
        <v>3723.15</v>
      </c>
      <c r="D1803" s="53">
        <f t="shared" si="56"/>
        <v>7.224237901934479E-3</v>
      </c>
      <c r="E1803" s="53">
        <v>5.7827224209587563E-3</v>
      </c>
      <c r="G1803" s="90">
        <v>1795</v>
      </c>
      <c r="H1803" s="90">
        <f t="shared" ca="1" si="57"/>
        <v>8.694441208418089E-3</v>
      </c>
    </row>
    <row r="1804" spans="2:8" x14ac:dyDescent="0.3">
      <c r="B1804" s="58">
        <f>'DATA HISTORICAL'!$B2449</f>
        <v>43257</v>
      </c>
      <c r="C1804" s="60">
        <f>'DATA HISTORICAL'!$C2449</f>
        <v>3696.35</v>
      </c>
      <c r="D1804" s="53">
        <f t="shared" si="56"/>
        <v>5.2894389042736295E-3</v>
      </c>
      <c r="E1804" s="53">
        <v>5.7745622690631021E-3</v>
      </c>
      <c r="G1804" s="90">
        <v>1796</v>
      </c>
      <c r="H1804" s="90">
        <f t="shared" ca="1" si="57"/>
        <v>9.7136773889258503E-3</v>
      </c>
    </row>
    <row r="1805" spans="2:8" x14ac:dyDescent="0.3">
      <c r="B1805" s="58">
        <f>'DATA HISTORICAL'!$B2450</f>
        <v>43256</v>
      </c>
      <c r="C1805" s="60">
        <f>'DATA HISTORICAL'!$C2450</f>
        <v>3676.85</v>
      </c>
      <c r="D1805" s="53">
        <f t="shared" si="56"/>
        <v>-9.2853942720606646E-3</v>
      </c>
      <c r="E1805" s="53">
        <v>5.769019428423899E-3</v>
      </c>
      <c r="G1805" s="90">
        <v>1797</v>
      </c>
      <c r="H1805" s="90">
        <f t="shared" ca="1" si="57"/>
        <v>5.9150693148199767E-3</v>
      </c>
    </row>
    <row r="1806" spans="2:8" x14ac:dyDescent="0.3">
      <c r="B1806" s="58">
        <f>'DATA HISTORICAL'!$B2451</f>
        <v>43255</v>
      </c>
      <c r="C1806" s="60">
        <f>'DATA HISTORICAL'!$C2451</f>
        <v>3711.15</v>
      </c>
      <c r="D1806" s="53">
        <f t="shared" si="56"/>
        <v>6.2168243150080831E-3</v>
      </c>
      <c r="E1806" s="53">
        <v>5.766668876967365E-3</v>
      </c>
      <c r="G1806" s="90">
        <v>1798</v>
      </c>
      <c r="H1806" s="90">
        <f t="shared" ca="1" si="57"/>
        <v>3.2461736657424065E-2</v>
      </c>
    </row>
    <row r="1807" spans="2:8" x14ac:dyDescent="0.3">
      <c r="B1807" s="58">
        <f>'DATA HISTORICAL'!$B2452</f>
        <v>43252</v>
      </c>
      <c r="C1807" s="60">
        <f>'DATA HISTORICAL'!$C2452</f>
        <v>3688.15</v>
      </c>
      <c r="D1807" s="53">
        <f t="shared" si="56"/>
        <v>-1.5269937024539161E-2</v>
      </c>
      <c r="E1807" s="53">
        <v>5.7519875749025614E-3</v>
      </c>
      <c r="G1807" s="90">
        <v>1799</v>
      </c>
      <c r="H1807" s="90">
        <f t="shared" ca="1" si="57"/>
        <v>-9.1179260839806889E-3</v>
      </c>
    </row>
    <row r="1808" spans="2:8" x14ac:dyDescent="0.3">
      <c r="B1808" s="58">
        <f>'DATA HISTORICAL'!$B2453</f>
        <v>43251</v>
      </c>
      <c r="C1808" s="60">
        <f>'DATA HISTORICAL'!$C2453</f>
        <v>3744.9</v>
      </c>
      <c r="D1808" s="53">
        <f t="shared" si="56"/>
        <v>1.026641060163795E-2</v>
      </c>
      <c r="E1808" s="53">
        <v>5.7397320992316272E-3</v>
      </c>
      <c r="G1808" s="90">
        <v>1800</v>
      </c>
      <c r="H1808" s="90">
        <f t="shared" ca="1" si="57"/>
        <v>-3.6956372777734248E-3</v>
      </c>
    </row>
    <row r="1809" spans="2:8" x14ac:dyDescent="0.3">
      <c r="B1809" s="58">
        <f>'DATA HISTORICAL'!$B2454</f>
        <v>43250</v>
      </c>
      <c r="C1809" s="60">
        <f>'DATA HISTORICAL'!$C2454</f>
        <v>3706.65</v>
      </c>
      <c r="D1809" s="53">
        <f t="shared" si="56"/>
        <v>-2.5327724480399129E-3</v>
      </c>
      <c r="E1809" s="53">
        <v>5.7352721859386903E-3</v>
      </c>
      <c r="G1809" s="90">
        <v>1801</v>
      </c>
      <c r="H1809" s="90">
        <f t="shared" ca="1" si="57"/>
        <v>2.2099119883272376E-2</v>
      </c>
    </row>
    <row r="1810" spans="2:8" x14ac:dyDescent="0.3">
      <c r="B1810" s="58">
        <f>'DATA HISTORICAL'!$B2455</f>
        <v>43249</v>
      </c>
      <c r="C1810" s="60">
        <f>'DATA HISTORICAL'!$C2455</f>
        <v>3716.05</v>
      </c>
      <c r="D1810" s="53">
        <f t="shared" si="56"/>
        <v>-3.8273831865328939E-3</v>
      </c>
      <c r="E1810" s="53">
        <v>5.7322230338680055E-3</v>
      </c>
      <c r="G1810" s="90">
        <v>1802</v>
      </c>
      <c r="H1810" s="90">
        <f t="shared" ca="1" si="57"/>
        <v>1.5107581180453879E-2</v>
      </c>
    </row>
    <row r="1811" spans="2:8" x14ac:dyDescent="0.3">
      <c r="B1811" s="58">
        <f>'DATA HISTORICAL'!$B2456</f>
        <v>43248</v>
      </c>
      <c r="C1811" s="60">
        <f>'DATA HISTORICAL'!$C2456</f>
        <v>3730.3</v>
      </c>
      <c r="D1811" s="53">
        <f t="shared" si="56"/>
        <v>1.299183866587458E-2</v>
      </c>
      <c r="E1811" s="53">
        <v>5.6807327880837475E-3</v>
      </c>
      <c r="G1811" s="90">
        <v>1803</v>
      </c>
      <c r="H1811" s="90">
        <f t="shared" ca="1" si="57"/>
        <v>-8.9662123534654074E-3</v>
      </c>
    </row>
    <row r="1812" spans="2:8" x14ac:dyDescent="0.3">
      <c r="B1812" s="58">
        <f>'DATA HISTORICAL'!$B2457</f>
        <v>43245</v>
      </c>
      <c r="C1812" s="60">
        <f>'DATA HISTORICAL'!$C2457</f>
        <v>3682.15</v>
      </c>
      <c r="D1812" s="53">
        <f t="shared" si="56"/>
        <v>6.4709273483299131E-3</v>
      </c>
      <c r="E1812" s="53">
        <v>5.6609460646521673E-3</v>
      </c>
      <c r="G1812" s="90">
        <v>1804</v>
      </c>
      <c r="H1812" s="90">
        <f t="shared" ca="1" si="57"/>
        <v>6.8661085845304042E-3</v>
      </c>
    </row>
    <row r="1813" spans="2:8" x14ac:dyDescent="0.3">
      <c r="B1813" s="58">
        <f>'DATA HISTORICAL'!$B2458</f>
        <v>43244</v>
      </c>
      <c r="C1813" s="60">
        <f>'DATA HISTORICAL'!$C2458</f>
        <v>3658.4</v>
      </c>
      <c r="D1813" s="53">
        <f t="shared" si="56"/>
        <v>-1.1523119133329375E-2</v>
      </c>
      <c r="E1813" s="53">
        <v>5.6579904817950855E-3</v>
      </c>
      <c r="G1813" s="90">
        <v>1805</v>
      </c>
      <c r="H1813" s="90">
        <f t="shared" ca="1" si="57"/>
        <v>-3.3270336769216291E-3</v>
      </c>
    </row>
    <row r="1814" spans="2:8" x14ac:dyDescent="0.3">
      <c r="B1814" s="58">
        <f>'DATA HISTORICAL'!$B2459</f>
        <v>43243</v>
      </c>
      <c r="C1814" s="60">
        <f>'DATA HISTORICAL'!$C2459</f>
        <v>3700.8</v>
      </c>
      <c r="D1814" s="53">
        <f t="shared" si="56"/>
        <v>-1.468573336668107E-2</v>
      </c>
      <c r="E1814" s="53">
        <v>5.6578097693480711E-3</v>
      </c>
      <c r="G1814" s="90">
        <v>1806</v>
      </c>
      <c r="H1814" s="90">
        <f t="shared" ca="1" si="57"/>
        <v>2.7855974233338247E-2</v>
      </c>
    </row>
    <row r="1815" spans="2:8" x14ac:dyDescent="0.3">
      <c r="B1815" s="58">
        <f>'DATA HISTORICAL'!$B2460</f>
        <v>43242</v>
      </c>
      <c r="C1815" s="60">
        <f>'DATA HISTORICAL'!$C2460</f>
        <v>3755.55</v>
      </c>
      <c r="D1815" s="53">
        <f t="shared" si="56"/>
        <v>-2.542264731810694E-2</v>
      </c>
      <c r="E1815" s="53">
        <v>5.652168134568143E-3</v>
      </c>
      <c r="G1815" s="90">
        <v>1807</v>
      </c>
      <c r="H1815" s="90">
        <f t="shared" ca="1" si="57"/>
        <v>1.1186871350686772E-2</v>
      </c>
    </row>
    <row r="1816" spans="2:8" x14ac:dyDescent="0.3">
      <c r="B1816" s="58">
        <f>'DATA HISTORICAL'!$B2461</f>
        <v>43241</v>
      </c>
      <c r="C1816" s="60">
        <f>'DATA HISTORICAL'!$C2461</f>
        <v>3852.25</v>
      </c>
      <c r="D1816" s="53">
        <f t="shared" si="56"/>
        <v>-1.7118184465710474E-3</v>
      </c>
      <c r="E1816" s="53">
        <v>5.6511262000630957E-3</v>
      </c>
      <c r="G1816" s="90">
        <v>1808</v>
      </c>
      <c r="H1816" s="90">
        <f t="shared" ca="1" si="57"/>
        <v>6.5953792739596347E-3</v>
      </c>
    </row>
    <row r="1817" spans="2:8" x14ac:dyDescent="0.3">
      <c r="B1817" s="58">
        <f>'DATA HISTORICAL'!$B2462</f>
        <v>43238</v>
      </c>
      <c r="C1817" s="60">
        <f>'DATA HISTORICAL'!$C2462</f>
        <v>3858.85</v>
      </c>
      <c r="D1817" s="53">
        <f t="shared" si="56"/>
        <v>-2.5319103706269528E-2</v>
      </c>
      <c r="E1817" s="53">
        <v>5.6484469755491906E-3</v>
      </c>
      <c r="G1817" s="90">
        <v>1809</v>
      </c>
      <c r="H1817" s="90">
        <f t="shared" ca="1" si="57"/>
        <v>-4.9479730920887468E-3</v>
      </c>
    </row>
    <row r="1818" spans="2:8" x14ac:dyDescent="0.3">
      <c r="B1818" s="58">
        <f>'DATA HISTORICAL'!$B2463</f>
        <v>43237</v>
      </c>
      <c r="C1818" s="60">
        <f>'DATA HISTORICAL'!$C2463</f>
        <v>3957.8</v>
      </c>
      <c r="D1818" s="53">
        <f t="shared" si="56"/>
        <v>-8.2908678297850501E-3</v>
      </c>
      <c r="E1818" s="53">
        <v>5.6404379856750744E-3</v>
      </c>
      <c r="G1818" s="90">
        <v>1810</v>
      </c>
      <c r="H1818" s="90">
        <f t="shared" ca="1" si="57"/>
        <v>1.163281368509657E-2</v>
      </c>
    </row>
    <row r="1819" spans="2:8" x14ac:dyDescent="0.3">
      <c r="B1819" s="58">
        <f>'DATA HISTORICAL'!$B2464</f>
        <v>43236</v>
      </c>
      <c r="C1819" s="60">
        <f>'DATA HISTORICAL'!$C2464</f>
        <v>3990.75</v>
      </c>
      <c r="D1819" s="53">
        <f t="shared" si="56"/>
        <v>-2.9273514538520437E-2</v>
      </c>
      <c r="E1819" s="53">
        <v>5.6389485349285385E-3</v>
      </c>
      <c r="G1819" s="90">
        <v>1811</v>
      </c>
      <c r="H1819" s="90">
        <f t="shared" ca="1" si="57"/>
        <v>-3.7576724658406726E-3</v>
      </c>
    </row>
    <row r="1820" spans="2:8" x14ac:dyDescent="0.3">
      <c r="B1820" s="58">
        <f>'DATA HISTORICAL'!$B2465</f>
        <v>43235</v>
      </c>
      <c r="C1820" s="60">
        <f>'DATA HISTORICAL'!$C2465</f>
        <v>4109.3</v>
      </c>
      <c r="D1820" s="53">
        <f t="shared" si="56"/>
        <v>5.4768846415822743E-4</v>
      </c>
      <c r="E1820" s="53">
        <v>5.633974077206348E-3</v>
      </c>
      <c r="G1820" s="90">
        <v>1812</v>
      </c>
      <c r="H1820" s="90">
        <f t="shared" ca="1" si="57"/>
        <v>4.4336996277685031E-3</v>
      </c>
    </row>
    <row r="1821" spans="2:8" x14ac:dyDescent="0.3">
      <c r="B1821" s="58">
        <f>'DATA HISTORICAL'!$B2466</f>
        <v>43234</v>
      </c>
      <c r="C1821" s="60">
        <f>'DATA HISTORICAL'!$C2466</f>
        <v>4107.05</v>
      </c>
      <c r="D1821" s="53">
        <f t="shared" si="56"/>
        <v>8.668966640765826E-3</v>
      </c>
      <c r="E1821" s="53">
        <v>5.6134188687229402E-3</v>
      </c>
      <c r="G1821" s="90">
        <v>1813</v>
      </c>
      <c r="H1821" s="90">
        <f t="shared" ca="1" si="57"/>
        <v>5.166316647180251E-3</v>
      </c>
    </row>
    <row r="1822" spans="2:8" x14ac:dyDescent="0.3">
      <c r="B1822" s="58">
        <f>'DATA HISTORICAL'!$B2467</f>
        <v>43231</v>
      </c>
      <c r="C1822" s="60">
        <f>'DATA HISTORICAL'!$C2467</f>
        <v>4071.6</v>
      </c>
      <c r="D1822" s="53">
        <f t="shared" si="56"/>
        <v>1.8104247195164708E-2</v>
      </c>
      <c r="E1822" s="53">
        <v>5.610886189014867E-3</v>
      </c>
      <c r="G1822" s="90">
        <v>1814</v>
      </c>
      <c r="H1822" s="90">
        <f t="shared" ca="1" si="57"/>
        <v>2.7696625248904913E-2</v>
      </c>
    </row>
    <row r="1823" spans="2:8" x14ac:dyDescent="0.3">
      <c r="B1823" s="58">
        <f>'DATA HISTORICAL'!$B2468</f>
        <v>43230</v>
      </c>
      <c r="C1823" s="60">
        <f>'DATA HISTORICAL'!$C2468</f>
        <v>3998.55</v>
      </c>
      <c r="D1823" s="53">
        <f t="shared" si="56"/>
        <v>8.1107314856147233E-3</v>
      </c>
      <c r="E1823" s="53">
        <v>5.6010486798971021E-3</v>
      </c>
      <c r="G1823" s="90">
        <v>1815</v>
      </c>
      <c r="H1823" s="90">
        <f t="shared" ca="1" si="57"/>
        <v>-3.4157699939127401E-2</v>
      </c>
    </row>
    <row r="1824" spans="2:8" x14ac:dyDescent="0.3">
      <c r="B1824" s="58">
        <f>'DATA HISTORICAL'!$B2469</f>
        <v>43229</v>
      </c>
      <c r="C1824" s="60">
        <f>'DATA HISTORICAL'!$C2469</f>
        <v>3966.25</v>
      </c>
      <c r="D1824" s="53">
        <f t="shared" si="56"/>
        <v>-2.4371252357395113E-2</v>
      </c>
      <c r="E1824" s="53">
        <v>5.577576135475491E-3</v>
      </c>
      <c r="G1824" s="90">
        <v>1816</v>
      </c>
      <c r="H1824" s="90">
        <f t="shared" ca="1" si="57"/>
        <v>1.3344856091552235E-3</v>
      </c>
    </row>
    <row r="1825" spans="2:8" x14ac:dyDescent="0.3">
      <c r="B1825" s="58">
        <f>'DATA HISTORICAL'!$B2470</f>
        <v>43228</v>
      </c>
      <c r="C1825" s="60">
        <f>'DATA HISTORICAL'!$C2470</f>
        <v>4064.1</v>
      </c>
      <c r="D1825" s="53">
        <f t="shared" si="56"/>
        <v>7.5826235490588974E-3</v>
      </c>
      <c r="E1825" s="53">
        <v>5.5748290915998318E-3</v>
      </c>
      <c r="G1825" s="90">
        <v>1817</v>
      </c>
      <c r="H1825" s="90">
        <f t="shared" ca="1" si="57"/>
        <v>-1.75192217502106E-2</v>
      </c>
    </row>
    <row r="1826" spans="2:8" x14ac:dyDescent="0.3">
      <c r="B1826" s="58">
        <f>'DATA HISTORICAL'!$B2471</f>
        <v>43227</v>
      </c>
      <c r="C1826" s="60">
        <f>'DATA HISTORICAL'!$C2471</f>
        <v>4033.4</v>
      </c>
      <c r="D1826" s="53">
        <f t="shared" si="56"/>
        <v>1.1859103352080423E-2</v>
      </c>
      <c r="E1826" s="53">
        <v>5.5736041879469699E-3</v>
      </c>
      <c r="G1826" s="90">
        <v>1818</v>
      </c>
      <c r="H1826" s="90">
        <f t="shared" ca="1" si="57"/>
        <v>4.4323697379407972E-3</v>
      </c>
    </row>
    <row r="1827" spans="2:8" x14ac:dyDescent="0.3">
      <c r="B1827" s="58">
        <f>'DATA HISTORICAL'!$B2472</f>
        <v>43224</v>
      </c>
      <c r="C1827" s="60">
        <f>'DATA HISTORICAL'!$C2472</f>
        <v>3985.85</v>
      </c>
      <c r="D1827" s="53">
        <f t="shared" si="56"/>
        <v>-2.3805955211148033E-3</v>
      </c>
      <c r="E1827" s="53">
        <v>5.5697042835542599E-3</v>
      </c>
      <c r="G1827" s="90">
        <v>1819</v>
      </c>
      <c r="H1827" s="90">
        <f t="shared" ca="1" si="57"/>
        <v>8.8648303972137677E-3</v>
      </c>
    </row>
    <row r="1828" spans="2:8" x14ac:dyDescent="0.3">
      <c r="B1828" s="58">
        <f>'DATA HISTORICAL'!$B2473</f>
        <v>43223</v>
      </c>
      <c r="C1828" s="60">
        <f>'DATA HISTORICAL'!$C2473</f>
        <v>3995.35</v>
      </c>
      <c r="D1828" s="53">
        <f t="shared" si="56"/>
        <v>-5.279691739091436E-3</v>
      </c>
      <c r="E1828" s="53">
        <v>5.5683604820935054E-3</v>
      </c>
      <c r="G1828" s="90">
        <v>1820</v>
      </c>
      <c r="H1828" s="90">
        <f t="shared" ca="1" si="57"/>
        <v>7.7015007952603663E-4</v>
      </c>
    </row>
    <row r="1829" spans="2:8" x14ac:dyDescent="0.3">
      <c r="B1829" s="58">
        <f>'DATA HISTORICAL'!$B2474</f>
        <v>43222</v>
      </c>
      <c r="C1829" s="60">
        <f>'DATA HISTORICAL'!$C2474</f>
        <v>4016.5</v>
      </c>
      <c r="D1829" s="53">
        <f t="shared" si="56"/>
        <v>-2.2732307370793715E-2</v>
      </c>
      <c r="E1829" s="53">
        <v>5.5656591819758716E-3</v>
      </c>
      <c r="G1829" s="90">
        <v>1821</v>
      </c>
      <c r="H1829" s="90">
        <f t="shared" ca="1" si="57"/>
        <v>-1.5984122982479892E-2</v>
      </c>
    </row>
    <row r="1830" spans="2:8" x14ac:dyDescent="0.3">
      <c r="B1830" s="58">
        <f>'DATA HISTORICAL'!$B2475</f>
        <v>43220</v>
      </c>
      <c r="C1830" s="60">
        <f>'DATA HISTORICAL'!$C2475</f>
        <v>4108.8500000000004</v>
      </c>
      <c r="D1830" s="53">
        <f t="shared" si="56"/>
        <v>1.1381560105264751E-2</v>
      </c>
      <c r="E1830" s="53">
        <v>5.5600160082298258E-3</v>
      </c>
      <c r="G1830" s="90">
        <v>1822</v>
      </c>
      <c r="H1830" s="90">
        <f t="shared" ca="1" si="57"/>
        <v>-1.6713383785981261E-2</v>
      </c>
    </row>
    <row r="1831" spans="2:8" x14ac:dyDescent="0.3">
      <c r="B1831" s="58">
        <f>'DATA HISTORICAL'!$B2476</f>
        <v>43217</v>
      </c>
      <c r="C1831" s="60">
        <f>'DATA HISTORICAL'!$C2476</f>
        <v>4062.35</v>
      </c>
      <c r="D1831" s="53">
        <f t="shared" si="56"/>
        <v>-4.2005515103772364E-3</v>
      </c>
      <c r="E1831" s="53">
        <v>5.5499545195835664E-3</v>
      </c>
      <c r="G1831" s="90">
        <v>1823</v>
      </c>
      <c r="H1831" s="90">
        <f t="shared" ca="1" si="57"/>
        <v>-9.2141291122150026E-3</v>
      </c>
    </row>
    <row r="1832" spans="2:8" x14ac:dyDescent="0.3">
      <c r="B1832" s="58">
        <f>'DATA HISTORICAL'!$B2477</f>
        <v>43216</v>
      </c>
      <c r="C1832" s="60">
        <f>'DATA HISTORICAL'!$C2477</f>
        <v>4079.45</v>
      </c>
      <c r="D1832" s="53">
        <f t="shared" si="56"/>
        <v>-1.3476784304556342E-2</v>
      </c>
      <c r="E1832" s="53">
        <v>5.5225028370351802E-3</v>
      </c>
      <c r="G1832" s="90">
        <v>1824</v>
      </c>
      <c r="H1832" s="90">
        <f t="shared" ca="1" si="57"/>
        <v>7.5962481749041189E-3</v>
      </c>
    </row>
    <row r="1833" spans="2:8" x14ac:dyDescent="0.3">
      <c r="B1833" s="58">
        <f>'DATA HISTORICAL'!$B2478</f>
        <v>43215</v>
      </c>
      <c r="C1833" s="60">
        <f>'DATA HISTORICAL'!$C2478</f>
        <v>4134.8</v>
      </c>
      <c r="D1833" s="53">
        <f t="shared" si="56"/>
        <v>3.7678517567889397E-3</v>
      </c>
      <c r="E1833" s="53">
        <v>5.5087329674075002E-3</v>
      </c>
      <c r="G1833" s="90">
        <v>1825</v>
      </c>
      <c r="H1833" s="90">
        <f t="shared" ca="1" si="57"/>
        <v>2.388542807778074E-2</v>
      </c>
    </row>
    <row r="1834" spans="2:8" x14ac:dyDescent="0.3">
      <c r="B1834" s="58">
        <f>'DATA HISTORICAL'!$B2479</f>
        <v>43214</v>
      </c>
      <c r="C1834" s="60">
        <f>'DATA HISTORICAL'!$C2479</f>
        <v>4119.25</v>
      </c>
      <c r="D1834" s="53">
        <f t="shared" si="56"/>
        <v>-5.9180005588250336E-3</v>
      </c>
      <c r="E1834" s="53">
        <v>5.5066684952986451E-3</v>
      </c>
      <c r="G1834" s="90">
        <v>1826</v>
      </c>
      <c r="H1834" s="90">
        <f t="shared" ca="1" si="57"/>
        <v>-1.9161789187302266E-2</v>
      </c>
    </row>
    <row r="1835" spans="2:8" x14ac:dyDescent="0.3">
      <c r="B1835" s="58">
        <f>'DATA HISTORICAL'!$B2480</f>
        <v>43213</v>
      </c>
      <c r="C1835" s="60">
        <f>'DATA HISTORICAL'!$C2480</f>
        <v>4143.7</v>
      </c>
      <c r="D1835" s="53">
        <f t="shared" si="56"/>
        <v>1.5271556188871851E-2</v>
      </c>
      <c r="E1835" s="53">
        <v>5.4868170571666349E-3</v>
      </c>
      <c r="G1835" s="90">
        <v>1827</v>
      </c>
      <c r="H1835" s="90">
        <f t="shared" ca="1" si="57"/>
        <v>-1.0630076334162224E-2</v>
      </c>
    </row>
    <row r="1836" spans="2:8" x14ac:dyDescent="0.3">
      <c r="B1836" s="58">
        <f>'DATA HISTORICAL'!$B2481</f>
        <v>43210</v>
      </c>
      <c r="C1836" s="60">
        <f>'DATA HISTORICAL'!$C2481</f>
        <v>4080.9</v>
      </c>
      <c r="D1836" s="53">
        <f t="shared" si="56"/>
        <v>-5.5105309676772869E-3</v>
      </c>
      <c r="E1836" s="53">
        <v>5.4825869825871785E-3</v>
      </c>
      <c r="G1836" s="90">
        <v>1828</v>
      </c>
      <c r="H1836" s="90">
        <f t="shared" ca="1" si="57"/>
        <v>1.8696265789411762E-2</v>
      </c>
    </row>
    <row r="1837" spans="2:8" x14ac:dyDescent="0.3">
      <c r="B1837" s="58">
        <f>'DATA HISTORICAL'!$B2482</f>
        <v>43209</v>
      </c>
      <c r="C1837" s="60">
        <f>'DATA HISTORICAL'!$C2482</f>
        <v>4103.45</v>
      </c>
      <c r="D1837" s="53">
        <f t="shared" si="56"/>
        <v>2.744805333637421E-2</v>
      </c>
      <c r="E1837" s="53">
        <v>5.4789115200124206E-3</v>
      </c>
      <c r="G1837" s="90">
        <v>1829</v>
      </c>
      <c r="H1837" s="90">
        <f t="shared" ca="1" si="57"/>
        <v>9.8305310660619823E-3</v>
      </c>
    </row>
    <row r="1838" spans="2:8" x14ac:dyDescent="0.3">
      <c r="B1838" s="58">
        <f>'DATA HISTORICAL'!$B2483</f>
        <v>43208</v>
      </c>
      <c r="C1838" s="60">
        <f>'DATA HISTORICAL'!$C2483</f>
        <v>3992.35</v>
      </c>
      <c r="D1838" s="53">
        <f t="shared" si="56"/>
        <v>1.8990152954279152E-2</v>
      </c>
      <c r="E1838" s="53">
        <v>5.4665043132463712E-3</v>
      </c>
      <c r="G1838" s="90">
        <v>1830</v>
      </c>
      <c r="H1838" s="90">
        <f t="shared" ca="1" si="57"/>
        <v>1.4989332330608243E-2</v>
      </c>
    </row>
    <row r="1839" spans="2:8" x14ac:dyDescent="0.3">
      <c r="B1839" s="58">
        <f>'DATA HISTORICAL'!$B2484</f>
        <v>43207</v>
      </c>
      <c r="C1839" s="60">
        <f>'DATA HISTORICAL'!$C2484</f>
        <v>3917.25</v>
      </c>
      <c r="D1839" s="53">
        <f t="shared" si="56"/>
        <v>6.3822318686599394E-5</v>
      </c>
      <c r="E1839" s="53">
        <v>5.4644325209675885E-3</v>
      </c>
      <c r="G1839" s="90">
        <v>1831</v>
      </c>
      <c r="H1839" s="90">
        <f t="shared" ca="1" si="57"/>
        <v>1.4532129721559359E-2</v>
      </c>
    </row>
    <row r="1840" spans="2:8" x14ac:dyDescent="0.3">
      <c r="B1840" s="58">
        <f>'DATA HISTORICAL'!$B2485</f>
        <v>43206</v>
      </c>
      <c r="C1840" s="60">
        <f>'DATA HISTORICAL'!$C2485</f>
        <v>3917</v>
      </c>
      <c r="D1840" s="53">
        <f t="shared" si="56"/>
        <v>9.7615562290223022E-3</v>
      </c>
      <c r="E1840" s="53">
        <v>5.4554476788331958E-3</v>
      </c>
      <c r="G1840" s="90">
        <v>1832</v>
      </c>
      <c r="H1840" s="90">
        <f t="shared" ca="1" si="57"/>
        <v>-6.473812589925086E-3</v>
      </c>
    </row>
    <row r="1841" spans="2:8" x14ac:dyDescent="0.3">
      <c r="B1841" s="58">
        <f>'DATA HISTORICAL'!$B2486</f>
        <v>43203</v>
      </c>
      <c r="C1841" s="60">
        <f>'DATA HISTORICAL'!$C2486</f>
        <v>3878.95</v>
      </c>
      <c r="D1841" s="53">
        <f t="shared" si="56"/>
        <v>1.7158527028671173E-3</v>
      </c>
      <c r="E1841" s="53">
        <v>5.4509938893837319E-3</v>
      </c>
      <c r="G1841" s="90">
        <v>1833</v>
      </c>
      <c r="H1841" s="90">
        <f t="shared" ca="1" si="57"/>
        <v>6.3875346266040883E-4</v>
      </c>
    </row>
    <row r="1842" spans="2:8" x14ac:dyDescent="0.3">
      <c r="B1842" s="58">
        <f>'DATA HISTORICAL'!$B2487</f>
        <v>43202</v>
      </c>
      <c r="C1842" s="60">
        <f>'DATA HISTORICAL'!$C2487</f>
        <v>3872.3</v>
      </c>
      <c r="D1842" s="53">
        <f t="shared" si="56"/>
        <v>-1.342852953198791E-2</v>
      </c>
      <c r="E1842" s="53">
        <v>5.4509688047692491E-3</v>
      </c>
      <c r="G1842" s="90">
        <v>1834</v>
      </c>
      <c r="H1842" s="90">
        <f t="shared" ca="1" si="57"/>
        <v>1.8506363938742224E-2</v>
      </c>
    </row>
    <row r="1843" spans="2:8" x14ac:dyDescent="0.3">
      <c r="B1843" s="58">
        <f>'DATA HISTORICAL'!$B2488</f>
        <v>43201</v>
      </c>
      <c r="C1843" s="60">
        <f>'DATA HISTORICAL'!$C2488</f>
        <v>3924.65</v>
      </c>
      <c r="D1843" s="53">
        <f t="shared" si="56"/>
        <v>-1.6675475009850027E-3</v>
      </c>
      <c r="E1843" s="53">
        <v>5.4376852244802393E-3</v>
      </c>
      <c r="G1843" s="90">
        <v>1835</v>
      </c>
      <c r="H1843" s="90">
        <f t="shared" ca="1" si="57"/>
        <v>2.5601022855831244E-2</v>
      </c>
    </row>
    <row r="1844" spans="2:8" x14ac:dyDescent="0.3">
      <c r="B1844" s="58">
        <f>'DATA HISTORICAL'!$B2489</f>
        <v>43200</v>
      </c>
      <c r="C1844" s="60">
        <f>'DATA HISTORICAL'!$C2489</f>
        <v>3931.2</v>
      </c>
      <c r="D1844" s="53">
        <f t="shared" si="56"/>
        <v>3.3123581129828744E-3</v>
      </c>
      <c r="E1844" s="53">
        <v>5.4222088650323734E-3</v>
      </c>
      <c r="G1844" s="90">
        <v>1836</v>
      </c>
      <c r="H1844" s="90">
        <f t="shared" ca="1" si="57"/>
        <v>2.3559290314893136E-2</v>
      </c>
    </row>
    <row r="1845" spans="2:8" x14ac:dyDescent="0.3">
      <c r="B1845" s="58">
        <f>'DATA HISTORICAL'!$B2490</f>
        <v>43199</v>
      </c>
      <c r="C1845" s="60">
        <f>'DATA HISTORICAL'!$C2490</f>
        <v>3918.2</v>
      </c>
      <c r="D1845" s="53">
        <f t="shared" si="56"/>
        <v>-7.9566239505420439E-3</v>
      </c>
      <c r="E1845" s="53">
        <v>5.4195410472956534E-3</v>
      </c>
      <c r="G1845" s="90">
        <v>1837</v>
      </c>
      <c r="H1845" s="90">
        <f t="shared" ca="1" si="57"/>
        <v>1.9652446461482134E-2</v>
      </c>
    </row>
    <row r="1846" spans="2:8" x14ac:dyDescent="0.3">
      <c r="B1846" s="58">
        <f>'DATA HISTORICAL'!$B2491</f>
        <v>43196</v>
      </c>
      <c r="C1846" s="60">
        <f>'DATA HISTORICAL'!$C2491</f>
        <v>3949.5</v>
      </c>
      <c r="D1846" s="53">
        <f t="shared" si="56"/>
        <v>-4.3203159631136521E-3</v>
      </c>
      <c r="E1846" s="53">
        <v>5.4138184262239901E-3</v>
      </c>
      <c r="G1846" s="90">
        <v>1838</v>
      </c>
      <c r="H1846" s="90">
        <f t="shared" ca="1" si="57"/>
        <v>-2.3840110085116724E-2</v>
      </c>
    </row>
    <row r="1847" spans="2:8" x14ac:dyDescent="0.3">
      <c r="B1847" s="58">
        <f>'DATA HISTORICAL'!$B2492</f>
        <v>43195</v>
      </c>
      <c r="C1847" s="60">
        <f>'DATA HISTORICAL'!$C2492</f>
        <v>3966.6</v>
      </c>
      <c r="D1847" s="53">
        <f t="shared" si="56"/>
        <v>2.173915552111147E-2</v>
      </c>
      <c r="E1847" s="53">
        <v>5.4116019259784686E-3</v>
      </c>
      <c r="G1847" s="90">
        <v>1839</v>
      </c>
      <c r="H1847" s="90">
        <f t="shared" ca="1" si="57"/>
        <v>-8.7423770833992102E-3</v>
      </c>
    </row>
    <row r="1848" spans="2:8" x14ac:dyDescent="0.3">
      <c r="B1848" s="58">
        <f>'DATA HISTORICAL'!$B2493</f>
        <v>43194</v>
      </c>
      <c r="C1848" s="60">
        <f>'DATA HISTORICAL'!$C2493</f>
        <v>3881.3</v>
      </c>
      <c r="D1848" s="53">
        <f t="shared" si="56"/>
        <v>-1.7849181179939031E-2</v>
      </c>
      <c r="E1848" s="53">
        <v>5.411552003597604E-3</v>
      </c>
      <c r="G1848" s="90">
        <v>1840</v>
      </c>
      <c r="H1848" s="90">
        <f t="shared" ca="1" si="57"/>
        <v>-1.1312118821252156E-2</v>
      </c>
    </row>
    <row r="1849" spans="2:8" x14ac:dyDescent="0.3">
      <c r="B1849" s="58">
        <f>'DATA HISTORICAL'!$B2494</f>
        <v>43193</v>
      </c>
      <c r="C1849" s="60">
        <f>'DATA HISTORICAL'!$C2494</f>
        <v>3951.2</v>
      </c>
      <c r="D1849" s="53">
        <f t="shared" si="56"/>
        <v>-6.8855335911745053E-3</v>
      </c>
      <c r="E1849" s="53">
        <v>5.4063318030789934E-3</v>
      </c>
      <c r="G1849" s="90">
        <v>1841</v>
      </c>
      <c r="H1849" s="90">
        <f t="shared" ca="1" si="57"/>
        <v>-7.2530111907894582E-3</v>
      </c>
    </row>
    <row r="1850" spans="2:8" x14ac:dyDescent="0.3">
      <c r="B1850" s="58">
        <f>'DATA HISTORICAL'!$B2495</f>
        <v>43192</v>
      </c>
      <c r="C1850" s="60">
        <f>'DATA HISTORICAL'!$C2495</f>
        <v>3978.5</v>
      </c>
      <c r="D1850" s="53">
        <f t="shared" si="56"/>
        <v>7.189284922421873E-3</v>
      </c>
      <c r="E1850" s="53">
        <v>5.4014088528891533E-3</v>
      </c>
      <c r="G1850" s="90">
        <v>1842</v>
      </c>
      <c r="H1850" s="90">
        <f t="shared" ca="1" si="57"/>
        <v>7.05499178345061E-3</v>
      </c>
    </row>
    <row r="1851" spans="2:8" x14ac:dyDescent="0.3">
      <c r="B1851" s="58">
        <f>'DATA HISTORICAL'!$B2496</f>
        <v>43187</v>
      </c>
      <c r="C1851" s="60">
        <f>'DATA HISTORICAL'!$C2496</f>
        <v>3950</v>
      </c>
      <c r="D1851" s="53">
        <f t="shared" si="56"/>
        <v>-7.2144197077093474E-3</v>
      </c>
      <c r="E1851" s="53">
        <v>5.387771047750802E-3</v>
      </c>
      <c r="G1851" s="90">
        <v>1843</v>
      </c>
      <c r="H1851" s="90">
        <f t="shared" ca="1" si="57"/>
        <v>-3.2906555506069385E-2</v>
      </c>
    </row>
    <row r="1852" spans="2:8" x14ac:dyDescent="0.3">
      <c r="B1852" s="58">
        <f>'DATA HISTORICAL'!$B2497</f>
        <v>43186</v>
      </c>
      <c r="C1852" s="60">
        <f>'DATA HISTORICAL'!$C2497</f>
        <v>3978.6</v>
      </c>
      <c r="D1852" s="53">
        <f t="shared" si="56"/>
        <v>7.2144197077093465E-3</v>
      </c>
      <c r="E1852" s="53">
        <v>5.3819435585375427E-3</v>
      </c>
      <c r="G1852" s="90">
        <v>1844</v>
      </c>
      <c r="H1852" s="90">
        <f t="shared" ca="1" si="57"/>
        <v>3.2430706590013708E-2</v>
      </c>
    </row>
    <row r="1853" spans="2:8" x14ac:dyDescent="0.3">
      <c r="B1853" s="58">
        <f>'DATA HISTORICAL'!$B2498</f>
        <v>43185</v>
      </c>
      <c r="C1853" s="60">
        <f>'DATA HISTORICAL'!$C2498</f>
        <v>3950</v>
      </c>
      <c r="D1853" s="53">
        <f t="shared" si="56"/>
        <v>1.9492548793209535E-2</v>
      </c>
      <c r="E1853" s="53">
        <v>5.3793358219301158E-3</v>
      </c>
      <c r="G1853" s="90">
        <v>1845</v>
      </c>
      <c r="H1853" s="90">
        <f t="shared" ca="1" si="57"/>
        <v>-2.4399902415964672E-3</v>
      </c>
    </row>
    <row r="1854" spans="2:8" x14ac:dyDescent="0.3">
      <c r="B1854" s="58">
        <f>'DATA HISTORICAL'!$B2499</f>
        <v>43182</v>
      </c>
      <c r="C1854" s="60">
        <f>'DATA HISTORICAL'!$C2499</f>
        <v>3873.75</v>
      </c>
      <c r="D1854" s="53">
        <f t="shared" si="56"/>
        <v>-1.3181536944826273E-2</v>
      </c>
      <c r="E1854" s="53">
        <v>5.351351503060109E-3</v>
      </c>
      <c r="G1854" s="90">
        <v>1846</v>
      </c>
      <c r="H1854" s="90">
        <f t="shared" ca="1" si="57"/>
        <v>7.1319295103320825E-3</v>
      </c>
    </row>
    <row r="1855" spans="2:8" x14ac:dyDescent="0.3">
      <c r="B1855" s="58">
        <f>'DATA HISTORICAL'!$B2500</f>
        <v>43181</v>
      </c>
      <c r="C1855" s="60">
        <f>'DATA HISTORICAL'!$C2500</f>
        <v>3925.15</v>
      </c>
      <c r="D1855" s="53">
        <f t="shared" si="56"/>
        <v>-1.8689774052576321E-2</v>
      </c>
      <c r="E1855" s="53">
        <v>5.34859831271145E-3</v>
      </c>
      <c r="G1855" s="90">
        <v>1847</v>
      </c>
      <c r="H1855" s="90">
        <f t="shared" ca="1" si="57"/>
        <v>-3.8169041355166997E-4</v>
      </c>
    </row>
    <row r="1856" spans="2:8" x14ac:dyDescent="0.3">
      <c r="B1856" s="58">
        <f>'DATA HISTORICAL'!$B2501</f>
        <v>43180</v>
      </c>
      <c r="C1856" s="60">
        <f>'DATA HISTORICAL'!$C2501</f>
        <v>3999.2</v>
      </c>
      <c r="D1856" s="53">
        <f t="shared" si="56"/>
        <v>1.572613054759198E-2</v>
      </c>
      <c r="E1856" s="53">
        <v>5.334221338912001E-3</v>
      </c>
      <c r="G1856" s="90">
        <v>1848</v>
      </c>
      <c r="H1856" s="90">
        <f t="shared" ca="1" si="57"/>
        <v>-2.3990529534158107E-2</v>
      </c>
    </row>
    <row r="1857" spans="2:8" x14ac:dyDescent="0.3">
      <c r="B1857" s="58">
        <f>'DATA HISTORICAL'!$B2502</f>
        <v>43179</v>
      </c>
      <c r="C1857" s="60">
        <f>'DATA HISTORICAL'!$C2502</f>
        <v>3936.8</v>
      </c>
      <c r="D1857" s="53">
        <f t="shared" si="56"/>
        <v>-9.0022354774349864E-3</v>
      </c>
      <c r="E1857" s="53">
        <v>5.3262826193623807E-3</v>
      </c>
      <c r="G1857" s="90">
        <v>1849</v>
      </c>
      <c r="H1857" s="90">
        <f t="shared" ca="1" si="57"/>
        <v>-1.1699072008488432E-3</v>
      </c>
    </row>
    <row r="1858" spans="2:8" x14ac:dyDescent="0.3">
      <c r="B1858" s="58">
        <f>'DATA HISTORICAL'!$B2503</f>
        <v>43178</v>
      </c>
      <c r="C1858" s="60">
        <f>'DATA HISTORICAL'!$C2503</f>
        <v>3972.4</v>
      </c>
      <c r="D1858" s="53">
        <f t="shared" si="56"/>
        <v>-1.3477394042666414E-2</v>
      </c>
      <c r="E1858" s="53">
        <v>5.32523129875278E-3</v>
      </c>
      <c r="G1858" s="90">
        <v>1850</v>
      </c>
      <c r="H1858" s="90">
        <f t="shared" ca="1" si="57"/>
        <v>7.4396349247318463E-3</v>
      </c>
    </row>
    <row r="1859" spans="2:8" x14ac:dyDescent="0.3">
      <c r="B1859" s="58">
        <f>'DATA HISTORICAL'!$B2504</f>
        <v>43175</v>
      </c>
      <c r="C1859" s="60">
        <f>'DATA HISTORICAL'!$C2504</f>
        <v>4026.3</v>
      </c>
      <c r="D1859" s="53">
        <f t="shared" si="56"/>
        <v>-3.9709685499795776E-2</v>
      </c>
      <c r="E1859" s="53">
        <v>5.2976137691569756E-3</v>
      </c>
      <c r="G1859" s="90">
        <v>1851</v>
      </c>
      <c r="H1859" s="90">
        <f t="shared" ca="1" si="57"/>
        <v>6.6085541227122041E-3</v>
      </c>
    </row>
    <row r="1860" spans="2:8" x14ac:dyDescent="0.3">
      <c r="B1860" s="58">
        <f>'DATA HISTORICAL'!$B2505</f>
        <v>43174</v>
      </c>
      <c r="C1860" s="60">
        <f>'DATA HISTORICAL'!$C2505</f>
        <v>4189.3999999999996</v>
      </c>
      <c r="D1860" s="53">
        <f t="shared" si="56"/>
        <v>-9.7035673770702463E-3</v>
      </c>
      <c r="E1860" s="53">
        <v>5.2898373885282325E-3</v>
      </c>
      <c r="G1860" s="90">
        <v>1852</v>
      </c>
      <c r="H1860" s="90">
        <f t="shared" ca="1" si="57"/>
        <v>-9.5530835670315957E-3</v>
      </c>
    </row>
    <row r="1861" spans="2:8" x14ac:dyDescent="0.3">
      <c r="B1861" s="58">
        <f>'DATA HISTORICAL'!$B2506</f>
        <v>43173</v>
      </c>
      <c r="C1861" s="60">
        <f>'DATA HISTORICAL'!$C2506</f>
        <v>4230.25</v>
      </c>
      <c r="D1861" s="53">
        <f t="shared" si="56"/>
        <v>1.4345057155888973E-2</v>
      </c>
      <c r="E1861" s="53">
        <v>5.2862965912789314E-3</v>
      </c>
      <c r="G1861" s="90">
        <v>1853</v>
      </c>
      <c r="H1861" s="90">
        <f t="shared" ca="1" si="57"/>
        <v>2.1790920293327014E-2</v>
      </c>
    </row>
    <row r="1862" spans="2:8" x14ac:dyDescent="0.3">
      <c r="B1862" s="58">
        <f>'DATA HISTORICAL'!$B2507</f>
        <v>43172</v>
      </c>
      <c r="C1862" s="60">
        <f>'DATA HISTORICAL'!$C2507</f>
        <v>4170</v>
      </c>
      <c r="D1862" s="53">
        <f t="shared" si="56"/>
        <v>-1.4378147696274715E-3</v>
      </c>
      <c r="E1862" s="53">
        <v>5.2766692826026161E-3</v>
      </c>
      <c r="G1862" s="90">
        <v>1854</v>
      </c>
      <c r="H1862" s="90">
        <f t="shared" ca="1" si="57"/>
        <v>1.2871828383687665E-2</v>
      </c>
    </row>
    <row r="1863" spans="2:8" x14ac:dyDescent="0.3">
      <c r="B1863" s="58">
        <f>'DATA HISTORICAL'!$B2508</f>
        <v>43171</v>
      </c>
      <c r="C1863" s="60">
        <f>'DATA HISTORICAL'!$C2508</f>
        <v>4176</v>
      </c>
      <c r="D1863" s="53">
        <f t="shared" si="56"/>
        <v>2.329362754598811E-2</v>
      </c>
      <c r="E1863" s="53">
        <v>5.2631700442746909E-3</v>
      </c>
      <c r="G1863" s="90">
        <v>1855</v>
      </c>
      <c r="H1863" s="90">
        <f t="shared" ca="1" si="57"/>
        <v>-2.4961552401603627E-2</v>
      </c>
    </row>
    <row r="1864" spans="2:8" x14ac:dyDescent="0.3">
      <c r="B1864" s="58">
        <f>'DATA HISTORICAL'!$B2509</f>
        <v>43168</v>
      </c>
      <c r="C1864" s="60">
        <f>'DATA HISTORICAL'!$C2509</f>
        <v>4079.85</v>
      </c>
      <c r="D1864" s="53">
        <f t="shared" si="56"/>
        <v>-9.7686681878591114E-3</v>
      </c>
      <c r="E1864" s="53">
        <v>5.2622589841507146E-3</v>
      </c>
      <c r="G1864" s="90">
        <v>1856</v>
      </c>
      <c r="H1864" s="90">
        <f t="shared" ca="1" si="57"/>
        <v>-1.1203414029326432E-2</v>
      </c>
    </row>
    <row r="1865" spans="2:8" x14ac:dyDescent="0.3">
      <c r="B1865" s="58">
        <f>'DATA HISTORICAL'!$B2510</f>
        <v>43167</v>
      </c>
      <c r="C1865" s="60">
        <f>'DATA HISTORICAL'!$C2510</f>
        <v>4119.8999999999996</v>
      </c>
      <c r="D1865" s="53">
        <f t="shared" ref="D1865:D1928" si="58">LN(C1865/C1866)</f>
        <v>1.5667987682987912E-3</v>
      </c>
      <c r="E1865" s="53">
        <v>5.2424759648500444E-3</v>
      </c>
      <c r="G1865" s="90">
        <v>1857</v>
      </c>
      <c r="H1865" s="90">
        <f t="shared" ref="H1865:H1928" ca="1" si="59">_xlfn.NORM.INV(RAND(),N$10,N$11)</f>
        <v>-7.8545477009366871E-3</v>
      </c>
    </row>
    <row r="1866" spans="2:8" x14ac:dyDescent="0.3">
      <c r="B1866" s="58">
        <f>'DATA HISTORICAL'!$B2511</f>
        <v>43166</v>
      </c>
      <c r="C1866" s="60">
        <f>'DATA HISTORICAL'!$C2511</f>
        <v>4113.45</v>
      </c>
      <c r="D1866" s="53">
        <f t="shared" si="58"/>
        <v>-8.9185283325882627E-3</v>
      </c>
      <c r="E1866" s="53">
        <v>5.2292053078624758E-3</v>
      </c>
      <c r="G1866" s="90">
        <v>1858</v>
      </c>
      <c r="H1866" s="90">
        <f t="shared" ca="1" si="59"/>
        <v>2.2269276037132435E-3</v>
      </c>
    </row>
    <row r="1867" spans="2:8" x14ac:dyDescent="0.3">
      <c r="B1867" s="58">
        <f>'DATA HISTORICAL'!$B2512</f>
        <v>43165</v>
      </c>
      <c r="C1867" s="60">
        <f>'DATA HISTORICAL'!$C2512</f>
        <v>4150.3</v>
      </c>
      <c r="D1867" s="53">
        <f t="shared" si="58"/>
        <v>1.3316228154175451E-2</v>
      </c>
      <c r="E1867" s="53">
        <v>5.2241222429391847E-3</v>
      </c>
      <c r="G1867" s="90">
        <v>1859</v>
      </c>
      <c r="H1867" s="90">
        <f t="shared" ca="1" si="59"/>
        <v>3.9158511311747938E-3</v>
      </c>
    </row>
    <row r="1868" spans="2:8" x14ac:dyDescent="0.3">
      <c r="B1868" s="58">
        <f>'DATA HISTORICAL'!$B2513</f>
        <v>43164</v>
      </c>
      <c r="C1868" s="60">
        <f>'DATA HISTORICAL'!$C2513</f>
        <v>4095.4</v>
      </c>
      <c r="D1868" s="53">
        <f t="shared" si="58"/>
        <v>-1.40388063444857E-2</v>
      </c>
      <c r="E1868" s="53">
        <v>5.2180620045867033E-3</v>
      </c>
      <c r="G1868" s="90">
        <v>1860</v>
      </c>
      <c r="H1868" s="90">
        <f t="shared" ca="1" si="59"/>
        <v>1.0443008209322941E-2</v>
      </c>
    </row>
    <row r="1869" spans="2:8" x14ac:dyDescent="0.3">
      <c r="B1869" s="58">
        <f>'DATA HISTORICAL'!$B2514</f>
        <v>43160</v>
      </c>
      <c r="C1869" s="60">
        <f>'DATA HISTORICAL'!$C2514</f>
        <v>4153.3</v>
      </c>
      <c r="D1869" s="53">
        <f t="shared" si="58"/>
        <v>-5.5362323743114825E-4</v>
      </c>
      <c r="E1869" s="53">
        <v>5.2157023594647219E-3</v>
      </c>
      <c r="G1869" s="90">
        <v>1861</v>
      </c>
      <c r="H1869" s="90">
        <f t="shared" ca="1" si="59"/>
        <v>-1.5285746696216608E-2</v>
      </c>
    </row>
    <row r="1870" spans="2:8" x14ac:dyDescent="0.3">
      <c r="B1870" s="58">
        <f>'DATA HISTORICAL'!$B2515</f>
        <v>43159</v>
      </c>
      <c r="C1870" s="60">
        <f>'DATA HISTORICAL'!$C2515</f>
        <v>4155.6000000000004</v>
      </c>
      <c r="D1870" s="53">
        <f t="shared" si="58"/>
        <v>-4.9209744395418359E-3</v>
      </c>
      <c r="E1870" s="53">
        <v>5.2136162503524297E-3</v>
      </c>
      <c r="G1870" s="90">
        <v>1862</v>
      </c>
      <c r="H1870" s="90">
        <f t="shared" ca="1" si="59"/>
        <v>1.5450170924686358E-2</v>
      </c>
    </row>
    <row r="1871" spans="2:8" x14ac:dyDescent="0.3">
      <c r="B1871" s="58">
        <f>'DATA HISTORICAL'!$B2516</f>
        <v>43158</v>
      </c>
      <c r="C1871" s="60">
        <f>'DATA HISTORICAL'!$C2516</f>
        <v>4176.1000000000004</v>
      </c>
      <c r="D1871" s="53">
        <f t="shared" si="58"/>
        <v>8.4887907693916628E-3</v>
      </c>
      <c r="E1871" s="53">
        <v>5.2103975314135437E-3</v>
      </c>
      <c r="G1871" s="90">
        <v>1863</v>
      </c>
      <c r="H1871" s="90">
        <f t="shared" ca="1" si="59"/>
        <v>2.3604325726520976E-3</v>
      </c>
    </row>
    <row r="1872" spans="2:8" x14ac:dyDescent="0.3">
      <c r="B1872" s="58">
        <f>'DATA HISTORICAL'!$B2517</f>
        <v>43157</v>
      </c>
      <c r="C1872" s="60">
        <f>'DATA HISTORICAL'!$C2517</f>
        <v>4140.8</v>
      </c>
      <c r="D1872" s="53">
        <f t="shared" si="58"/>
        <v>5.9100109045902797E-3</v>
      </c>
      <c r="E1872" s="53">
        <v>5.1982141332969174E-3</v>
      </c>
      <c r="G1872" s="90">
        <v>1864</v>
      </c>
      <c r="H1872" s="90">
        <f t="shared" ca="1" si="59"/>
        <v>2.3138293949969834E-3</v>
      </c>
    </row>
    <row r="1873" spans="2:8" x14ac:dyDescent="0.3">
      <c r="B1873" s="58">
        <f>'DATA HISTORICAL'!$B2518</f>
        <v>43154</v>
      </c>
      <c r="C1873" s="60">
        <f>'DATA HISTORICAL'!$C2518</f>
        <v>4116.3999999999996</v>
      </c>
      <c r="D1873" s="53">
        <f t="shared" si="58"/>
        <v>4.0164118108866565E-3</v>
      </c>
      <c r="E1873" s="53">
        <v>5.1943816525531466E-3</v>
      </c>
      <c r="G1873" s="90">
        <v>1865</v>
      </c>
      <c r="H1873" s="90">
        <f t="shared" ca="1" si="59"/>
        <v>4.2256826534031733E-4</v>
      </c>
    </row>
    <row r="1874" spans="2:8" x14ac:dyDescent="0.3">
      <c r="B1874" s="58">
        <f>'DATA HISTORICAL'!$B2519</f>
        <v>43153</v>
      </c>
      <c r="C1874" s="60">
        <f>'DATA HISTORICAL'!$C2519</f>
        <v>4099.8999999999996</v>
      </c>
      <c r="D1874" s="53">
        <f t="shared" si="58"/>
        <v>-7.6900560590381084E-3</v>
      </c>
      <c r="E1874" s="53">
        <v>5.1897374951552786E-3</v>
      </c>
      <c r="G1874" s="90">
        <v>1866</v>
      </c>
      <c r="H1874" s="90">
        <f t="shared" ca="1" si="59"/>
        <v>-2.0540275744055703E-2</v>
      </c>
    </row>
    <row r="1875" spans="2:8" x14ac:dyDescent="0.3">
      <c r="B1875" s="58">
        <f>'DATA HISTORICAL'!$B2520</f>
        <v>43152</v>
      </c>
      <c r="C1875" s="60">
        <f>'DATA HISTORICAL'!$C2520</f>
        <v>4131.55</v>
      </c>
      <c r="D1875" s="53">
        <f t="shared" si="58"/>
        <v>-2.1880656445233196E-3</v>
      </c>
      <c r="E1875" s="53">
        <v>5.1813587419975845E-3</v>
      </c>
      <c r="G1875" s="90">
        <v>1867</v>
      </c>
      <c r="H1875" s="90">
        <f t="shared" ca="1" si="59"/>
        <v>-1.4385580990569809E-4</v>
      </c>
    </row>
    <row r="1876" spans="2:8" x14ac:dyDescent="0.3">
      <c r="B1876" s="58">
        <f>'DATA HISTORICAL'!$B2521</f>
        <v>43151</v>
      </c>
      <c r="C1876" s="60">
        <f>'DATA HISTORICAL'!$C2521</f>
        <v>4140.6000000000004</v>
      </c>
      <c r="D1876" s="53">
        <f t="shared" si="58"/>
        <v>5.8131249297109014E-3</v>
      </c>
      <c r="E1876" s="53">
        <v>5.17994538483836E-3</v>
      </c>
      <c r="G1876" s="90">
        <v>1868</v>
      </c>
      <c r="H1876" s="90">
        <f t="shared" ca="1" si="59"/>
        <v>-1.5909522743880735E-3</v>
      </c>
    </row>
    <row r="1877" spans="2:8" x14ac:dyDescent="0.3">
      <c r="B1877" s="58">
        <f>'DATA HISTORICAL'!$B2522</f>
        <v>43150</v>
      </c>
      <c r="C1877" s="60">
        <f>'DATA HISTORICAL'!$C2522</f>
        <v>4116.6000000000004</v>
      </c>
      <c r="D1877" s="53">
        <f t="shared" si="58"/>
        <v>-1.2012772809236337E-2</v>
      </c>
      <c r="E1877" s="53">
        <v>5.1791385772353453E-3</v>
      </c>
      <c r="G1877" s="90">
        <v>1869</v>
      </c>
      <c r="H1877" s="90">
        <f t="shared" ca="1" si="59"/>
        <v>2.5578952876464094E-2</v>
      </c>
    </row>
    <row r="1878" spans="2:8" x14ac:dyDescent="0.3">
      <c r="B1878" s="58">
        <f>'DATA HISTORICAL'!$B2523</f>
        <v>43147</v>
      </c>
      <c r="C1878" s="60">
        <f>'DATA HISTORICAL'!$C2523</f>
        <v>4166.3500000000004</v>
      </c>
      <c r="D1878" s="53">
        <f t="shared" si="58"/>
        <v>-5.1471229959494215E-3</v>
      </c>
      <c r="E1878" s="53">
        <v>5.178254275963981E-3</v>
      </c>
      <c r="G1878" s="90">
        <v>1870</v>
      </c>
      <c r="H1878" s="90">
        <f t="shared" ca="1" si="59"/>
        <v>-2.7382273465369261E-3</v>
      </c>
    </row>
    <row r="1879" spans="2:8" x14ac:dyDescent="0.3">
      <c r="B1879" s="58">
        <f>'DATA HISTORICAL'!$B2524</f>
        <v>43146</v>
      </c>
      <c r="C1879" s="60">
        <f>'DATA HISTORICAL'!$C2524</f>
        <v>4187.8500000000004</v>
      </c>
      <c r="D1879" s="53">
        <f t="shared" si="58"/>
        <v>2.953364136801966E-3</v>
      </c>
      <c r="E1879" s="53">
        <v>5.1759112721588112E-3</v>
      </c>
      <c r="G1879" s="90">
        <v>1871</v>
      </c>
      <c r="H1879" s="90">
        <f t="shared" ca="1" si="59"/>
        <v>4.622269469267113E-2</v>
      </c>
    </row>
    <row r="1880" spans="2:8" x14ac:dyDescent="0.3">
      <c r="B1880" s="58">
        <f>'DATA HISTORICAL'!$B2525</f>
        <v>43145</v>
      </c>
      <c r="C1880" s="60">
        <f>'DATA HISTORICAL'!$C2525</f>
        <v>4175.5</v>
      </c>
      <c r="D1880" s="53">
        <f t="shared" si="58"/>
        <v>-5.9218396987052828E-3</v>
      </c>
      <c r="E1880" s="53">
        <v>5.1748274439312996E-3</v>
      </c>
      <c r="G1880" s="90">
        <v>1872</v>
      </c>
      <c r="H1880" s="90">
        <f t="shared" ca="1" si="59"/>
        <v>-9.966550497317473E-3</v>
      </c>
    </row>
    <row r="1881" spans="2:8" x14ac:dyDescent="0.3">
      <c r="B1881" s="58">
        <f>'DATA HISTORICAL'!$B2526</f>
        <v>43143</v>
      </c>
      <c r="C1881" s="60">
        <f>'DATA HISTORICAL'!$C2526</f>
        <v>4200.3</v>
      </c>
      <c r="D1881" s="53">
        <f t="shared" si="58"/>
        <v>1.1252752333043816E-2</v>
      </c>
      <c r="E1881" s="53">
        <v>5.1738362120202358E-3</v>
      </c>
      <c r="G1881" s="90">
        <v>1873</v>
      </c>
      <c r="H1881" s="90">
        <f t="shared" ca="1" si="59"/>
        <v>-2.3390767704738597E-2</v>
      </c>
    </row>
    <row r="1882" spans="2:8" x14ac:dyDescent="0.3">
      <c r="B1882" s="58">
        <f>'DATA HISTORICAL'!$B2527</f>
        <v>43140</v>
      </c>
      <c r="C1882" s="60">
        <f>'DATA HISTORICAL'!$C2527</f>
        <v>4153.3</v>
      </c>
      <c r="D1882" s="53">
        <f t="shared" si="58"/>
        <v>-3.2931534635078953E-3</v>
      </c>
      <c r="E1882" s="53">
        <v>5.1735165888559219E-3</v>
      </c>
      <c r="G1882" s="90">
        <v>1874</v>
      </c>
      <c r="H1882" s="90">
        <f t="shared" ca="1" si="59"/>
        <v>3.0844501165349192E-3</v>
      </c>
    </row>
    <row r="1883" spans="2:8" x14ac:dyDescent="0.3">
      <c r="B1883" s="58">
        <f>'DATA HISTORICAL'!$B2528</f>
        <v>43139</v>
      </c>
      <c r="C1883" s="60">
        <f>'DATA HISTORICAL'!$C2528</f>
        <v>4167</v>
      </c>
      <c r="D1883" s="53">
        <f t="shared" si="58"/>
        <v>2.0719534207940291E-2</v>
      </c>
      <c r="E1883" s="53">
        <v>5.1716822638782321E-3</v>
      </c>
      <c r="G1883" s="90">
        <v>1875</v>
      </c>
      <c r="H1883" s="90">
        <f t="shared" ca="1" si="59"/>
        <v>-1.2614953603192307E-3</v>
      </c>
    </row>
    <row r="1884" spans="2:8" x14ac:dyDescent="0.3">
      <c r="B1884" s="58">
        <f>'DATA HISTORICAL'!$B2529</f>
        <v>43138</v>
      </c>
      <c r="C1884" s="60">
        <f>'DATA HISTORICAL'!$C2529</f>
        <v>4081.55</v>
      </c>
      <c r="D1884" s="53">
        <f t="shared" si="58"/>
        <v>-2.7158637720441112E-3</v>
      </c>
      <c r="E1884" s="53">
        <v>5.1687558065374025E-3</v>
      </c>
      <c r="G1884" s="90">
        <v>1876</v>
      </c>
      <c r="H1884" s="90">
        <f t="shared" ca="1" si="59"/>
        <v>-1.0845677878355584E-2</v>
      </c>
    </row>
    <row r="1885" spans="2:8" x14ac:dyDescent="0.3">
      <c r="B1885" s="58">
        <f>'DATA HISTORICAL'!$B2530</f>
        <v>43137</v>
      </c>
      <c r="C1885" s="60">
        <f>'DATA HISTORICAL'!$C2530</f>
        <v>4092.65</v>
      </c>
      <c r="D1885" s="53">
        <f t="shared" si="58"/>
        <v>-1.304780588893947E-2</v>
      </c>
      <c r="E1885" s="53">
        <v>5.1415818106558559E-3</v>
      </c>
      <c r="G1885" s="90">
        <v>1877</v>
      </c>
      <c r="H1885" s="90">
        <f t="shared" ca="1" si="59"/>
        <v>-1.2961793194295797E-4</v>
      </c>
    </row>
    <row r="1886" spans="2:8" x14ac:dyDescent="0.3">
      <c r="B1886" s="58">
        <f>'DATA HISTORICAL'!$B2531</f>
        <v>43136</v>
      </c>
      <c r="C1886" s="60">
        <f>'DATA HISTORICAL'!$C2531</f>
        <v>4146.3999999999996</v>
      </c>
      <c r="D1886" s="53">
        <f t="shared" si="58"/>
        <v>-7.9391710386677323E-3</v>
      </c>
      <c r="E1886" s="53">
        <v>5.1270212518328339E-3</v>
      </c>
      <c r="G1886" s="90">
        <v>1878</v>
      </c>
      <c r="H1886" s="90">
        <f t="shared" ca="1" si="59"/>
        <v>1.0828608007693259E-2</v>
      </c>
    </row>
    <row r="1887" spans="2:8" x14ac:dyDescent="0.3">
      <c r="B1887" s="58">
        <f>'DATA HISTORICAL'!$B2532</f>
        <v>43133</v>
      </c>
      <c r="C1887" s="60">
        <f>'DATA HISTORICAL'!$C2532</f>
        <v>4179.45</v>
      </c>
      <c r="D1887" s="53">
        <f t="shared" si="58"/>
        <v>-4.9479809746857541E-2</v>
      </c>
      <c r="E1887" s="53">
        <v>5.1054129339883729E-3</v>
      </c>
      <c r="G1887" s="90">
        <v>1879</v>
      </c>
      <c r="H1887" s="90">
        <f t="shared" ca="1" si="59"/>
        <v>6.704244086616018E-3</v>
      </c>
    </row>
    <row r="1888" spans="2:8" x14ac:dyDescent="0.3">
      <c r="B1888" s="58">
        <f>'DATA HISTORICAL'!$B2533</f>
        <v>43132</v>
      </c>
      <c r="C1888" s="60">
        <f>'DATA HISTORICAL'!$C2533</f>
        <v>4391.45</v>
      </c>
      <c r="D1888" s="53">
        <f t="shared" si="58"/>
        <v>2.1542275056101482E-3</v>
      </c>
      <c r="E1888" s="53">
        <v>5.0981502213971021E-3</v>
      </c>
      <c r="G1888" s="90">
        <v>1880</v>
      </c>
      <c r="H1888" s="90">
        <f t="shared" ca="1" si="59"/>
        <v>1.7429717335459373E-2</v>
      </c>
    </row>
    <row r="1889" spans="2:8" x14ac:dyDescent="0.3">
      <c r="B1889" s="58">
        <f>'DATA HISTORICAL'!$B2534</f>
        <v>43131</v>
      </c>
      <c r="C1889" s="60">
        <f>'DATA HISTORICAL'!$C2534</f>
        <v>4382</v>
      </c>
      <c r="D1889" s="53">
        <f t="shared" si="58"/>
        <v>4.2995080640877894E-3</v>
      </c>
      <c r="E1889" s="53">
        <v>5.0937499595092341E-3</v>
      </c>
      <c r="G1889" s="90">
        <v>1881</v>
      </c>
      <c r="H1889" s="90">
        <f t="shared" ca="1" si="59"/>
        <v>-1.6294576263439876E-2</v>
      </c>
    </row>
    <row r="1890" spans="2:8" x14ac:dyDescent="0.3">
      <c r="B1890" s="58">
        <f>'DATA HISTORICAL'!$B2535</f>
        <v>43130</v>
      </c>
      <c r="C1890" s="60">
        <f>'DATA HISTORICAL'!$C2535</f>
        <v>4363.2</v>
      </c>
      <c r="D1890" s="53">
        <f t="shared" si="58"/>
        <v>-6.2829345695275853E-3</v>
      </c>
      <c r="E1890" s="53">
        <v>5.090839598263279E-3</v>
      </c>
      <c r="G1890" s="90">
        <v>1882</v>
      </c>
      <c r="H1890" s="90">
        <f t="shared" ca="1" si="59"/>
        <v>-5.0542341766168447E-3</v>
      </c>
    </row>
    <row r="1891" spans="2:8" x14ac:dyDescent="0.3">
      <c r="B1891" s="58">
        <f>'DATA HISTORICAL'!$B2536</f>
        <v>43129</v>
      </c>
      <c r="C1891" s="60">
        <f>'DATA HISTORICAL'!$C2536</f>
        <v>4390.7</v>
      </c>
      <c r="D1891" s="53">
        <f t="shared" si="58"/>
        <v>7.028078273436664E-3</v>
      </c>
      <c r="E1891" s="53">
        <v>5.0883182058976718E-3</v>
      </c>
      <c r="G1891" s="90">
        <v>1883</v>
      </c>
      <c r="H1891" s="90">
        <f t="shared" ca="1" si="59"/>
        <v>1.9110952509208155E-2</v>
      </c>
    </row>
    <row r="1892" spans="2:8" x14ac:dyDescent="0.3">
      <c r="B1892" s="58">
        <f>'DATA HISTORICAL'!$B2537</f>
        <v>43125</v>
      </c>
      <c r="C1892" s="60">
        <f>'DATA HISTORICAL'!$C2537</f>
        <v>4359.95</v>
      </c>
      <c r="D1892" s="53">
        <f t="shared" si="58"/>
        <v>1.7806890772043966E-2</v>
      </c>
      <c r="E1892" s="53">
        <v>5.0865837624687734E-3</v>
      </c>
      <c r="G1892" s="90">
        <v>1884</v>
      </c>
      <c r="H1892" s="90">
        <f t="shared" ca="1" si="59"/>
        <v>-1.1033291459995438E-2</v>
      </c>
    </row>
    <row r="1893" spans="2:8" x14ac:dyDescent="0.3">
      <c r="B1893" s="58">
        <f>'DATA HISTORICAL'!$B2538</f>
        <v>43124</v>
      </c>
      <c r="C1893" s="60">
        <f>'DATA HISTORICAL'!$C2538</f>
        <v>4283</v>
      </c>
      <c r="D1893" s="53">
        <f t="shared" si="58"/>
        <v>-2.1184247396644443E-2</v>
      </c>
      <c r="E1893" s="53">
        <v>5.0796985219488302E-3</v>
      </c>
      <c r="G1893" s="90">
        <v>1885</v>
      </c>
      <c r="H1893" s="90">
        <f t="shared" ca="1" si="59"/>
        <v>9.9983032103290945E-3</v>
      </c>
    </row>
    <row r="1894" spans="2:8" x14ac:dyDescent="0.3">
      <c r="B1894" s="58">
        <f>'DATA HISTORICAL'!$B2539</f>
        <v>43123</v>
      </c>
      <c r="C1894" s="60">
        <f>'DATA HISTORICAL'!$C2539</f>
        <v>4374.7</v>
      </c>
      <c r="D1894" s="53">
        <f t="shared" si="58"/>
        <v>1.0270404015479883E-2</v>
      </c>
      <c r="E1894" s="53">
        <v>5.062411494961545E-3</v>
      </c>
      <c r="G1894" s="90">
        <v>1886</v>
      </c>
      <c r="H1894" s="90">
        <f t="shared" ca="1" si="59"/>
        <v>1.7235457149552984E-2</v>
      </c>
    </row>
    <row r="1895" spans="2:8" x14ac:dyDescent="0.3">
      <c r="B1895" s="58">
        <f>'DATA HISTORICAL'!$B2540</f>
        <v>43122</v>
      </c>
      <c r="C1895" s="60">
        <f>'DATA HISTORICAL'!$C2540</f>
        <v>4330</v>
      </c>
      <c r="D1895" s="53">
        <f t="shared" si="58"/>
        <v>6.9525193148816632E-3</v>
      </c>
      <c r="E1895" s="53">
        <v>5.0590634006706702E-3</v>
      </c>
      <c r="G1895" s="90">
        <v>1887</v>
      </c>
      <c r="H1895" s="90">
        <f t="shared" ca="1" si="59"/>
        <v>4.6344052161336902E-3</v>
      </c>
    </row>
    <row r="1896" spans="2:8" x14ac:dyDescent="0.3">
      <c r="B1896" s="58">
        <f>'DATA HISTORICAL'!$B2541</f>
        <v>43119</v>
      </c>
      <c r="C1896" s="60">
        <f>'DATA HISTORICAL'!$C2541</f>
        <v>4300</v>
      </c>
      <c r="D1896" s="53">
        <f t="shared" si="58"/>
        <v>-2.4953497445216816E-2</v>
      </c>
      <c r="E1896" s="53">
        <v>5.0534741792184652E-3</v>
      </c>
      <c r="G1896" s="90">
        <v>1888</v>
      </c>
      <c r="H1896" s="90">
        <f t="shared" ca="1" si="59"/>
        <v>-6.6309413491309928E-4</v>
      </c>
    </row>
    <row r="1897" spans="2:8" x14ac:dyDescent="0.3">
      <c r="B1897" s="58">
        <f>'DATA HISTORICAL'!$B2542</f>
        <v>43118</v>
      </c>
      <c r="C1897" s="60">
        <f>'DATA HISTORICAL'!$C2542</f>
        <v>4408.6499999999996</v>
      </c>
      <c r="D1897" s="53">
        <f t="shared" si="58"/>
        <v>-3.0294177366337542E-2</v>
      </c>
      <c r="E1897" s="53">
        <v>5.050289395945512E-3</v>
      </c>
      <c r="G1897" s="90">
        <v>1889</v>
      </c>
      <c r="H1897" s="90">
        <f t="shared" ca="1" si="59"/>
        <v>-1.5177992265899141E-2</v>
      </c>
    </row>
    <row r="1898" spans="2:8" x14ac:dyDescent="0.3">
      <c r="B1898" s="58">
        <f>'DATA HISTORICAL'!$B2543</f>
        <v>43117</v>
      </c>
      <c r="C1898" s="60">
        <f>'DATA HISTORICAL'!$C2543</f>
        <v>4544.25</v>
      </c>
      <c r="D1898" s="53">
        <f t="shared" si="58"/>
        <v>-1.8703207654633072E-4</v>
      </c>
      <c r="E1898" s="53">
        <v>5.0476771562179444E-3</v>
      </c>
      <c r="G1898" s="90">
        <v>1890</v>
      </c>
      <c r="H1898" s="90">
        <f t="shared" ca="1" si="59"/>
        <v>-1.5982688599593044E-2</v>
      </c>
    </row>
    <row r="1899" spans="2:8" x14ac:dyDescent="0.3">
      <c r="B1899" s="58">
        <f>'DATA HISTORICAL'!$B2544</f>
        <v>43116</v>
      </c>
      <c r="C1899" s="60">
        <f>'DATA HISTORICAL'!$C2544</f>
        <v>4545.1000000000004</v>
      </c>
      <c r="D1899" s="53">
        <f t="shared" si="58"/>
        <v>5.5045504534074561E-3</v>
      </c>
      <c r="E1899" s="53">
        <v>5.0475681721778862E-3</v>
      </c>
      <c r="G1899" s="90">
        <v>1891</v>
      </c>
      <c r="H1899" s="90">
        <f t="shared" ca="1" si="59"/>
        <v>2.0547245040912123E-2</v>
      </c>
    </row>
    <row r="1900" spans="2:8" x14ac:dyDescent="0.3">
      <c r="B1900" s="58">
        <f>'DATA HISTORICAL'!$B2545</f>
        <v>43115</v>
      </c>
      <c r="C1900" s="60">
        <f>'DATA HISTORICAL'!$C2545</f>
        <v>4520.1499999999996</v>
      </c>
      <c r="D1900" s="53">
        <f t="shared" si="58"/>
        <v>2.5691418809562393E-2</v>
      </c>
      <c r="E1900" s="53">
        <v>5.0274011997521982E-3</v>
      </c>
      <c r="G1900" s="90">
        <v>1892</v>
      </c>
      <c r="H1900" s="90">
        <f t="shared" ca="1" si="59"/>
        <v>1.3992497120495689E-2</v>
      </c>
    </row>
    <row r="1901" spans="2:8" x14ac:dyDescent="0.3">
      <c r="B1901" s="58">
        <f>'DATA HISTORICAL'!$B2546</f>
        <v>43112</v>
      </c>
      <c r="C1901" s="60">
        <f>'DATA HISTORICAL'!$C2546</f>
        <v>4405.5</v>
      </c>
      <c r="D1901" s="53">
        <f t="shared" si="58"/>
        <v>-1.3618412114208025E-4</v>
      </c>
      <c r="E1901" s="53">
        <v>5.0209054305132431E-3</v>
      </c>
      <c r="G1901" s="90">
        <v>1893</v>
      </c>
      <c r="H1901" s="90">
        <f t="shared" ca="1" si="59"/>
        <v>-3.5887942103512392E-2</v>
      </c>
    </row>
    <row r="1902" spans="2:8" x14ac:dyDescent="0.3">
      <c r="B1902" s="58">
        <f>'DATA HISTORICAL'!$B2547</f>
        <v>43111</v>
      </c>
      <c r="C1902" s="60">
        <f>'DATA HISTORICAL'!$C2547</f>
        <v>4406.1000000000004</v>
      </c>
      <c r="D1902" s="53">
        <f t="shared" si="58"/>
        <v>6.583951289566676E-4</v>
      </c>
      <c r="E1902" s="53">
        <v>5.0103978702505112E-3</v>
      </c>
      <c r="G1902" s="90">
        <v>1894</v>
      </c>
      <c r="H1902" s="90">
        <f t="shared" ca="1" si="59"/>
        <v>2.3180142705328241E-2</v>
      </c>
    </row>
    <row r="1903" spans="2:8" x14ac:dyDescent="0.3">
      <c r="B1903" s="58">
        <f>'DATA HISTORICAL'!$B2548</f>
        <v>43110</v>
      </c>
      <c r="C1903" s="60">
        <f>'DATA HISTORICAL'!$C2548</f>
        <v>4403.2</v>
      </c>
      <c r="D1903" s="53">
        <f t="shared" si="58"/>
        <v>-5.3567208683911955E-3</v>
      </c>
      <c r="E1903" s="53">
        <v>5.0073879991203371E-3</v>
      </c>
      <c r="G1903" s="90">
        <v>1895</v>
      </c>
      <c r="H1903" s="90">
        <f t="shared" ca="1" si="59"/>
        <v>-2.7199912563202573E-3</v>
      </c>
    </row>
    <row r="1904" spans="2:8" x14ac:dyDescent="0.3">
      <c r="B1904" s="58">
        <f>'DATA HISTORICAL'!$B2549</f>
        <v>43109</v>
      </c>
      <c r="C1904" s="60">
        <f>'DATA HISTORICAL'!$C2549</f>
        <v>4426.8500000000004</v>
      </c>
      <c r="D1904" s="53">
        <f t="shared" si="58"/>
        <v>3.5019741324786692E-4</v>
      </c>
      <c r="E1904" s="53">
        <v>5.0047617926449401E-3</v>
      </c>
      <c r="G1904" s="90">
        <v>1896</v>
      </c>
      <c r="H1904" s="90">
        <f t="shared" ca="1" si="59"/>
        <v>-2.3220748220939306E-3</v>
      </c>
    </row>
    <row r="1905" spans="2:8" x14ac:dyDescent="0.3">
      <c r="B1905" s="58">
        <f>'DATA HISTORICAL'!$B2550</f>
        <v>43108</v>
      </c>
      <c r="C1905" s="60">
        <f>'DATA HISTORICAL'!$C2550</f>
        <v>4425.3</v>
      </c>
      <c r="D1905" s="53">
        <f t="shared" si="58"/>
        <v>6.6885331709397623E-3</v>
      </c>
      <c r="E1905" s="53">
        <v>5.0037334481825534E-3</v>
      </c>
      <c r="G1905" s="90">
        <v>1897</v>
      </c>
      <c r="H1905" s="90">
        <f t="shared" ca="1" si="59"/>
        <v>2.2487360310623775E-2</v>
      </c>
    </row>
    <row r="1906" spans="2:8" x14ac:dyDescent="0.3">
      <c r="B1906" s="58">
        <f>'DATA HISTORICAL'!$B2551</f>
        <v>43105</v>
      </c>
      <c r="C1906" s="60">
        <f>'DATA HISTORICAL'!$C2551</f>
        <v>4395.8</v>
      </c>
      <c r="D1906" s="53">
        <f t="shared" si="58"/>
        <v>1.1508712705658635E-2</v>
      </c>
      <c r="E1906" s="53">
        <v>4.9979508130105158E-3</v>
      </c>
      <c r="G1906" s="90">
        <v>1898</v>
      </c>
      <c r="H1906" s="90">
        <f t="shared" ca="1" si="59"/>
        <v>-2.2860317594144596E-2</v>
      </c>
    </row>
    <row r="1907" spans="2:8" x14ac:dyDescent="0.3">
      <c r="B1907" s="58">
        <f>'DATA HISTORICAL'!$B2552</f>
        <v>43104</v>
      </c>
      <c r="C1907" s="60">
        <f>'DATA HISTORICAL'!$C2552</f>
        <v>4345.5</v>
      </c>
      <c r="D1907" s="53">
        <f t="shared" si="58"/>
        <v>1.0072418618543478E-2</v>
      </c>
      <c r="E1907" s="53">
        <v>4.9917394283774588E-3</v>
      </c>
      <c r="G1907" s="90">
        <v>1899</v>
      </c>
      <c r="H1907" s="90">
        <f t="shared" ca="1" si="59"/>
        <v>-3.9926825367750862E-3</v>
      </c>
    </row>
    <row r="1908" spans="2:8" x14ac:dyDescent="0.3">
      <c r="B1908" s="58">
        <f>'DATA HISTORICAL'!$B2553</f>
        <v>43103</v>
      </c>
      <c r="C1908" s="60">
        <f>'DATA HISTORICAL'!$C2553</f>
        <v>4301.95</v>
      </c>
      <c r="D1908" s="53">
        <f t="shared" si="58"/>
        <v>1.1608395253096364E-2</v>
      </c>
      <c r="E1908" s="53">
        <v>4.988812852203141E-3</v>
      </c>
      <c r="G1908" s="90">
        <v>1900</v>
      </c>
      <c r="H1908" s="90">
        <f t="shared" ca="1" si="59"/>
        <v>2.4137333783226564E-2</v>
      </c>
    </row>
    <row r="1909" spans="2:8" x14ac:dyDescent="0.3">
      <c r="B1909" s="58">
        <f>'DATA HISTORICAL'!$B2554</f>
        <v>43102</v>
      </c>
      <c r="C1909" s="60">
        <f>'DATA HISTORICAL'!$C2554</f>
        <v>4252.3</v>
      </c>
      <c r="D1909" s="53">
        <f t="shared" si="58"/>
        <v>-8.814870668974222E-4</v>
      </c>
      <c r="E1909" s="53">
        <v>4.9856807644109748E-3</v>
      </c>
      <c r="G1909" s="90">
        <v>1901</v>
      </c>
      <c r="H1909" s="90">
        <f t="shared" ca="1" si="59"/>
        <v>3.0199055112484264E-2</v>
      </c>
    </row>
    <row r="1910" spans="2:8" x14ac:dyDescent="0.3">
      <c r="B1910" s="58">
        <f>'DATA HISTORICAL'!$B2555</f>
        <v>43101</v>
      </c>
      <c r="C1910" s="60">
        <f>'DATA HISTORICAL'!$C2555</f>
        <v>4256.05</v>
      </c>
      <c r="D1910" s="53">
        <f t="shared" si="58"/>
        <v>-1.5052781410103737E-2</v>
      </c>
      <c r="E1910" s="53">
        <v>4.9806285324116876E-3</v>
      </c>
      <c r="G1910" s="90">
        <v>1902</v>
      </c>
      <c r="H1910" s="90">
        <f t="shared" ca="1" si="59"/>
        <v>-1.3267842074160853E-2</v>
      </c>
    </row>
    <row r="1911" spans="2:8" x14ac:dyDescent="0.3">
      <c r="B1911" s="58">
        <f>'DATA HISTORICAL'!$B2556</f>
        <v>43098</v>
      </c>
      <c r="C1911" s="60">
        <f>'DATA HISTORICAL'!$C2556</f>
        <v>4320.6000000000004</v>
      </c>
      <c r="D1911" s="53">
        <f t="shared" si="58"/>
        <v>1.0271055334434941E-2</v>
      </c>
      <c r="E1911" s="53">
        <v>4.9499170484979173E-3</v>
      </c>
      <c r="G1911" s="90">
        <v>1903</v>
      </c>
      <c r="H1911" s="90">
        <f t="shared" ca="1" si="59"/>
        <v>3.7476105348210192E-2</v>
      </c>
    </row>
    <row r="1912" spans="2:8" x14ac:dyDescent="0.3">
      <c r="B1912" s="58">
        <f>'DATA HISTORICAL'!$B2557</f>
        <v>43097</v>
      </c>
      <c r="C1912" s="60">
        <f>'DATA HISTORICAL'!$C2557</f>
        <v>4276.45</v>
      </c>
      <c r="D1912" s="53">
        <f t="shared" si="58"/>
        <v>-2.922558077418092E-4</v>
      </c>
      <c r="E1912" s="53">
        <v>4.9446416994130661E-3</v>
      </c>
      <c r="G1912" s="90">
        <v>1904</v>
      </c>
      <c r="H1912" s="90">
        <f t="shared" ca="1" si="59"/>
        <v>-4.6286517434618859E-3</v>
      </c>
    </row>
    <row r="1913" spans="2:8" x14ac:dyDescent="0.3">
      <c r="B1913" s="58">
        <f>'DATA HISTORICAL'!$B2558</f>
        <v>43096</v>
      </c>
      <c r="C1913" s="60">
        <f>'DATA HISTORICAL'!$C2558</f>
        <v>4277.7</v>
      </c>
      <c r="D1913" s="53">
        <f t="shared" si="58"/>
        <v>-1.4539508047911652E-2</v>
      </c>
      <c r="E1913" s="53">
        <v>4.9433542068128122E-3</v>
      </c>
      <c r="G1913" s="90">
        <v>1905</v>
      </c>
      <c r="H1913" s="90">
        <f t="shared" ca="1" si="59"/>
        <v>7.6254135650844716E-4</v>
      </c>
    </row>
    <row r="1914" spans="2:8" x14ac:dyDescent="0.3">
      <c r="B1914" s="58">
        <f>'DATA HISTORICAL'!$B2559</f>
        <v>43095</v>
      </c>
      <c r="C1914" s="60">
        <f>'DATA HISTORICAL'!$C2559</f>
        <v>4340.3500000000004</v>
      </c>
      <c r="D1914" s="53">
        <f t="shared" si="58"/>
        <v>1.1924700217172686E-2</v>
      </c>
      <c r="E1914" s="53">
        <v>4.9295874475209257E-3</v>
      </c>
      <c r="G1914" s="90">
        <v>1906</v>
      </c>
      <c r="H1914" s="90">
        <f t="shared" ca="1" si="59"/>
        <v>8.7029156030569987E-3</v>
      </c>
    </row>
    <row r="1915" spans="2:8" x14ac:dyDescent="0.3">
      <c r="B1915" s="58">
        <f>'DATA HISTORICAL'!$B2560</f>
        <v>43091</v>
      </c>
      <c r="C1915" s="60">
        <f>'DATA HISTORICAL'!$C2560</f>
        <v>4288.8999999999996</v>
      </c>
      <c r="D1915" s="53">
        <f t="shared" si="58"/>
        <v>-1.017215454256248E-2</v>
      </c>
      <c r="E1915" s="53">
        <v>4.9228398294998924E-3</v>
      </c>
      <c r="G1915" s="90">
        <v>1907</v>
      </c>
      <c r="H1915" s="90">
        <f t="shared" ca="1" si="59"/>
        <v>5.4611797919111539E-3</v>
      </c>
    </row>
    <row r="1916" spans="2:8" x14ac:dyDescent="0.3">
      <c r="B1916" s="58">
        <f>'DATA HISTORICAL'!$B2561</f>
        <v>43090</v>
      </c>
      <c r="C1916" s="60">
        <f>'DATA HISTORICAL'!$C2561</f>
        <v>4332.75</v>
      </c>
      <c r="D1916" s="53">
        <f t="shared" si="58"/>
        <v>-8.0776842477232346E-5</v>
      </c>
      <c r="E1916" s="53">
        <v>4.9061484431331655E-3</v>
      </c>
      <c r="G1916" s="90">
        <v>1908</v>
      </c>
      <c r="H1916" s="90">
        <f t="shared" ca="1" si="59"/>
        <v>5.637179831878344E-3</v>
      </c>
    </row>
    <row r="1917" spans="2:8" x14ac:dyDescent="0.3">
      <c r="B1917" s="58">
        <f>'DATA HISTORICAL'!$B2562</f>
        <v>43089</v>
      </c>
      <c r="C1917" s="60">
        <f>'DATA HISTORICAL'!$C2562</f>
        <v>4333.1000000000004</v>
      </c>
      <c r="D1917" s="53">
        <f t="shared" si="58"/>
        <v>-6.3035084950784515E-3</v>
      </c>
      <c r="E1917" s="53">
        <v>4.8955889251265806E-3</v>
      </c>
      <c r="G1917" s="90">
        <v>1909</v>
      </c>
      <c r="H1917" s="90">
        <f t="shared" ca="1" si="59"/>
        <v>2.3663879339171669E-2</v>
      </c>
    </row>
    <row r="1918" spans="2:8" x14ac:dyDescent="0.3">
      <c r="B1918" s="58">
        <f>'DATA HISTORICAL'!$B2563</f>
        <v>43088</v>
      </c>
      <c r="C1918" s="60">
        <f>'DATA HISTORICAL'!$C2563</f>
        <v>4360.5</v>
      </c>
      <c r="D1918" s="53">
        <f t="shared" si="58"/>
        <v>1.1672027694562581E-2</v>
      </c>
      <c r="E1918" s="53">
        <v>4.8936462126065536E-3</v>
      </c>
      <c r="G1918" s="90">
        <v>1910</v>
      </c>
      <c r="H1918" s="90">
        <f t="shared" ca="1" si="59"/>
        <v>-1.2986519359199363E-2</v>
      </c>
    </row>
    <row r="1919" spans="2:8" x14ac:dyDescent="0.3">
      <c r="B1919" s="58">
        <f>'DATA HISTORICAL'!$B2564</f>
        <v>43087</v>
      </c>
      <c r="C1919" s="60">
        <f>'DATA HISTORICAL'!$C2564</f>
        <v>4309.8999999999996</v>
      </c>
      <c r="D1919" s="53">
        <f t="shared" si="58"/>
        <v>-4.4074835142910503E-4</v>
      </c>
      <c r="E1919" s="53">
        <v>4.8846048990311879E-3</v>
      </c>
      <c r="G1919" s="90">
        <v>1911</v>
      </c>
      <c r="H1919" s="90">
        <f t="shared" ca="1" si="59"/>
        <v>1.5149469171514645E-2</v>
      </c>
    </row>
    <row r="1920" spans="2:8" x14ac:dyDescent="0.3">
      <c r="B1920" s="58">
        <f>'DATA HISTORICAL'!$B2565</f>
        <v>43084</v>
      </c>
      <c r="C1920" s="60">
        <f>'DATA HISTORICAL'!$C2565</f>
        <v>4311.8</v>
      </c>
      <c r="D1920" s="53">
        <f t="shared" si="58"/>
        <v>1.0163257644036326E-2</v>
      </c>
      <c r="E1920" s="53">
        <v>4.8788180025795711E-3</v>
      </c>
      <c r="G1920" s="90">
        <v>1912</v>
      </c>
      <c r="H1920" s="90">
        <f t="shared" ca="1" si="59"/>
        <v>3.5651573614076629E-2</v>
      </c>
    </row>
    <row r="1921" spans="2:8" x14ac:dyDescent="0.3">
      <c r="B1921" s="58">
        <f>'DATA HISTORICAL'!$B2566</f>
        <v>43083</v>
      </c>
      <c r="C1921" s="60">
        <f>'DATA HISTORICAL'!$C2566</f>
        <v>4268.2</v>
      </c>
      <c r="D1921" s="53">
        <f t="shared" si="58"/>
        <v>-1.439851347080443E-3</v>
      </c>
      <c r="E1921" s="53">
        <v>4.8532779254543959E-3</v>
      </c>
      <c r="G1921" s="90">
        <v>1913</v>
      </c>
      <c r="H1921" s="90">
        <f t="shared" ca="1" si="59"/>
        <v>-1.1645845633065713E-4</v>
      </c>
    </row>
    <row r="1922" spans="2:8" x14ac:dyDescent="0.3">
      <c r="B1922" s="58">
        <f>'DATA HISTORICAL'!$B2567</f>
        <v>43082</v>
      </c>
      <c r="C1922" s="60">
        <f>'DATA HISTORICAL'!$C2567</f>
        <v>4274.3500000000004</v>
      </c>
      <c r="D1922" s="53">
        <f t="shared" si="58"/>
        <v>1.2204674344995758E-2</v>
      </c>
      <c r="E1922" s="53">
        <v>4.8489668191749177E-3</v>
      </c>
      <c r="G1922" s="90">
        <v>1914</v>
      </c>
      <c r="H1922" s="90">
        <f t="shared" ca="1" si="59"/>
        <v>-2.0932788097195046E-3</v>
      </c>
    </row>
    <row r="1923" spans="2:8" x14ac:dyDescent="0.3">
      <c r="B1923" s="58">
        <f>'DATA HISTORICAL'!$B2568</f>
        <v>43081</v>
      </c>
      <c r="C1923" s="60">
        <f>'DATA HISTORICAL'!$C2568</f>
        <v>4222.5</v>
      </c>
      <c r="D1923" s="53">
        <f t="shared" si="58"/>
        <v>-4.2656081126603556E-3</v>
      </c>
      <c r="E1923" s="53">
        <v>4.845950530604607E-3</v>
      </c>
      <c r="G1923" s="90">
        <v>1915</v>
      </c>
      <c r="H1923" s="90">
        <f t="shared" ca="1" si="59"/>
        <v>2.8094801615373106E-2</v>
      </c>
    </row>
    <row r="1924" spans="2:8" x14ac:dyDescent="0.3">
      <c r="B1924" s="58">
        <f>'DATA HISTORICAL'!$B2569</f>
        <v>43080</v>
      </c>
      <c r="C1924" s="60">
        <f>'DATA HISTORICAL'!$C2569</f>
        <v>4240.55</v>
      </c>
      <c r="D1924" s="53">
        <f t="shared" si="58"/>
        <v>1.7844658090750205E-2</v>
      </c>
      <c r="E1924" s="53">
        <v>4.8084721595591804E-3</v>
      </c>
      <c r="G1924" s="90">
        <v>1916</v>
      </c>
      <c r="H1924" s="90">
        <f t="shared" ca="1" si="59"/>
        <v>5.4454663401087349E-3</v>
      </c>
    </row>
    <row r="1925" spans="2:8" x14ac:dyDescent="0.3">
      <c r="B1925" s="58">
        <f>'DATA HISTORICAL'!$B2570</f>
        <v>43077</v>
      </c>
      <c r="C1925" s="60">
        <f>'DATA HISTORICAL'!$C2570</f>
        <v>4165.55</v>
      </c>
      <c r="D1925" s="53">
        <f t="shared" si="58"/>
        <v>2.0298002702049171E-2</v>
      </c>
      <c r="E1925" s="53">
        <v>4.8057567058617341E-3</v>
      </c>
      <c r="G1925" s="90">
        <v>1917</v>
      </c>
      <c r="H1925" s="90">
        <f t="shared" ca="1" si="59"/>
        <v>-2.5392184704788592E-3</v>
      </c>
    </row>
    <row r="1926" spans="2:8" x14ac:dyDescent="0.3">
      <c r="B1926" s="58">
        <f>'DATA HISTORICAL'!$B2571</f>
        <v>43076</v>
      </c>
      <c r="C1926" s="60">
        <f>'DATA HISTORICAL'!$C2571</f>
        <v>4081.85</v>
      </c>
      <c r="D1926" s="53">
        <f t="shared" si="58"/>
        <v>1.0949396579488856E-2</v>
      </c>
      <c r="E1926" s="53">
        <v>4.8049883640434565E-3</v>
      </c>
      <c r="G1926" s="90">
        <v>1918</v>
      </c>
      <c r="H1926" s="90">
        <f t="shared" ca="1" si="59"/>
        <v>3.5462614094730789E-2</v>
      </c>
    </row>
    <row r="1927" spans="2:8" x14ac:dyDescent="0.3">
      <c r="B1927" s="58">
        <f>'DATA HISTORICAL'!$B2572</f>
        <v>43075</v>
      </c>
      <c r="C1927" s="60">
        <f>'DATA HISTORICAL'!$C2572</f>
        <v>4037.4</v>
      </c>
      <c r="D1927" s="53">
        <f t="shared" si="58"/>
        <v>-1.7408397197274873E-2</v>
      </c>
      <c r="E1927" s="53">
        <v>4.7718351182794005E-3</v>
      </c>
      <c r="G1927" s="90">
        <v>1919</v>
      </c>
      <c r="H1927" s="90">
        <f t="shared" ca="1" si="59"/>
        <v>7.0587219000651583E-3</v>
      </c>
    </row>
    <row r="1928" spans="2:8" x14ac:dyDescent="0.3">
      <c r="B1928" s="58">
        <f>'DATA HISTORICAL'!$B2573</f>
        <v>43074</v>
      </c>
      <c r="C1928" s="60">
        <f>'DATA HISTORICAL'!$C2573</f>
        <v>4108.3</v>
      </c>
      <c r="D1928" s="53">
        <f t="shared" si="58"/>
        <v>-4.25876246801369E-4</v>
      </c>
      <c r="E1928" s="53">
        <v>4.769241616386804E-3</v>
      </c>
      <c r="G1928" s="90">
        <v>1920</v>
      </c>
      <c r="H1928" s="90">
        <f t="shared" ca="1" si="59"/>
        <v>-1.1286738936874086E-2</v>
      </c>
    </row>
    <row r="1929" spans="2:8" x14ac:dyDescent="0.3">
      <c r="B1929" s="58">
        <f>'DATA HISTORICAL'!$B2574</f>
        <v>43073</v>
      </c>
      <c r="C1929" s="60">
        <f>'DATA HISTORICAL'!$C2574</f>
        <v>4110.05</v>
      </c>
      <c r="D1929" s="53">
        <f t="shared" ref="D1929:D1992" si="60">LN(C1929/C1930)</f>
        <v>-1.8059562554498802E-2</v>
      </c>
      <c r="E1929" s="53">
        <v>4.7583429135023758E-3</v>
      </c>
      <c r="G1929" s="90">
        <v>1921</v>
      </c>
      <c r="H1929" s="90">
        <f t="shared" ref="H1929:H1992" ca="1" si="61">_xlfn.NORM.INV(RAND(),N$10,N$11)</f>
        <v>3.6163361829532496E-2</v>
      </c>
    </row>
    <row r="1930" spans="2:8" x14ac:dyDescent="0.3">
      <c r="B1930" s="58">
        <f>'DATA HISTORICAL'!$B2575</f>
        <v>43070</v>
      </c>
      <c r="C1930" s="60">
        <f>'DATA HISTORICAL'!$C2575</f>
        <v>4184.95</v>
      </c>
      <c r="D1930" s="53">
        <f t="shared" si="60"/>
        <v>-4.4941217049773831E-3</v>
      </c>
      <c r="E1930" s="53">
        <v>4.7500241555134548E-3</v>
      </c>
      <c r="G1930" s="90">
        <v>1922</v>
      </c>
      <c r="H1930" s="90">
        <f t="shared" ca="1" si="61"/>
        <v>1.520447959772327E-2</v>
      </c>
    </row>
    <row r="1931" spans="2:8" x14ac:dyDescent="0.3">
      <c r="B1931" s="58">
        <f>'DATA HISTORICAL'!$B2576</f>
        <v>43069</v>
      </c>
      <c r="C1931" s="60">
        <f>'DATA HISTORICAL'!$C2576</f>
        <v>4203.8</v>
      </c>
      <c r="D1931" s="53">
        <f t="shared" si="60"/>
        <v>-1.9773241686310672E-2</v>
      </c>
      <c r="E1931" s="53">
        <v>4.7485268315666405E-3</v>
      </c>
      <c r="G1931" s="90">
        <v>1923</v>
      </c>
      <c r="H1931" s="90">
        <f t="shared" ca="1" si="61"/>
        <v>-2.0083571847343145E-2</v>
      </c>
    </row>
    <row r="1932" spans="2:8" x14ac:dyDescent="0.3">
      <c r="B1932" s="58">
        <f>'DATA HISTORICAL'!$B2577</f>
        <v>43068</v>
      </c>
      <c r="C1932" s="60">
        <f>'DATA HISTORICAL'!$C2577</f>
        <v>4287.75</v>
      </c>
      <c r="D1932" s="53">
        <f t="shared" si="60"/>
        <v>2.7675132830955098E-3</v>
      </c>
      <c r="E1932" s="53">
        <v>4.7146171146167509E-3</v>
      </c>
      <c r="G1932" s="90">
        <v>1924</v>
      </c>
      <c r="H1932" s="90">
        <f t="shared" ca="1" si="61"/>
        <v>-2.20546786336983E-2</v>
      </c>
    </row>
    <row r="1933" spans="2:8" x14ac:dyDescent="0.3">
      <c r="B1933" s="58">
        <f>'DATA HISTORICAL'!$B2578</f>
        <v>43067</v>
      </c>
      <c r="C1933" s="60">
        <f>'DATA HISTORICAL'!$C2578</f>
        <v>4275.8999999999996</v>
      </c>
      <c r="D1933" s="53">
        <f t="shared" si="60"/>
        <v>9.1250488906420427E-4</v>
      </c>
      <c r="E1933" s="53">
        <v>4.7065831845535169E-3</v>
      </c>
      <c r="G1933" s="90">
        <v>1925</v>
      </c>
      <c r="H1933" s="90">
        <f t="shared" ca="1" si="61"/>
        <v>7.6429793597843953E-3</v>
      </c>
    </row>
    <row r="1934" spans="2:8" x14ac:dyDescent="0.3">
      <c r="B1934" s="58">
        <f>'DATA HISTORICAL'!$B2579</f>
        <v>43066</v>
      </c>
      <c r="C1934" s="60">
        <f>'DATA HISTORICAL'!$C2579</f>
        <v>4272</v>
      </c>
      <c r="D1934" s="53">
        <f t="shared" si="60"/>
        <v>7.2122756337740009E-3</v>
      </c>
      <c r="E1934" s="53">
        <v>4.6920667896818919E-3</v>
      </c>
      <c r="G1934" s="90">
        <v>1926</v>
      </c>
      <c r="H1934" s="90">
        <f t="shared" ca="1" si="61"/>
        <v>-7.222087058463343E-3</v>
      </c>
    </row>
    <row r="1935" spans="2:8" x14ac:dyDescent="0.3">
      <c r="B1935" s="58">
        <f>'DATA HISTORICAL'!$B2580</f>
        <v>43063</v>
      </c>
      <c r="C1935" s="60">
        <f>'DATA HISTORICAL'!$C2580</f>
        <v>4241.3</v>
      </c>
      <c r="D1935" s="53">
        <f t="shared" si="60"/>
        <v>1.3327280431094006E-2</v>
      </c>
      <c r="E1935" s="53">
        <v>4.6863665457834731E-3</v>
      </c>
      <c r="G1935" s="90">
        <v>1927</v>
      </c>
      <c r="H1935" s="90">
        <f t="shared" ca="1" si="61"/>
        <v>-8.8721348334723851E-5</v>
      </c>
    </row>
    <row r="1936" spans="2:8" x14ac:dyDescent="0.3">
      <c r="B1936" s="58">
        <f>'DATA HISTORICAL'!$B2581</f>
        <v>43062</v>
      </c>
      <c r="C1936" s="60">
        <f>'DATA HISTORICAL'!$C2581</f>
        <v>4185.1499999999996</v>
      </c>
      <c r="D1936" s="53">
        <f t="shared" si="60"/>
        <v>-1.0754005642149678E-2</v>
      </c>
      <c r="E1936" s="53">
        <v>4.6761190969465084E-3</v>
      </c>
      <c r="G1936" s="90">
        <v>1928</v>
      </c>
      <c r="H1936" s="90">
        <f t="shared" ca="1" si="61"/>
        <v>1.3117969246949007E-2</v>
      </c>
    </row>
    <row r="1937" spans="2:8" x14ac:dyDescent="0.3">
      <c r="B1937" s="58">
        <f>'DATA HISTORICAL'!$B2582</f>
        <v>43061</v>
      </c>
      <c r="C1937" s="60">
        <f>'DATA HISTORICAL'!$C2582</f>
        <v>4230.3999999999996</v>
      </c>
      <c r="D1937" s="53">
        <f t="shared" si="60"/>
        <v>1.5964503083754165E-2</v>
      </c>
      <c r="E1937" s="53">
        <v>4.6570856882123604E-3</v>
      </c>
      <c r="G1937" s="90">
        <v>1929</v>
      </c>
      <c r="H1937" s="90">
        <f t="shared" ca="1" si="61"/>
        <v>2.2819298923655872E-2</v>
      </c>
    </row>
    <row r="1938" spans="2:8" x14ac:dyDescent="0.3">
      <c r="B1938" s="58">
        <f>'DATA HISTORICAL'!$B2583</f>
        <v>43060</v>
      </c>
      <c r="C1938" s="60">
        <f>'DATA HISTORICAL'!$C2583</f>
        <v>4163.3999999999996</v>
      </c>
      <c r="D1938" s="53">
        <f t="shared" si="60"/>
        <v>-4.2901548179697267E-3</v>
      </c>
      <c r="E1938" s="53">
        <v>4.6546087527332353E-3</v>
      </c>
      <c r="G1938" s="90">
        <v>1930</v>
      </c>
      <c r="H1938" s="90">
        <f t="shared" ca="1" si="61"/>
        <v>-3.4470433148080489E-3</v>
      </c>
    </row>
    <row r="1939" spans="2:8" x14ac:dyDescent="0.3">
      <c r="B1939" s="58">
        <f>'DATA HISTORICAL'!$B2584</f>
        <v>43059</v>
      </c>
      <c r="C1939" s="60">
        <f>'DATA HISTORICAL'!$C2584</f>
        <v>4181.3</v>
      </c>
      <c r="D1939" s="53">
        <f t="shared" si="60"/>
        <v>-2.0300519002363099E-2</v>
      </c>
      <c r="E1939" s="53">
        <v>4.6540950639203313E-3</v>
      </c>
      <c r="G1939" s="90">
        <v>1931</v>
      </c>
      <c r="H1939" s="90">
        <f t="shared" ca="1" si="61"/>
        <v>9.5087935586560361E-3</v>
      </c>
    </row>
    <row r="1940" spans="2:8" x14ac:dyDescent="0.3">
      <c r="B1940" s="58">
        <f>'DATA HISTORICAL'!$B2585</f>
        <v>43056</v>
      </c>
      <c r="C1940" s="60">
        <f>'DATA HISTORICAL'!$C2585</f>
        <v>4267.05</v>
      </c>
      <c r="D1940" s="53">
        <f t="shared" si="60"/>
        <v>-1.4168371778196548E-3</v>
      </c>
      <c r="E1940" s="53">
        <v>4.6503571567894789E-3</v>
      </c>
      <c r="G1940" s="90">
        <v>1932</v>
      </c>
      <c r="H1940" s="90">
        <f t="shared" ca="1" si="61"/>
        <v>-3.5875499108981102E-3</v>
      </c>
    </row>
    <row r="1941" spans="2:8" x14ac:dyDescent="0.3">
      <c r="B1941" s="58">
        <f>'DATA HISTORICAL'!$B2586</f>
        <v>43055</v>
      </c>
      <c r="C1941" s="60">
        <f>'DATA HISTORICAL'!$C2586</f>
        <v>4273.1000000000004</v>
      </c>
      <c r="D1941" s="53">
        <f t="shared" si="60"/>
        <v>-7.8323904448999136E-3</v>
      </c>
      <c r="E1941" s="53">
        <v>4.6434215250207873E-3</v>
      </c>
      <c r="G1941" s="90">
        <v>1933</v>
      </c>
      <c r="H1941" s="90">
        <f t="shared" ca="1" si="61"/>
        <v>3.4937368131231689E-2</v>
      </c>
    </row>
    <row r="1942" spans="2:8" x14ac:dyDescent="0.3">
      <c r="B1942" s="58">
        <f>'DATA HISTORICAL'!$B2587</f>
        <v>43054</v>
      </c>
      <c r="C1942" s="60">
        <f>'DATA HISTORICAL'!$C2587</f>
        <v>4306.7</v>
      </c>
      <c r="D1942" s="53">
        <f t="shared" si="60"/>
        <v>-1.2621157142034205E-2</v>
      </c>
      <c r="E1942" s="53">
        <v>4.6288871624147899E-3</v>
      </c>
      <c r="G1942" s="90">
        <v>1934</v>
      </c>
      <c r="H1942" s="90">
        <f t="shared" ca="1" si="61"/>
        <v>-4.4957747310241228E-2</v>
      </c>
    </row>
    <row r="1943" spans="2:8" x14ac:dyDescent="0.3">
      <c r="B1943" s="58">
        <f>'DATA HISTORICAL'!$B2588</f>
        <v>43053</v>
      </c>
      <c r="C1943" s="60">
        <f>'DATA HISTORICAL'!$C2588</f>
        <v>4361.3999999999996</v>
      </c>
      <c r="D1943" s="53">
        <f t="shared" si="60"/>
        <v>2.927654630422914E-3</v>
      </c>
      <c r="E1943" s="53">
        <v>4.623815765614713E-3</v>
      </c>
      <c r="G1943" s="90">
        <v>1935</v>
      </c>
      <c r="H1943" s="90">
        <f t="shared" ca="1" si="61"/>
        <v>3.8245865566317268E-2</v>
      </c>
    </row>
    <row r="1944" spans="2:8" x14ac:dyDescent="0.3">
      <c r="B1944" s="58">
        <f>'DATA HISTORICAL'!$B2589</f>
        <v>43052</v>
      </c>
      <c r="C1944" s="60">
        <f>'DATA HISTORICAL'!$C2589</f>
        <v>4348.6499999999996</v>
      </c>
      <c r="D1944" s="53">
        <f t="shared" si="60"/>
        <v>-2.3229637067695957E-2</v>
      </c>
      <c r="E1944" s="53">
        <v>4.6181558174206178E-3</v>
      </c>
      <c r="G1944" s="90">
        <v>1936</v>
      </c>
      <c r="H1944" s="90">
        <f t="shared" ca="1" si="61"/>
        <v>2.1037178063608424E-2</v>
      </c>
    </row>
    <row r="1945" spans="2:8" x14ac:dyDescent="0.3">
      <c r="B1945" s="58">
        <f>'DATA HISTORICAL'!$B2590</f>
        <v>43049</v>
      </c>
      <c r="C1945" s="60">
        <f>'DATA HISTORICAL'!$C2590</f>
        <v>4450.8500000000004</v>
      </c>
      <c r="D1945" s="53">
        <f t="shared" si="60"/>
        <v>1.9854978217674558E-2</v>
      </c>
      <c r="E1945" s="53">
        <v>4.6147439173747093E-3</v>
      </c>
      <c r="G1945" s="90">
        <v>1937</v>
      </c>
      <c r="H1945" s="90">
        <f t="shared" ca="1" si="61"/>
        <v>7.347248257475892E-4</v>
      </c>
    </row>
    <row r="1946" spans="2:8" x14ac:dyDescent="0.3">
      <c r="B1946" s="58">
        <f>'DATA HISTORICAL'!$B2591</f>
        <v>43048</v>
      </c>
      <c r="C1946" s="60">
        <f>'DATA HISTORICAL'!$C2591</f>
        <v>4363.3500000000004</v>
      </c>
      <c r="D1946" s="53">
        <f t="shared" si="60"/>
        <v>-1.6601884978090402E-3</v>
      </c>
      <c r="E1946" s="53">
        <v>4.6142993686501153E-3</v>
      </c>
      <c r="G1946" s="90">
        <v>1938</v>
      </c>
      <c r="H1946" s="90">
        <f t="shared" ca="1" si="61"/>
        <v>-3.2547505278199612E-3</v>
      </c>
    </row>
    <row r="1947" spans="2:8" x14ac:dyDescent="0.3">
      <c r="B1947" s="58">
        <f>'DATA HISTORICAL'!$B2592</f>
        <v>43047</v>
      </c>
      <c r="C1947" s="60">
        <f>'DATA HISTORICAL'!$C2592</f>
        <v>4370.6000000000004</v>
      </c>
      <c r="D1947" s="53">
        <f t="shared" si="60"/>
        <v>-6.5187186736625352E-4</v>
      </c>
      <c r="E1947" s="53">
        <v>4.5931244440195482E-3</v>
      </c>
      <c r="G1947" s="90">
        <v>1939</v>
      </c>
      <c r="H1947" s="90">
        <f t="shared" ca="1" si="61"/>
        <v>-3.2785439899973227E-2</v>
      </c>
    </row>
    <row r="1948" spans="2:8" x14ac:dyDescent="0.3">
      <c r="B1948" s="58">
        <f>'DATA HISTORICAL'!$B2593</f>
        <v>43046</v>
      </c>
      <c r="C1948" s="60">
        <f>'DATA HISTORICAL'!$C2593</f>
        <v>4373.45</v>
      </c>
      <c r="D1948" s="53">
        <f t="shared" si="60"/>
        <v>-1.2339383033323282E-2</v>
      </c>
      <c r="E1948" s="53">
        <v>4.5842230069313627E-3</v>
      </c>
      <c r="G1948" s="90">
        <v>1940</v>
      </c>
      <c r="H1948" s="90">
        <f t="shared" ca="1" si="61"/>
        <v>3.3905112023387307E-2</v>
      </c>
    </row>
    <row r="1949" spans="2:8" x14ac:dyDescent="0.3">
      <c r="B1949" s="58">
        <f>'DATA HISTORICAL'!$B2594</f>
        <v>43045</v>
      </c>
      <c r="C1949" s="60">
        <f>'DATA HISTORICAL'!$C2594</f>
        <v>4427.75</v>
      </c>
      <c r="D1949" s="53">
        <f t="shared" si="60"/>
        <v>1.1962177663389988E-2</v>
      </c>
      <c r="E1949" s="53">
        <v>4.577960350669279E-3</v>
      </c>
      <c r="G1949" s="90">
        <v>1941</v>
      </c>
      <c r="H1949" s="90">
        <f t="shared" ca="1" si="61"/>
        <v>1.7053638611028772E-2</v>
      </c>
    </row>
    <row r="1950" spans="2:8" x14ac:dyDescent="0.3">
      <c r="B1950" s="58">
        <f>'DATA HISTORICAL'!$B2595</f>
        <v>43042</v>
      </c>
      <c r="C1950" s="60">
        <f>'DATA HISTORICAL'!$C2595</f>
        <v>4375.1000000000004</v>
      </c>
      <c r="D1950" s="53">
        <f t="shared" si="60"/>
        <v>-5.4819637528082093E-3</v>
      </c>
      <c r="E1950" s="53">
        <v>4.5760872830702872E-3</v>
      </c>
      <c r="G1950" s="90">
        <v>1942</v>
      </c>
      <c r="H1950" s="90">
        <f t="shared" ca="1" si="61"/>
        <v>-3.5225112716945955E-3</v>
      </c>
    </row>
    <row r="1951" spans="2:8" x14ac:dyDescent="0.3">
      <c r="B1951" s="58">
        <f>'DATA HISTORICAL'!$B2596</f>
        <v>43041</v>
      </c>
      <c r="C1951" s="60">
        <f>'DATA HISTORICAL'!$C2596</f>
        <v>4399.1499999999996</v>
      </c>
      <c r="D1951" s="53">
        <f t="shared" si="60"/>
        <v>-6.1526801801506563E-3</v>
      </c>
      <c r="E1951" s="53">
        <v>4.5549038317495918E-3</v>
      </c>
      <c r="G1951" s="90">
        <v>1943</v>
      </c>
      <c r="H1951" s="90">
        <f t="shared" ca="1" si="61"/>
        <v>-2.5281659952093666E-2</v>
      </c>
    </row>
    <row r="1952" spans="2:8" x14ac:dyDescent="0.3">
      <c r="B1952" s="58">
        <f>'DATA HISTORICAL'!$B2597</f>
        <v>43040</v>
      </c>
      <c r="C1952" s="60">
        <f>'DATA HISTORICAL'!$C2597</f>
        <v>4426.3</v>
      </c>
      <c r="D1952" s="53">
        <f t="shared" si="60"/>
        <v>5.7208718054492852E-3</v>
      </c>
      <c r="E1952" s="53">
        <v>4.5509350339263495E-3</v>
      </c>
      <c r="G1952" s="90">
        <v>1944</v>
      </c>
      <c r="H1952" s="90">
        <f t="shared" ca="1" si="61"/>
        <v>-3.7730157643235777E-2</v>
      </c>
    </row>
    <row r="1953" spans="2:8" x14ac:dyDescent="0.3">
      <c r="B1953" s="58">
        <f>'DATA HISTORICAL'!$B2598</f>
        <v>43039</v>
      </c>
      <c r="C1953" s="60">
        <f>'DATA HISTORICAL'!$C2598</f>
        <v>4401.05</v>
      </c>
      <c r="D1953" s="53">
        <f t="shared" si="60"/>
        <v>-1.6048488870463916E-2</v>
      </c>
      <c r="E1953" s="53">
        <v>4.5244465430328623E-3</v>
      </c>
      <c r="G1953" s="90">
        <v>1945</v>
      </c>
      <c r="H1953" s="90">
        <f t="shared" ca="1" si="61"/>
        <v>1.1205770457216265E-2</v>
      </c>
    </row>
    <row r="1954" spans="2:8" x14ac:dyDescent="0.3">
      <c r="B1954" s="58">
        <f>'DATA HISTORICAL'!$B2599</f>
        <v>43038</v>
      </c>
      <c r="C1954" s="60">
        <f>'DATA HISTORICAL'!$C2599</f>
        <v>4472.25</v>
      </c>
      <c r="D1954" s="53">
        <f t="shared" si="60"/>
        <v>7.2710455995231788E-3</v>
      </c>
      <c r="E1954" s="53">
        <v>4.5020539888580959E-3</v>
      </c>
      <c r="G1954" s="90">
        <v>1946</v>
      </c>
      <c r="H1954" s="90">
        <f t="shared" ca="1" si="61"/>
        <v>-2.2950466731025923E-2</v>
      </c>
    </row>
    <row r="1955" spans="2:8" x14ac:dyDescent="0.3">
      <c r="B1955" s="58">
        <f>'DATA HISTORICAL'!$B2600</f>
        <v>43035</v>
      </c>
      <c r="C1955" s="60">
        <f>'DATA HISTORICAL'!$C2600</f>
        <v>4439.8500000000004</v>
      </c>
      <c r="D1955" s="53">
        <f t="shared" si="60"/>
        <v>-9.8726113550629373E-3</v>
      </c>
      <c r="E1955" s="53">
        <v>4.5016957353723984E-3</v>
      </c>
      <c r="G1955" s="90">
        <v>1947</v>
      </c>
      <c r="H1955" s="90">
        <f t="shared" ca="1" si="61"/>
        <v>9.403149431718924E-3</v>
      </c>
    </row>
    <row r="1956" spans="2:8" x14ac:dyDescent="0.3">
      <c r="B1956" s="58">
        <f>'DATA HISTORICAL'!$B2601</f>
        <v>43034</v>
      </c>
      <c r="C1956" s="60">
        <f>'DATA HISTORICAL'!$C2601</f>
        <v>4483.8999999999996</v>
      </c>
      <c r="D1956" s="53">
        <f t="shared" si="60"/>
        <v>5.2883851720521681E-3</v>
      </c>
      <c r="E1956" s="53">
        <v>4.4953791724611876E-3</v>
      </c>
      <c r="G1956" s="90">
        <v>1948</v>
      </c>
      <c r="H1956" s="90">
        <f t="shared" ca="1" si="61"/>
        <v>2.3721004840959497E-2</v>
      </c>
    </row>
    <row r="1957" spans="2:8" x14ac:dyDescent="0.3">
      <c r="B1957" s="58">
        <f>'DATA HISTORICAL'!$B2602</f>
        <v>43033</v>
      </c>
      <c r="C1957" s="60">
        <f>'DATA HISTORICAL'!$C2602</f>
        <v>4460.25</v>
      </c>
      <c r="D1957" s="53">
        <f t="shared" si="60"/>
        <v>5.3688639527590704E-2</v>
      </c>
      <c r="E1957" s="53">
        <v>4.4630959423215145E-3</v>
      </c>
      <c r="G1957" s="90">
        <v>1949</v>
      </c>
      <c r="H1957" s="90">
        <f t="shared" ca="1" si="61"/>
        <v>-3.7526659930005098E-2</v>
      </c>
    </row>
    <row r="1958" spans="2:8" x14ac:dyDescent="0.3">
      <c r="B1958" s="58">
        <f>'DATA HISTORICAL'!$B2603</f>
        <v>43032</v>
      </c>
      <c r="C1958" s="60">
        <f>'DATA HISTORICAL'!$C2603</f>
        <v>4227.1000000000004</v>
      </c>
      <c r="D1958" s="53">
        <f t="shared" si="60"/>
        <v>5.229994784445486E-3</v>
      </c>
      <c r="E1958" s="53">
        <v>4.4619217763293964E-3</v>
      </c>
      <c r="G1958" s="90">
        <v>1950</v>
      </c>
      <c r="H1958" s="90">
        <f t="shared" ca="1" si="61"/>
        <v>1.7534106931163185E-2</v>
      </c>
    </row>
    <row r="1959" spans="2:8" x14ac:dyDescent="0.3">
      <c r="B1959" s="58">
        <f>'DATA HISTORICAL'!$B2604</f>
        <v>43031</v>
      </c>
      <c r="C1959" s="60">
        <f>'DATA HISTORICAL'!$C2604</f>
        <v>4205.05</v>
      </c>
      <c r="D1959" s="53">
        <f t="shared" si="60"/>
        <v>4.1440985673677364E-2</v>
      </c>
      <c r="E1959" s="53">
        <v>4.4426127643376846E-3</v>
      </c>
      <c r="G1959" s="90">
        <v>1951</v>
      </c>
      <c r="H1959" s="90">
        <f t="shared" ca="1" si="61"/>
        <v>1.9617280504041948E-2</v>
      </c>
    </row>
    <row r="1960" spans="2:8" x14ac:dyDescent="0.3">
      <c r="B1960" s="58">
        <f>'DATA HISTORICAL'!$B2605</f>
        <v>43027</v>
      </c>
      <c r="C1960" s="60">
        <f>'DATA HISTORICAL'!$C2605</f>
        <v>4034.35</v>
      </c>
      <c r="D1960" s="53">
        <f t="shared" si="60"/>
        <v>-1.4237524463359439E-2</v>
      </c>
      <c r="E1960" s="53">
        <v>4.4424267159395014E-3</v>
      </c>
      <c r="G1960" s="90">
        <v>1952</v>
      </c>
      <c r="H1960" s="90">
        <f t="shared" ca="1" si="61"/>
        <v>1.1409990560566682E-2</v>
      </c>
    </row>
    <row r="1961" spans="2:8" x14ac:dyDescent="0.3">
      <c r="B1961" s="58">
        <f>'DATA HISTORICAL'!$B2606</f>
        <v>43026</v>
      </c>
      <c r="C1961" s="60">
        <f>'DATA HISTORICAL'!$C2606</f>
        <v>4092.2</v>
      </c>
      <c r="D1961" s="53">
        <f t="shared" si="60"/>
        <v>6.8446272350494448E-4</v>
      </c>
      <c r="E1961" s="53">
        <v>4.4420587242789958E-3</v>
      </c>
      <c r="G1961" s="90">
        <v>1953</v>
      </c>
      <c r="H1961" s="90">
        <f t="shared" ca="1" si="61"/>
        <v>3.5411002159197125E-2</v>
      </c>
    </row>
    <row r="1962" spans="2:8" x14ac:dyDescent="0.3">
      <c r="B1962" s="58">
        <f>'DATA HISTORICAL'!$B2607</f>
        <v>43025</v>
      </c>
      <c r="C1962" s="60">
        <f>'DATA HISTORICAL'!$C2607</f>
        <v>4089.4</v>
      </c>
      <c r="D1962" s="53">
        <f t="shared" si="60"/>
        <v>2.1041962960548596E-2</v>
      </c>
      <c r="E1962" s="53">
        <v>4.4180030511519327E-3</v>
      </c>
      <c r="G1962" s="90">
        <v>1954</v>
      </c>
      <c r="H1962" s="90">
        <f t="shared" ca="1" si="61"/>
        <v>-2.9289514658872176E-3</v>
      </c>
    </row>
    <row r="1963" spans="2:8" x14ac:dyDescent="0.3">
      <c r="B1963" s="58">
        <f>'DATA HISTORICAL'!$B2608</f>
        <v>43024</v>
      </c>
      <c r="C1963" s="60">
        <f>'DATA HISTORICAL'!$C2608</f>
        <v>4004.25</v>
      </c>
      <c r="D1963" s="53">
        <f t="shared" si="60"/>
        <v>-1.8728345405428739E-4</v>
      </c>
      <c r="E1963" s="53">
        <v>4.3976519041811117E-3</v>
      </c>
      <c r="G1963" s="90">
        <v>1955</v>
      </c>
      <c r="H1963" s="90">
        <f t="shared" ca="1" si="61"/>
        <v>1.0845337099364862E-2</v>
      </c>
    </row>
    <row r="1964" spans="2:8" x14ac:dyDescent="0.3">
      <c r="B1964" s="58">
        <f>'DATA HISTORICAL'!$B2609</f>
        <v>43021</v>
      </c>
      <c r="C1964" s="60">
        <f>'DATA HISTORICAL'!$C2609</f>
        <v>4005</v>
      </c>
      <c r="D1964" s="53">
        <f t="shared" si="60"/>
        <v>2.1502948427699887E-2</v>
      </c>
      <c r="E1964" s="53">
        <v>4.3904436162033938E-3</v>
      </c>
      <c r="G1964" s="90">
        <v>1956</v>
      </c>
      <c r="H1964" s="90">
        <f t="shared" ca="1" si="61"/>
        <v>-3.4495452315202223E-3</v>
      </c>
    </row>
    <row r="1965" spans="2:8" x14ac:dyDescent="0.3">
      <c r="B1965" s="58">
        <f>'DATA HISTORICAL'!$B2610</f>
        <v>43020</v>
      </c>
      <c r="C1965" s="60">
        <f>'DATA HISTORICAL'!$C2610</f>
        <v>3919.8</v>
      </c>
      <c r="D1965" s="53">
        <f t="shared" si="60"/>
        <v>-7.9786981516553699E-3</v>
      </c>
      <c r="E1965" s="53">
        <v>4.388846852155774E-3</v>
      </c>
      <c r="G1965" s="90">
        <v>1957</v>
      </c>
      <c r="H1965" s="90">
        <f t="shared" ca="1" si="61"/>
        <v>-4.3780071772055807E-3</v>
      </c>
    </row>
    <row r="1966" spans="2:8" x14ac:dyDescent="0.3">
      <c r="B1966" s="58">
        <f>'DATA HISTORICAL'!$B2611</f>
        <v>43019</v>
      </c>
      <c r="C1966" s="60">
        <f>'DATA HISTORICAL'!$C2611</f>
        <v>3951.2</v>
      </c>
      <c r="D1966" s="53">
        <f t="shared" si="60"/>
        <v>-4.9482554891517681E-3</v>
      </c>
      <c r="E1966" s="53">
        <v>4.3808742393874091E-3</v>
      </c>
      <c r="G1966" s="90">
        <v>1958</v>
      </c>
      <c r="H1966" s="90">
        <f t="shared" ca="1" si="61"/>
        <v>-1.7966576016134512E-2</v>
      </c>
    </row>
    <row r="1967" spans="2:8" x14ac:dyDescent="0.3">
      <c r="B1967" s="58">
        <f>'DATA HISTORICAL'!$B2612</f>
        <v>43018</v>
      </c>
      <c r="C1967" s="60">
        <f>'DATA HISTORICAL'!$C2612</f>
        <v>3970.8</v>
      </c>
      <c r="D1967" s="53">
        <f t="shared" si="60"/>
        <v>3.392976395087165E-3</v>
      </c>
      <c r="E1967" s="53">
        <v>4.3653311541986739E-3</v>
      </c>
      <c r="G1967" s="90">
        <v>1959</v>
      </c>
      <c r="H1967" s="90">
        <f t="shared" ca="1" si="61"/>
        <v>1.913117880165904E-2</v>
      </c>
    </row>
    <row r="1968" spans="2:8" x14ac:dyDescent="0.3">
      <c r="B1968" s="58">
        <f>'DATA HISTORICAL'!$B2613</f>
        <v>43017</v>
      </c>
      <c r="C1968" s="60">
        <f>'DATA HISTORICAL'!$C2613</f>
        <v>3957.35</v>
      </c>
      <c r="D1968" s="53">
        <f t="shared" si="60"/>
        <v>6.706202041830393E-3</v>
      </c>
      <c r="E1968" s="53">
        <v>4.3548047553861585E-3</v>
      </c>
      <c r="G1968" s="90">
        <v>1960</v>
      </c>
      <c r="H1968" s="90">
        <f t="shared" ca="1" si="61"/>
        <v>3.3462743057332276E-3</v>
      </c>
    </row>
    <row r="1969" spans="2:8" x14ac:dyDescent="0.3">
      <c r="B1969" s="58">
        <f>'DATA HISTORICAL'!$B2614</f>
        <v>43014</v>
      </c>
      <c r="C1969" s="60">
        <f>'DATA HISTORICAL'!$C2614</f>
        <v>3930.9</v>
      </c>
      <c r="D1969" s="53">
        <f t="shared" si="60"/>
        <v>9.3287834854411528E-3</v>
      </c>
      <c r="E1969" s="53">
        <v>4.3464613275769415E-3</v>
      </c>
      <c r="G1969" s="90">
        <v>1961</v>
      </c>
      <c r="H1969" s="90">
        <f t="shared" ca="1" si="61"/>
        <v>1.7455837485557575E-2</v>
      </c>
    </row>
    <row r="1970" spans="2:8" x14ac:dyDescent="0.3">
      <c r="B1970" s="58">
        <f>'DATA HISTORICAL'!$B2615</f>
        <v>43013</v>
      </c>
      <c r="C1970" s="60">
        <f>'DATA HISTORICAL'!$C2615</f>
        <v>3894.4</v>
      </c>
      <c r="D1970" s="53">
        <f t="shared" si="60"/>
        <v>5.6393305021842748E-3</v>
      </c>
      <c r="E1970" s="53">
        <v>4.3388434689025637E-3</v>
      </c>
      <c r="G1970" s="90">
        <v>1962</v>
      </c>
      <c r="H1970" s="90">
        <f t="shared" ca="1" si="61"/>
        <v>-6.0246778866195061E-4</v>
      </c>
    </row>
    <row r="1971" spans="2:8" x14ac:dyDescent="0.3">
      <c r="B1971" s="58">
        <f>'DATA HISTORICAL'!$B2616</f>
        <v>43012</v>
      </c>
      <c r="C1971" s="60">
        <f>'DATA HISTORICAL'!$C2616</f>
        <v>3872.5</v>
      </c>
      <c r="D1971" s="53">
        <f t="shared" si="60"/>
        <v>-5.7933860138249006E-3</v>
      </c>
      <c r="E1971" s="53">
        <v>4.3377784510989148E-3</v>
      </c>
      <c r="G1971" s="90">
        <v>1963</v>
      </c>
      <c r="H1971" s="90">
        <f t="shared" ca="1" si="61"/>
        <v>1.1468111171305573E-2</v>
      </c>
    </row>
    <row r="1972" spans="2:8" x14ac:dyDescent="0.3">
      <c r="B1972" s="58">
        <f>'DATA HISTORICAL'!$B2617</f>
        <v>43011</v>
      </c>
      <c r="C1972" s="60">
        <f>'DATA HISTORICAL'!$C2617</f>
        <v>3895</v>
      </c>
      <c r="D1972" s="53">
        <f t="shared" si="60"/>
        <v>1.0530216541028462E-2</v>
      </c>
      <c r="E1972" s="53">
        <v>4.3343078400652239E-3</v>
      </c>
      <c r="G1972" s="90">
        <v>1964</v>
      </c>
      <c r="H1972" s="90">
        <f t="shared" ca="1" si="61"/>
        <v>-1.2591326445088178E-2</v>
      </c>
    </row>
    <row r="1973" spans="2:8" x14ac:dyDescent="0.3">
      <c r="B1973" s="58">
        <f>'DATA HISTORICAL'!$B2618</f>
        <v>43007</v>
      </c>
      <c r="C1973" s="60">
        <f>'DATA HISTORICAL'!$C2618</f>
        <v>3854.2</v>
      </c>
      <c r="D1973" s="53">
        <f t="shared" si="60"/>
        <v>-3.7550705144871041E-3</v>
      </c>
      <c r="E1973" s="53">
        <v>4.3279099342573369E-3</v>
      </c>
      <c r="G1973" s="90">
        <v>1965</v>
      </c>
      <c r="H1973" s="90">
        <f t="shared" ca="1" si="61"/>
        <v>-7.0307046865188761E-3</v>
      </c>
    </row>
    <row r="1974" spans="2:8" x14ac:dyDescent="0.3">
      <c r="B1974" s="58">
        <f>'DATA HISTORICAL'!$B2619</f>
        <v>43006</v>
      </c>
      <c r="C1974" s="60">
        <f>'DATA HISTORICAL'!$C2619</f>
        <v>3868.7</v>
      </c>
      <c r="D1974" s="53">
        <f t="shared" si="60"/>
        <v>1.8312281335030964E-2</v>
      </c>
      <c r="E1974" s="53">
        <v>4.327874184472516E-3</v>
      </c>
      <c r="G1974" s="90">
        <v>1966</v>
      </c>
      <c r="H1974" s="90">
        <f t="shared" ca="1" si="61"/>
        <v>5.0307494838724848E-3</v>
      </c>
    </row>
    <row r="1975" spans="2:8" x14ac:dyDescent="0.3">
      <c r="B1975" s="58">
        <f>'DATA HISTORICAL'!$B2620</f>
        <v>43005</v>
      </c>
      <c r="C1975" s="60">
        <f>'DATA HISTORICAL'!$C2620</f>
        <v>3798.5</v>
      </c>
      <c r="D1975" s="53">
        <f t="shared" si="60"/>
        <v>-3.0119673740659662E-2</v>
      </c>
      <c r="E1975" s="53">
        <v>4.3230383735496595E-3</v>
      </c>
      <c r="G1975" s="90">
        <v>1967</v>
      </c>
      <c r="H1975" s="90">
        <f t="shared" ca="1" si="61"/>
        <v>1.6705720255166066E-2</v>
      </c>
    </row>
    <row r="1976" spans="2:8" x14ac:dyDescent="0.3">
      <c r="B1976" s="58">
        <f>'DATA HISTORICAL'!$B2621</f>
        <v>43004</v>
      </c>
      <c r="C1976" s="60">
        <f>'DATA HISTORICAL'!$C2621</f>
        <v>3914.65</v>
      </c>
      <c r="D1976" s="53">
        <f t="shared" si="60"/>
        <v>3.2879405807747374E-3</v>
      </c>
      <c r="E1976" s="53">
        <v>4.3222123959690472E-3</v>
      </c>
      <c r="G1976" s="90">
        <v>1968</v>
      </c>
      <c r="H1976" s="90">
        <f t="shared" ca="1" si="61"/>
        <v>2.1129897733985829E-2</v>
      </c>
    </row>
    <row r="1977" spans="2:8" x14ac:dyDescent="0.3">
      <c r="B1977" s="58">
        <f>'DATA HISTORICAL'!$B2622</f>
        <v>43003</v>
      </c>
      <c r="C1977" s="60">
        <f>'DATA HISTORICAL'!$C2622</f>
        <v>3901.8</v>
      </c>
      <c r="D1977" s="53">
        <f t="shared" si="60"/>
        <v>-2.475637099853311E-2</v>
      </c>
      <c r="E1977" s="53">
        <v>4.3196611445163796E-3</v>
      </c>
      <c r="G1977" s="90">
        <v>1969</v>
      </c>
      <c r="H1977" s="90">
        <f t="shared" ca="1" si="61"/>
        <v>2.5148169823295437E-3</v>
      </c>
    </row>
    <row r="1978" spans="2:8" x14ac:dyDescent="0.3">
      <c r="B1978" s="58">
        <f>'DATA HISTORICAL'!$B2623</f>
        <v>43000</v>
      </c>
      <c r="C1978" s="60">
        <f>'DATA HISTORICAL'!$C2623</f>
        <v>3999.6</v>
      </c>
      <c r="D1978" s="53">
        <f t="shared" si="60"/>
        <v>-4.0773988567507795E-2</v>
      </c>
      <c r="E1978" s="53">
        <v>4.3145113763846353E-3</v>
      </c>
      <c r="G1978" s="90">
        <v>1970</v>
      </c>
      <c r="H1978" s="90">
        <f t="shared" ca="1" si="61"/>
        <v>1.7668466335218486E-3</v>
      </c>
    </row>
    <row r="1979" spans="2:8" x14ac:dyDescent="0.3">
      <c r="B1979" s="58">
        <f>'DATA HISTORICAL'!$B2624</f>
        <v>42999</v>
      </c>
      <c r="C1979" s="60">
        <f>'DATA HISTORICAL'!$C2624</f>
        <v>4166.05</v>
      </c>
      <c r="D1979" s="53">
        <f t="shared" si="60"/>
        <v>-1.0411164159362616E-2</v>
      </c>
      <c r="E1979" s="53">
        <v>4.3089228087650677E-3</v>
      </c>
      <c r="G1979" s="90">
        <v>1971</v>
      </c>
      <c r="H1979" s="90">
        <f t="shared" ca="1" si="61"/>
        <v>2.0615866746729512E-2</v>
      </c>
    </row>
    <row r="1980" spans="2:8" x14ac:dyDescent="0.3">
      <c r="B1980" s="58">
        <f>'DATA HISTORICAL'!$B2625</f>
        <v>42998</v>
      </c>
      <c r="C1980" s="60">
        <f>'DATA HISTORICAL'!$C2625</f>
        <v>4209.6499999999996</v>
      </c>
      <c r="D1980" s="53">
        <f t="shared" si="60"/>
        <v>6.0639820790169873E-3</v>
      </c>
      <c r="E1980" s="53">
        <v>4.3081506510646711E-3</v>
      </c>
      <c r="G1980" s="90">
        <v>1972</v>
      </c>
      <c r="H1980" s="90">
        <f t="shared" ca="1" si="61"/>
        <v>-9.48554684186588E-3</v>
      </c>
    </row>
    <row r="1981" spans="2:8" x14ac:dyDescent="0.3">
      <c r="B1981" s="58">
        <f>'DATA HISTORICAL'!$B2626</f>
        <v>42997</v>
      </c>
      <c r="C1981" s="60">
        <f>'DATA HISTORICAL'!$C2626</f>
        <v>4184.2</v>
      </c>
      <c r="D1981" s="53">
        <f t="shared" si="60"/>
        <v>-5.9570791171091597E-3</v>
      </c>
      <c r="E1981" s="53">
        <v>4.3076695146738253E-3</v>
      </c>
      <c r="G1981" s="90">
        <v>1973</v>
      </c>
      <c r="H1981" s="90">
        <f t="shared" ca="1" si="61"/>
        <v>3.451748580787067E-3</v>
      </c>
    </row>
    <row r="1982" spans="2:8" x14ac:dyDescent="0.3">
      <c r="B1982" s="58">
        <f>'DATA HISTORICAL'!$B2627</f>
        <v>42996</v>
      </c>
      <c r="C1982" s="60">
        <f>'DATA HISTORICAL'!$C2627</f>
        <v>4209.2</v>
      </c>
      <c r="D1982" s="53">
        <f t="shared" si="60"/>
        <v>-4.1566956056540157E-4</v>
      </c>
      <c r="E1982" s="53">
        <v>4.2978777369371826E-3</v>
      </c>
      <c r="G1982" s="90">
        <v>1974</v>
      </c>
      <c r="H1982" s="90">
        <f t="shared" ca="1" si="61"/>
        <v>-2.2442414063345153E-2</v>
      </c>
    </row>
    <row r="1983" spans="2:8" x14ac:dyDescent="0.3">
      <c r="B1983" s="58">
        <f>'DATA HISTORICAL'!$B2628</f>
        <v>42993</v>
      </c>
      <c r="C1983" s="60">
        <f>'DATA HISTORICAL'!$C2628</f>
        <v>4210.95</v>
      </c>
      <c r="D1983" s="53">
        <f t="shared" si="60"/>
        <v>-8.1895712173937502E-4</v>
      </c>
      <c r="E1983" s="53">
        <v>4.2943050684717968E-3</v>
      </c>
      <c r="G1983" s="90">
        <v>1975</v>
      </c>
      <c r="H1983" s="90">
        <f t="shared" ca="1" si="61"/>
        <v>2.0545318993272207E-2</v>
      </c>
    </row>
    <row r="1984" spans="2:8" x14ac:dyDescent="0.3">
      <c r="B1984" s="58">
        <f>'DATA HISTORICAL'!$B2629</f>
        <v>42992</v>
      </c>
      <c r="C1984" s="60">
        <f>'DATA HISTORICAL'!$C2629</f>
        <v>4214.3999999999996</v>
      </c>
      <c r="D1984" s="53">
        <f t="shared" si="60"/>
        <v>7.0363715616431162E-3</v>
      </c>
      <c r="E1984" s="53">
        <v>4.293910983381187E-3</v>
      </c>
      <c r="G1984" s="90">
        <v>1976</v>
      </c>
      <c r="H1984" s="90">
        <f t="shared" ca="1" si="61"/>
        <v>1.3188294458745862E-2</v>
      </c>
    </row>
    <row r="1985" spans="2:8" x14ac:dyDescent="0.3">
      <c r="B1985" s="58">
        <f>'DATA HISTORICAL'!$B2630</f>
        <v>42991</v>
      </c>
      <c r="C1985" s="60">
        <f>'DATA HISTORICAL'!$C2630</f>
        <v>4184.8500000000004</v>
      </c>
      <c r="D1985" s="53">
        <f t="shared" si="60"/>
        <v>-8.4235069941794218E-3</v>
      </c>
      <c r="E1985" s="53">
        <v>4.2870556471318591E-3</v>
      </c>
      <c r="G1985" s="90">
        <v>1977</v>
      </c>
      <c r="H1985" s="90">
        <f t="shared" ca="1" si="61"/>
        <v>-1.3955845418395698E-2</v>
      </c>
    </row>
    <row r="1986" spans="2:8" x14ac:dyDescent="0.3">
      <c r="B1986" s="58">
        <f>'DATA HISTORICAL'!$B2631</f>
        <v>42990</v>
      </c>
      <c r="C1986" s="60">
        <f>'DATA HISTORICAL'!$C2631</f>
        <v>4220.25</v>
      </c>
      <c r="D1986" s="53">
        <f t="shared" si="60"/>
        <v>1.0875822669692057E-2</v>
      </c>
      <c r="E1986" s="53">
        <v>4.2845099063104231E-3</v>
      </c>
      <c r="G1986" s="90">
        <v>1978</v>
      </c>
      <c r="H1986" s="90">
        <f t="shared" ca="1" si="61"/>
        <v>1.5796517183150772E-2</v>
      </c>
    </row>
    <row r="1987" spans="2:8" x14ac:dyDescent="0.3">
      <c r="B1987" s="58">
        <f>'DATA HISTORICAL'!$B2632</f>
        <v>42989</v>
      </c>
      <c r="C1987" s="60">
        <f>'DATA HISTORICAL'!$C2632</f>
        <v>4174.6000000000004</v>
      </c>
      <c r="D1987" s="53">
        <f t="shared" si="60"/>
        <v>7.248455534443349E-3</v>
      </c>
      <c r="E1987" s="53">
        <v>4.28171097691809E-3</v>
      </c>
      <c r="G1987" s="90">
        <v>1979</v>
      </c>
      <c r="H1987" s="90">
        <f t="shared" ca="1" si="61"/>
        <v>-6.2247653429476331E-3</v>
      </c>
    </row>
    <row r="1988" spans="2:8" x14ac:dyDescent="0.3">
      <c r="B1988" s="58">
        <f>'DATA HISTORICAL'!$B2633</f>
        <v>42986</v>
      </c>
      <c r="C1988" s="60">
        <f>'DATA HISTORICAL'!$C2633</f>
        <v>4144.45</v>
      </c>
      <c r="D1988" s="53">
        <f t="shared" si="60"/>
        <v>6.8153881821234486E-3</v>
      </c>
      <c r="E1988" s="53">
        <v>4.2705946517631347E-3</v>
      </c>
      <c r="G1988" s="90">
        <v>1980</v>
      </c>
      <c r="H1988" s="90">
        <f t="shared" ca="1" si="61"/>
        <v>1.2496251576603713E-2</v>
      </c>
    </row>
    <row r="1989" spans="2:8" x14ac:dyDescent="0.3">
      <c r="B1989" s="58">
        <f>'DATA HISTORICAL'!$B2634</f>
        <v>42985</v>
      </c>
      <c r="C1989" s="60">
        <f>'DATA HISTORICAL'!$C2634</f>
        <v>4116.3</v>
      </c>
      <c r="D1989" s="53">
        <f t="shared" si="60"/>
        <v>-8.213871778946176E-3</v>
      </c>
      <c r="E1989" s="53">
        <v>4.2564659978825362E-3</v>
      </c>
      <c r="G1989" s="90">
        <v>1981</v>
      </c>
      <c r="H1989" s="90">
        <f t="shared" ca="1" si="61"/>
        <v>2.7812269524443503E-2</v>
      </c>
    </row>
    <row r="1990" spans="2:8" x14ac:dyDescent="0.3">
      <c r="B1990" s="58">
        <f>'DATA HISTORICAL'!$B2635</f>
        <v>42984</v>
      </c>
      <c r="C1990" s="60">
        <f>'DATA HISTORICAL'!$C2635</f>
        <v>4150.25</v>
      </c>
      <c r="D1990" s="53">
        <f t="shared" si="60"/>
        <v>1.270612746633795E-2</v>
      </c>
      <c r="E1990" s="53">
        <v>4.2281310083472114E-3</v>
      </c>
      <c r="G1990" s="90">
        <v>1982</v>
      </c>
      <c r="H1990" s="90">
        <f t="shared" ca="1" si="61"/>
        <v>9.591304253887243E-3</v>
      </c>
    </row>
    <row r="1991" spans="2:8" x14ac:dyDescent="0.3">
      <c r="B1991" s="58">
        <f>'DATA HISTORICAL'!$B2636</f>
        <v>42983</v>
      </c>
      <c r="C1991" s="60">
        <f>'DATA HISTORICAL'!$C2636</f>
        <v>4097.8500000000004</v>
      </c>
      <c r="D1991" s="53">
        <f t="shared" si="60"/>
        <v>2.4068089805486543E-2</v>
      </c>
      <c r="E1991" s="53">
        <v>4.2195546370898656E-3</v>
      </c>
      <c r="G1991" s="90">
        <v>1983</v>
      </c>
      <c r="H1991" s="90">
        <f t="shared" ca="1" si="61"/>
        <v>-1.4004994728363616E-3</v>
      </c>
    </row>
    <row r="1992" spans="2:8" x14ac:dyDescent="0.3">
      <c r="B1992" s="58">
        <f>'DATA HISTORICAL'!$B2637</f>
        <v>42982</v>
      </c>
      <c r="C1992" s="60">
        <f>'DATA HISTORICAL'!$C2637</f>
        <v>4000.4</v>
      </c>
      <c r="D1992" s="53">
        <f t="shared" si="60"/>
        <v>2.000000006667229E-4</v>
      </c>
      <c r="E1992" s="53">
        <v>4.2116182413543214E-3</v>
      </c>
      <c r="G1992" s="90">
        <v>1984</v>
      </c>
      <c r="H1992" s="90">
        <f t="shared" ca="1" si="61"/>
        <v>1.0663695454616321E-2</v>
      </c>
    </row>
    <row r="1993" spans="2:8" x14ac:dyDescent="0.3">
      <c r="B1993" s="58">
        <f>'DATA HISTORICAL'!$B2638</f>
        <v>42979</v>
      </c>
      <c r="C1993" s="60">
        <f>'DATA HISTORICAL'!$C2638</f>
        <v>3999.6</v>
      </c>
      <c r="D1993" s="53">
        <f t="shared" ref="D1993:D2056" si="62">LN(C1993/C1994)</f>
        <v>-2.0000000066669989E-4</v>
      </c>
      <c r="E1993" s="53">
        <v>4.2040357989062468E-3</v>
      </c>
      <c r="G1993" s="90">
        <v>1985</v>
      </c>
      <c r="H1993" s="90">
        <f t="shared" ref="H1993:H2056" ca="1" si="63">_xlfn.NORM.INV(RAND(),N$10,N$11)</f>
        <v>1.4982277304345884E-2</v>
      </c>
    </row>
    <row r="1994" spans="2:8" x14ac:dyDescent="0.3">
      <c r="B1994" s="58">
        <f>'DATA HISTORICAL'!$B2639</f>
        <v>42978</v>
      </c>
      <c r="C1994" s="60">
        <f>'DATA HISTORICAL'!$C2639</f>
        <v>4000.4</v>
      </c>
      <c r="D1994" s="53">
        <f t="shared" si="62"/>
        <v>-3.1571945935403235E-3</v>
      </c>
      <c r="E1994" s="53">
        <v>4.2025736053544586E-3</v>
      </c>
      <c r="G1994" s="90">
        <v>1986</v>
      </c>
      <c r="H1994" s="90">
        <f t="shared" ca="1" si="63"/>
        <v>1.7782036826644379E-3</v>
      </c>
    </row>
    <row r="1995" spans="2:8" x14ac:dyDescent="0.3">
      <c r="B1995" s="58">
        <f>'DATA HISTORICAL'!$B2640</f>
        <v>42977</v>
      </c>
      <c r="C1995" s="60">
        <f>'DATA HISTORICAL'!$C2640</f>
        <v>4013.05</v>
      </c>
      <c r="D1995" s="53">
        <f t="shared" si="62"/>
        <v>2.0505083003427009E-2</v>
      </c>
      <c r="E1995" s="53">
        <v>4.2024435984716205E-3</v>
      </c>
      <c r="G1995" s="90">
        <v>1987</v>
      </c>
      <c r="H1995" s="90">
        <f t="shared" ca="1" si="63"/>
        <v>3.6928703626866274E-2</v>
      </c>
    </row>
    <row r="1996" spans="2:8" x14ac:dyDescent="0.3">
      <c r="B1996" s="58">
        <f>'DATA HISTORICAL'!$B2641</f>
        <v>42976</v>
      </c>
      <c r="C1996" s="60">
        <f>'DATA HISTORICAL'!$C2641</f>
        <v>3931.6</v>
      </c>
      <c r="D1996" s="53">
        <f t="shared" si="62"/>
        <v>-1.3277521905658144E-2</v>
      </c>
      <c r="E1996" s="53">
        <v>4.1965021365006619E-3</v>
      </c>
      <c r="G1996" s="90">
        <v>1988</v>
      </c>
      <c r="H1996" s="90">
        <f t="shared" ca="1" si="63"/>
        <v>-2.2236422412458507E-2</v>
      </c>
    </row>
    <row r="1997" spans="2:8" x14ac:dyDescent="0.3">
      <c r="B1997" s="58">
        <f>'DATA HISTORICAL'!$B2642</f>
        <v>42975</v>
      </c>
      <c r="C1997" s="60">
        <f>'DATA HISTORICAL'!$C2642</f>
        <v>3984.15</v>
      </c>
      <c r="D1997" s="53">
        <f t="shared" si="62"/>
        <v>1.1232102739301617E-2</v>
      </c>
      <c r="E1997" s="53">
        <v>4.1964804592062302E-3</v>
      </c>
      <c r="G1997" s="90">
        <v>1989</v>
      </c>
      <c r="H1997" s="90">
        <f t="shared" ca="1" si="63"/>
        <v>3.2704633492401736E-3</v>
      </c>
    </row>
    <row r="1998" spans="2:8" x14ac:dyDescent="0.3">
      <c r="B1998" s="58">
        <f>'DATA HISTORICAL'!$B2643</f>
        <v>42971</v>
      </c>
      <c r="C1998" s="60">
        <f>'DATA HISTORICAL'!$C2643</f>
        <v>3939.65</v>
      </c>
      <c r="D1998" s="53">
        <f t="shared" si="62"/>
        <v>-3.0160201288962716E-3</v>
      </c>
      <c r="E1998" s="53">
        <v>4.1882102308234831E-3</v>
      </c>
      <c r="G1998" s="90">
        <v>1990</v>
      </c>
      <c r="H1998" s="90">
        <f t="shared" ca="1" si="63"/>
        <v>1.3930891528682467E-2</v>
      </c>
    </row>
    <row r="1999" spans="2:8" x14ac:dyDescent="0.3">
      <c r="B1999" s="58">
        <f>'DATA HISTORICAL'!$B2644</f>
        <v>42970</v>
      </c>
      <c r="C1999" s="60">
        <f>'DATA HISTORICAL'!$C2644</f>
        <v>3951.55</v>
      </c>
      <c r="D1999" s="53">
        <f t="shared" si="62"/>
        <v>-5.9797322047793243E-3</v>
      </c>
      <c r="E1999" s="53">
        <v>4.184740922115085E-3</v>
      </c>
      <c r="G1999" s="90">
        <v>1991</v>
      </c>
      <c r="H1999" s="90">
        <f t="shared" ca="1" si="63"/>
        <v>-6.3789098753142528E-3</v>
      </c>
    </row>
    <row r="2000" spans="2:8" x14ac:dyDescent="0.3">
      <c r="B2000" s="58">
        <f>'DATA HISTORICAL'!$B2645</f>
        <v>42969</v>
      </c>
      <c r="C2000" s="60">
        <f>'DATA HISTORICAL'!$C2645</f>
        <v>3975.25</v>
      </c>
      <c r="D2000" s="53">
        <f t="shared" si="62"/>
        <v>-8.1797741611350956E-3</v>
      </c>
      <c r="E2000" s="53">
        <v>4.1846214910337435E-3</v>
      </c>
      <c r="G2000" s="90">
        <v>1992</v>
      </c>
      <c r="H2000" s="90">
        <f t="shared" ca="1" si="63"/>
        <v>-1.6633625789642927E-2</v>
      </c>
    </row>
    <row r="2001" spans="2:8" x14ac:dyDescent="0.3">
      <c r="B2001" s="58">
        <f>'DATA HISTORICAL'!$B2646</f>
        <v>42968</v>
      </c>
      <c r="C2001" s="60">
        <f>'DATA HISTORICAL'!$C2646</f>
        <v>4007.9</v>
      </c>
      <c r="D2001" s="53">
        <f t="shared" si="62"/>
        <v>-1.6080280195313404E-3</v>
      </c>
      <c r="E2001" s="53">
        <v>4.1805945994515294E-3</v>
      </c>
      <c r="G2001" s="90">
        <v>1993</v>
      </c>
      <c r="H2001" s="90">
        <f t="shared" ca="1" si="63"/>
        <v>7.9511391695908564E-3</v>
      </c>
    </row>
    <row r="2002" spans="2:8" x14ac:dyDescent="0.3">
      <c r="B2002" s="58">
        <f>'DATA HISTORICAL'!$B2647</f>
        <v>42965</v>
      </c>
      <c r="C2002" s="60">
        <f>'DATA HISTORICAL'!$C2647</f>
        <v>4014.35</v>
      </c>
      <c r="D2002" s="53">
        <f t="shared" si="62"/>
        <v>2.0498374148155807E-2</v>
      </c>
      <c r="E2002" s="53">
        <v>4.1782481054513151E-3</v>
      </c>
      <c r="G2002" s="90">
        <v>1994</v>
      </c>
      <c r="H2002" s="90">
        <f t="shared" ca="1" si="63"/>
        <v>9.9431474667115924E-3</v>
      </c>
    </row>
    <row r="2003" spans="2:8" x14ac:dyDescent="0.3">
      <c r="B2003" s="58">
        <f>'DATA HISTORICAL'!$B2648</f>
        <v>42964</v>
      </c>
      <c r="C2003" s="60">
        <f>'DATA HISTORICAL'!$C2648</f>
        <v>3932.9</v>
      </c>
      <c r="D2003" s="53">
        <f t="shared" si="62"/>
        <v>-2.1335508842619229E-3</v>
      </c>
      <c r="E2003" s="53">
        <v>4.1761187049942569E-3</v>
      </c>
      <c r="G2003" s="90">
        <v>1995</v>
      </c>
      <c r="H2003" s="90">
        <f t="shared" ca="1" si="63"/>
        <v>-7.5622378036760288E-3</v>
      </c>
    </row>
    <row r="2004" spans="2:8" x14ac:dyDescent="0.3">
      <c r="B2004" s="58">
        <f>'DATA HISTORICAL'!$B2649</f>
        <v>42963</v>
      </c>
      <c r="C2004" s="60">
        <f>'DATA HISTORICAL'!$C2649</f>
        <v>3941.3</v>
      </c>
      <c r="D2004" s="53">
        <f t="shared" si="62"/>
        <v>-4.8596617950556276E-3</v>
      </c>
      <c r="E2004" s="53">
        <v>4.1736712492203244E-3</v>
      </c>
      <c r="G2004" s="90">
        <v>1996</v>
      </c>
      <c r="H2004" s="90">
        <f t="shared" ca="1" si="63"/>
        <v>4.1921403775329168E-3</v>
      </c>
    </row>
    <row r="2005" spans="2:8" x14ac:dyDescent="0.3">
      <c r="B2005" s="58">
        <f>'DATA HISTORICAL'!$B2650</f>
        <v>42961</v>
      </c>
      <c r="C2005" s="60">
        <f>'DATA HISTORICAL'!$C2650</f>
        <v>3960.5</v>
      </c>
      <c r="D2005" s="53">
        <f t="shared" si="62"/>
        <v>9.6283274057946296E-3</v>
      </c>
      <c r="E2005" s="53">
        <v>4.1600281861711537E-3</v>
      </c>
      <c r="G2005" s="90">
        <v>1997</v>
      </c>
      <c r="H2005" s="90">
        <f t="shared" ca="1" si="63"/>
        <v>1.1220723464488516E-2</v>
      </c>
    </row>
    <row r="2006" spans="2:8" x14ac:dyDescent="0.3">
      <c r="B2006" s="58">
        <f>'DATA HISTORICAL'!$B2651</f>
        <v>42958</v>
      </c>
      <c r="C2006" s="60">
        <f>'DATA HISTORICAL'!$C2651</f>
        <v>3922.55</v>
      </c>
      <c r="D2006" s="53">
        <f t="shared" si="62"/>
        <v>3.8185777197522822E-3</v>
      </c>
      <c r="E2006" s="53">
        <v>4.1278173677552947E-3</v>
      </c>
      <c r="G2006" s="90">
        <v>1998</v>
      </c>
      <c r="H2006" s="90">
        <f t="shared" ca="1" si="63"/>
        <v>1.578188055156159E-2</v>
      </c>
    </row>
    <row r="2007" spans="2:8" x14ac:dyDescent="0.3">
      <c r="B2007" s="58">
        <f>'DATA HISTORICAL'!$B2652</f>
        <v>42957</v>
      </c>
      <c r="C2007" s="60">
        <f>'DATA HISTORICAL'!$C2652</f>
        <v>3907.6</v>
      </c>
      <c r="D2007" s="53">
        <f t="shared" si="62"/>
        <v>-2.283334181833193E-2</v>
      </c>
      <c r="E2007" s="53">
        <v>4.124563380727515E-3</v>
      </c>
      <c r="G2007" s="90">
        <v>1999</v>
      </c>
      <c r="H2007" s="90">
        <f t="shared" ca="1" si="63"/>
        <v>1.2317358091729487E-2</v>
      </c>
    </row>
    <row r="2008" spans="2:8" x14ac:dyDescent="0.3">
      <c r="B2008" s="58">
        <f>'DATA HISTORICAL'!$B2653</f>
        <v>42956</v>
      </c>
      <c r="C2008" s="60">
        <f>'DATA HISTORICAL'!$C2653</f>
        <v>3997.85</v>
      </c>
      <c r="D2008" s="53">
        <f t="shared" si="62"/>
        <v>-1.4613118609454257E-2</v>
      </c>
      <c r="E2008" s="53">
        <v>4.1242913898797426E-3</v>
      </c>
      <c r="G2008" s="90">
        <v>2000</v>
      </c>
      <c r="H2008" s="90">
        <f t="shared" ca="1" si="63"/>
        <v>1.631340438611327E-2</v>
      </c>
    </row>
    <row r="2009" spans="2:8" x14ac:dyDescent="0.3">
      <c r="B2009" s="58">
        <f>'DATA HISTORICAL'!$B2654</f>
        <v>42955</v>
      </c>
      <c r="C2009" s="60">
        <f>'DATA HISTORICAL'!$C2654</f>
        <v>4056.7</v>
      </c>
      <c r="D2009" s="53">
        <f t="shared" si="62"/>
        <v>1.6652998612098297E-3</v>
      </c>
      <c r="E2009" s="53">
        <v>4.1098911409045069E-3</v>
      </c>
      <c r="G2009" s="90">
        <v>2001</v>
      </c>
      <c r="H2009" s="90">
        <f t="shared" ca="1" si="63"/>
        <v>-1.2015497414008949E-2</v>
      </c>
    </row>
    <row r="2010" spans="2:8" x14ac:dyDescent="0.3">
      <c r="B2010" s="58">
        <f>'DATA HISTORICAL'!$B2655</f>
        <v>42954</v>
      </c>
      <c r="C2010" s="60">
        <f>'DATA HISTORICAL'!$C2655</f>
        <v>4049.95</v>
      </c>
      <c r="D2010" s="53">
        <f t="shared" si="62"/>
        <v>-7.7232806762911879E-3</v>
      </c>
      <c r="E2010" s="53">
        <v>4.1074956247254017E-3</v>
      </c>
      <c r="G2010" s="90">
        <v>2002</v>
      </c>
      <c r="H2010" s="90">
        <f t="shared" ca="1" si="63"/>
        <v>4.0058879180380778E-2</v>
      </c>
    </row>
    <row r="2011" spans="2:8" x14ac:dyDescent="0.3">
      <c r="B2011" s="58">
        <f>'DATA HISTORICAL'!$B2656</f>
        <v>42951</v>
      </c>
      <c r="C2011" s="60">
        <f>'DATA HISTORICAL'!$C2656</f>
        <v>4081.35</v>
      </c>
      <c r="D2011" s="53">
        <f t="shared" si="62"/>
        <v>-7.4702265972777725E-4</v>
      </c>
      <c r="E2011" s="53">
        <v>4.0889777887445251E-3</v>
      </c>
      <c r="G2011" s="90">
        <v>2003</v>
      </c>
      <c r="H2011" s="90">
        <f t="shared" ca="1" si="63"/>
        <v>-1.3558022124736679E-2</v>
      </c>
    </row>
    <row r="2012" spans="2:8" x14ac:dyDescent="0.3">
      <c r="B2012" s="58">
        <f>'DATA HISTORICAL'!$B2657</f>
        <v>42950</v>
      </c>
      <c r="C2012" s="60">
        <f>'DATA HISTORICAL'!$C2657</f>
        <v>4084.4</v>
      </c>
      <c r="D2012" s="53">
        <f t="shared" si="62"/>
        <v>-7.4646503340710551E-4</v>
      </c>
      <c r="E2012" s="53">
        <v>4.0881794249052325E-3</v>
      </c>
      <c r="G2012" s="90">
        <v>2004</v>
      </c>
      <c r="H2012" s="90">
        <f t="shared" ca="1" si="63"/>
        <v>1.3727033277342237E-3</v>
      </c>
    </row>
    <row r="2013" spans="2:8" x14ac:dyDescent="0.3">
      <c r="B2013" s="58">
        <f>'DATA HISTORICAL'!$B2658</f>
        <v>42949</v>
      </c>
      <c r="C2013" s="60">
        <f>'DATA HISTORICAL'!$C2658</f>
        <v>4087.45</v>
      </c>
      <c r="D2013" s="53">
        <f t="shared" si="62"/>
        <v>4.8066993825132921E-3</v>
      </c>
      <c r="E2013" s="53">
        <v>4.0714609734301592E-3</v>
      </c>
      <c r="G2013" s="90">
        <v>2005</v>
      </c>
      <c r="H2013" s="90">
        <f t="shared" ca="1" si="63"/>
        <v>-9.9503784748974367E-3</v>
      </c>
    </row>
    <row r="2014" spans="2:8" x14ac:dyDescent="0.3">
      <c r="B2014" s="58">
        <f>'DATA HISTORICAL'!$B2659</f>
        <v>42948</v>
      </c>
      <c r="C2014" s="60">
        <f>'DATA HISTORICAL'!$C2659</f>
        <v>4067.85</v>
      </c>
      <c r="D2014" s="53">
        <f t="shared" si="62"/>
        <v>2.6954691848529522E-3</v>
      </c>
      <c r="E2014" s="53">
        <v>4.0692561338189085E-3</v>
      </c>
      <c r="G2014" s="90">
        <v>2006</v>
      </c>
      <c r="H2014" s="90">
        <f t="shared" ca="1" si="63"/>
        <v>-8.4255176967978664E-3</v>
      </c>
    </row>
    <row r="2015" spans="2:8" x14ac:dyDescent="0.3">
      <c r="B2015" s="58">
        <f>'DATA HISTORICAL'!$B2660</f>
        <v>42947</v>
      </c>
      <c r="C2015" s="60">
        <f>'DATA HISTORICAL'!$C2660</f>
        <v>4056.9</v>
      </c>
      <c r="D2015" s="53">
        <f t="shared" si="62"/>
        <v>8.0930018136772634E-3</v>
      </c>
      <c r="E2015" s="53">
        <v>4.0557353719185615E-3</v>
      </c>
      <c r="G2015" s="90">
        <v>2007</v>
      </c>
      <c r="H2015" s="90">
        <f t="shared" ca="1" si="63"/>
        <v>9.1145060733471318E-4</v>
      </c>
    </row>
    <row r="2016" spans="2:8" x14ac:dyDescent="0.3">
      <c r="B2016" s="58">
        <f>'DATA HISTORICAL'!$B2661</f>
        <v>42944</v>
      </c>
      <c r="C2016" s="60">
        <f>'DATA HISTORICAL'!$C2661</f>
        <v>4024.2</v>
      </c>
      <c r="D2016" s="53">
        <f t="shared" si="62"/>
        <v>-4.648490176383956E-3</v>
      </c>
      <c r="E2016" s="53">
        <v>4.0370218171755521E-3</v>
      </c>
      <c r="G2016" s="90">
        <v>2008</v>
      </c>
      <c r="H2016" s="90">
        <f t="shared" ca="1" si="63"/>
        <v>-5.8207914069657715E-3</v>
      </c>
    </row>
    <row r="2017" spans="2:8" x14ac:dyDescent="0.3">
      <c r="B2017" s="58">
        <f>'DATA HISTORICAL'!$B2662</f>
        <v>42943</v>
      </c>
      <c r="C2017" s="60">
        <f>'DATA HISTORICAL'!$C2662</f>
        <v>4042.95</v>
      </c>
      <c r="D2017" s="53">
        <f t="shared" si="62"/>
        <v>-7.7488730602643654E-3</v>
      </c>
      <c r="E2017" s="53">
        <v>4.0280141579076226E-3</v>
      </c>
      <c r="G2017" s="90">
        <v>2009</v>
      </c>
      <c r="H2017" s="90">
        <f t="shared" ca="1" si="63"/>
        <v>3.7795194828970807E-3</v>
      </c>
    </row>
    <row r="2018" spans="2:8" x14ac:dyDescent="0.3">
      <c r="B2018" s="58">
        <f>'DATA HISTORICAL'!$B2663</f>
        <v>42942</v>
      </c>
      <c r="C2018" s="60">
        <f>'DATA HISTORICAL'!$C2663</f>
        <v>4074.4</v>
      </c>
      <c r="D2018" s="53">
        <f t="shared" si="62"/>
        <v>-7.6527555301338854E-3</v>
      </c>
      <c r="E2018" s="53">
        <v>4.0262751991912687E-3</v>
      </c>
      <c r="G2018" s="90">
        <v>2010</v>
      </c>
      <c r="H2018" s="90">
        <f t="shared" ca="1" si="63"/>
        <v>-9.2406132664661113E-5</v>
      </c>
    </row>
    <row r="2019" spans="2:8" x14ac:dyDescent="0.3">
      <c r="B2019" s="58">
        <f>'DATA HISTORICAL'!$B2664</f>
        <v>42941</v>
      </c>
      <c r="C2019" s="60">
        <f>'DATA HISTORICAL'!$C2664</f>
        <v>4105.7</v>
      </c>
      <c r="D2019" s="53">
        <f t="shared" si="62"/>
        <v>-2.2112857851167112E-2</v>
      </c>
      <c r="E2019" s="53">
        <v>4.0244973398118177E-3</v>
      </c>
      <c r="G2019" s="90">
        <v>2011</v>
      </c>
      <c r="H2019" s="90">
        <f t="shared" ca="1" si="63"/>
        <v>-2.8493240308328808E-3</v>
      </c>
    </row>
    <row r="2020" spans="2:8" x14ac:dyDescent="0.3">
      <c r="B2020" s="58">
        <f>'DATA HISTORICAL'!$B2665</f>
        <v>42940</v>
      </c>
      <c r="C2020" s="60">
        <f>'DATA HISTORICAL'!$C2665</f>
        <v>4197.5</v>
      </c>
      <c r="D2020" s="53">
        <f t="shared" si="62"/>
        <v>4.9796201606382368E-3</v>
      </c>
      <c r="E2020" s="53">
        <v>4.0235801760205988E-3</v>
      </c>
      <c r="G2020" s="90">
        <v>2012</v>
      </c>
      <c r="H2020" s="90">
        <f t="shared" ca="1" si="63"/>
        <v>-1.4248457151298008E-2</v>
      </c>
    </row>
    <row r="2021" spans="2:8" x14ac:dyDescent="0.3">
      <c r="B2021" s="58">
        <f>'DATA HISTORICAL'!$B2666</f>
        <v>42937</v>
      </c>
      <c r="C2021" s="60">
        <f>'DATA HISTORICAL'!$C2666</f>
        <v>4176.6499999999996</v>
      </c>
      <c r="D2021" s="53">
        <f t="shared" si="62"/>
        <v>8.4031582369866603E-3</v>
      </c>
      <c r="E2021" s="53">
        <v>4.0193714475431934E-3</v>
      </c>
      <c r="G2021" s="90">
        <v>2013</v>
      </c>
      <c r="H2021" s="90">
        <f t="shared" ca="1" si="63"/>
        <v>-7.7460684842617982E-3</v>
      </c>
    </row>
    <row r="2022" spans="2:8" x14ac:dyDescent="0.3">
      <c r="B2022" s="58">
        <f>'DATA HISTORICAL'!$B2667</f>
        <v>42936</v>
      </c>
      <c r="C2022" s="60">
        <f>'DATA HISTORICAL'!$C2667</f>
        <v>4141.7</v>
      </c>
      <c r="D2022" s="53">
        <f t="shared" si="62"/>
        <v>-1.5370081734533888E-2</v>
      </c>
      <c r="E2022" s="53">
        <v>4.0159261650244181E-3</v>
      </c>
      <c r="G2022" s="90">
        <v>2014</v>
      </c>
      <c r="H2022" s="90">
        <f t="shared" ca="1" si="63"/>
        <v>9.6502904902046362E-3</v>
      </c>
    </row>
    <row r="2023" spans="2:8" x14ac:dyDescent="0.3">
      <c r="B2023" s="58">
        <f>'DATA HISTORICAL'!$B2668</f>
        <v>42935</v>
      </c>
      <c r="C2023" s="60">
        <f>'DATA HISTORICAL'!$C2668</f>
        <v>4205.8500000000004</v>
      </c>
      <c r="D2023" s="53">
        <f t="shared" si="62"/>
        <v>-2.9287414292539504E-2</v>
      </c>
      <c r="E2023" s="53">
        <v>4.0105370103807811E-3</v>
      </c>
      <c r="G2023" s="90">
        <v>2015</v>
      </c>
      <c r="H2023" s="90">
        <f t="shared" ca="1" si="63"/>
        <v>4.5072375230358237E-3</v>
      </c>
    </row>
    <row r="2024" spans="2:8" x14ac:dyDescent="0.3">
      <c r="B2024" s="58">
        <f>'DATA HISTORICAL'!$B2669</f>
        <v>42934</v>
      </c>
      <c r="C2024" s="60">
        <f>'DATA HISTORICAL'!$C2669</f>
        <v>4330.8500000000004</v>
      </c>
      <c r="D2024" s="53">
        <f t="shared" si="62"/>
        <v>-3.8946423068076321E-3</v>
      </c>
      <c r="E2024" s="53">
        <v>3.9972788584174569E-3</v>
      </c>
      <c r="G2024" s="90">
        <v>2016</v>
      </c>
      <c r="H2024" s="90">
        <f t="shared" ca="1" si="63"/>
        <v>7.4132657243237438E-3</v>
      </c>
    </row>
    <row r="2025" spans="2:8" x14ac:dyDescent="0.3">
      <c r="B2025" s="58">
        <f>'DATA HISTORICAL'!$B2670</f>
        <v>42933</v>
      </c>
      <c r="C2025" s="60">
        <f>'DATA HISTORICAL'!$C2670</f>
        <v>4347.75</v>
      </c>
      <c r="D2025" s="53">
        <f t="shared" si="62"/>
        <v>2.9136374082829562E-2</v>
      </c>
      <c r="E2025" s="53">
        <v>3.9967964953023377E-3</v>
      </c>
      <c r="G2025" s="90">
        <v>2017</v>
      </c>
      <c r="H2025" s="90">
        <f t="shared" ca="1" si="63"/>
        <v>4.5464675278274061E-3</v>
      </c>
    </row>
    <row r="2026" spans="2:8" x14ac:dyDescent="0.3">
      <c r="B2026" s="58">
        <f>'DATA HISTORICAL'!$B2671</f>
        <v>42930</v>
      </c>
      <c r="C2026" s="60">
        <f>'DATA HISTORICAL'!$C2671</f>
        <v>4222.8999999999996</v>
      </c>
      <c r="D2026" s="53">
        <f t="shared" si="62"/>
        <v>5.747142255567851E-3</v>
      </c>
      <c r="E2026" s="53">
        <v>3.9957745020089575E-3</v>
      </c>
      <c r="G2026" s="90">
        <v>2018</v>
      </c>
      <c r="H2026" s="90">
        <f t="shared" ca="1" si="63"/>
        <v>2.8562360940856724E-2</v>
      </c>
    </row>
    <row r="2027" spans="2:8" x14ac:dyDescent="0.3">
      <c r="B2027" s="58">
        <f>'DATA HISTORICAL'!$B2672</f>
        <v>42929</v>
      </c>
      <c r="C2027" s="60">
        <f>'DATA HISTORICAL'!$C2672</f>
        <v>4198.7</v>
      </c>
      <c r="D2027" s="53">
        <f t="shared" si="62"/>
        <v>1.7759347691162736E-3</v>
      </c>
      <c r="E2027" s="53">
        <v>3.9838655274870181E-3</v>
      </c>
      <c r="G2027" s="90">
        <v>2019</v>
      </c>
      <c r="H2027" s="90">
        <f t="shared" ca="1" si="63"/>
        <v>-2.2595902694660878E-2</v>
      </c>
    </row>
    <row r="2028" spans="2:8" x14ac:dyDescent="0.3">
      <c r="B2028" s="58">
        <f>'DATA HISTORICAL'!$B2673</f>
        <v>42928</v>
      </c>
      <c r="C2028" s="60">
        <f>'DATA HISTORICAL'!$C2673</f>
        <v>4191.25</v>
      </c>
      <c r="D2028" s="53">
        <f t="shared" si="62"/>
        <v>9.5895250894819008E-3</v>
      </c>
      <c r="E2028" s="53">
        <v>3.9822091932371108E-3</v>
      </c>
      <c r="G2028" s="90">
        <v>2020</v>
      </c>
      <c r="H2028" s="90">
        <f t="shared" ca="1" si="63"/>
        <v>-1.2260534600987905E-2</v>
      </c>
    </row>
    <row r="2029" spans="2:8" x14ac:dyDescent="0.3">
      <c r="B2029" s="58">
        <f>'DATA HISTORICAL'!$B2674</f>
        <v>42927</v>
      </c>
      <c r="C2029" s="60">
        <f>'DATA HISTORICAL'!$C2674</f>
        <v>4151.25</v>
      </c>
      <c r="D2029" s="53">
        <f t="shared" si="62"/>
        <v>3.8858901958276335E-3</v>
      </c>
      <c r="E2029" s="53">
        <v>3.9777500145884194E-3</v>
      </c>
      <c r="G2029" s="90">
        <v>2021</v>
      </c>
      <c r="H2029" s="90">
        <f t="shared" ca="1" si="63"/>
        <v>1.1850616818675481E-2</v>
      </c>
    </row>
    <row r="2030" spans="2:8" x14ac:dyDescent="0.3">
      <c r="B2030" s="58">
        <f>'DATA HISTORICAL'!$B2675</f>
        <v>42926</v>
      </c>
      <c r="C2030" s="60">
        <f>'DATA HISTORICAL'!$C2675</f>
        <v>4135.1499999999996</v>
      </c>
      <c r="D2030" s="53">
        <f t="shared" si="62"/>
        <v>9.2930133496305547E-3</v>
      </c>
      <c r="E2030" s="53">
        <v>3.9571981565344957E-3</v>
      </c>
      <c r="G2030" s="90">
        <v>2022</v>
      </c>
      <c r="H2030" s="90">
        <f t="shared" ca="1" si="63"/>
        <v>1.5639770733098756E-2</v>
      </c>
    </row>
    <row r="2031" spans="2:8" x14ac:dyDescent="0.3">
      <c r="B2031" s="58">
        <f>'DATA HISTORICAL'!$B2676</f>
        <v>42923</v>
      </c>
      <c r="C2031" s="60">
        <f>'DATA HISTORICAL'!$C2676</f>
        <v>4096.8999999999996</v>
      </c>
      <c r="D2031" s="53">
        <f t="shared" si="62"/>
        <v>-2.5474615355030221E-3</v>
      </c>
      <c r="E2031" s="53">
        <v>3.9549001084518438E-3</v>
      </c>
      <c r="G2031" s="90">
        <v>2023</v>
      </c>
      <c r="H2031" s="90">
        <f t="shared" ca="1" si="63"/>
        <v>5.6443728837108744E-3</v>
      </c>
    </row>
    <row r="2032" spans="2:8" x14ac:dyDescent="0.3">
      <c r="B2032" s="58">
        <f>'DATA HISTORICAL'!$B2677</f>
        <v>42922</v>
      </c>
      <c r="C2032" s="60">
        <f>'DATA HISTORICAL'!$C2677</f>
        <v>4107.3500000000004</v>
      </c>
      <c r="D2032" s="53">
        <f t="shared" si="62"/>
        <v>4.7344297920243585E-3</v>
      </c>
      <c r="E2032" s="53">
        <v>3.9429363664180046E-3</v>
      </c>
      <c r="G2032" s="90">
        <v>2024</v>
      </c>
      <c r="H2032" s="90">
        <f t="shared" ca="1" si="63"/>
        <v>-1.5917525006482681E-2</v>
      </c>
    </row>
    <row r="2033" spans="2:8" x14ac:dyDescent="0.3">
      <c r="B2033" s="58">
        <f>'DATA HISTORICAL'!$B2678</f>
        <v>42921</v>
      </c>
      <c r="C2033" s="60">
        <f>'DATA HISTORICAL'!$C2678</f>
        <v>4087.95</v>
      </c>
      <c r="D2033" s="53">
        <f t="shared" si="62"/>
        <v>1.699806561146526E-2</v>
      </c>
      <c r="E2033" s="53">
        <v>3.9344846105487169E-3</v>
      </c>
      <c r="G2033" s="90">
        <v>2025</v>
      </c>
      <c r="H2033" s="90">
        <f t="shared" ca="1" si="63"/>
        <v>-2.9816272465030954E-3</v>
      </c>
    </row>
    <row r="2034" spans="2:8" x14ac:dyDescent="0.3">
      <c r="B2034" s="58">
        <f>'DATA HISTORICAL'!$B2679</f>
        <v>42920</v>
      </c>
      <c r="C2034" s="60">
        <f>'DATA HISTORICAL'!$C2679</f>
        <v>4019.05</v>
      </c>
      <c r="D2034" s="53">
        <f t="shared" si="62"/>
        <v>5.0387365115320071E-3</v>
      </c>
      <c r="E2034" s="53">
        <v>3.926767803810273E-3</v>
      </c>
      <c r="G2034" s="90">
        <v>2026</v>
      </c>
      <c r="H2034" s="90">
        <f t="shared" ca="1" si="63"/>
        <v>3.9378172807269921E-2</v>
      </c>
    </row>
    <row r="2035" spans="2:8" x14ac:dyDescent="0.3">
      <c r="B2035" s="58">
        <f>'DATA HISTORICAL'!$B2680</f>
        <v>42919</v>
      </c>
      <c r="C2035" s="60">
        <f>'DATA HISTORICAL'!$C2680</f>
        <v>3998.85</v>
      </c>
      <c r="D2035" s="53">
        <f t="shared" si="62"/>
        <v>9.9900930750861858E-3</v>
      </c>
      <c r="E2035" s="53">
        <v>3.9258639719928871E-3</v>
      </c>
      <c r="G2035" s="90">
        <v>2027</v>
      </c>
      <c r="H2035" s="90">
        <f t="shared" ca="1" si="63"/>
        <v>-5.7303457320813473E-3</v>
      </c>
    </row>
    <row r="2036" spans="2:8" x14ac:dyDescent="0.3">
      <c r="B2036" s="58">
        <f>'DATA HISTORICAL'!$B2681</f>
        <v>42916</v>
      </c>
      <c r="C2036" s="60">
        <f>'DATA HISTORICAL'!$C2681</f>
        <v>3959.1</v>
      </c>
      <c r="D2036" s="53">
        <f t="shared" si="62"/>
        <v>1.3522310710348279E-3</v>
      </c>
      <c r="E2036" s="53">
        <v>3.9225955852696765E-3</v>
      </c>
      <c r="G2036" s="90">
        <v>2028</v>
      </c>
      <c r="H2036" s="90">
        <f t="shared" ca="1" si="63"/>
        <v>-2.0826577438784093E-3</v>
      </c>
    </row>
    <row r="2037" spans="2:8" x14ac:dyDescent="0.3">
      <c r="B2037" s="58">
        <f>'DATA HISTORICAL'!$B2682</f>
        <v>42915</v>
      </c>
      <c r="C2037" s="60">
        <f>'DATA HISTORICAL'!$C2682</f>
        <v>3953.75</v>
      </c>
      <c r="D2037" s="53">
        <f t="shared" si="62"/>
        <v>-1.1375127616850165E-3</v>
      </c>
      <c r="E2037" s="53">
        <v>3.9181821778488321E-3</v>
      </c>
      <c r="G2037" s="90">
        <v>2029</v>
      </c>
      <c r="H2037" s="90">
        <f t="shared" ca="1" si="63"/>
        <v>8.6436116292183257E-3</v>
      </c>
    </row>
    <row r="2038" spans="2:8" x14ac:dyDescent="0.3">
      <c r="B2038" s="58">
        <f>'DATA HISTORICAL'!$B2683</f>
        <v>42914</v>
      </c>
      <c r="C2038" s="60">
        <f>'DATA HISTORICAL'!$C2683</f>
        <v>3958.25</v>
      </c>
      <c r="D2038" s="53">
        <f t="shared" si="62"/>
        <v>2.0508238399303953E-2</v>
      </c>
      <c r="E2038" s="53">
        <v>3.9077128165834613E-3</v>
      </c>
      <c r="G2038" s="90">
        <v>2030</v>
      </c>
      <c r="H2038" s="90">
        <f t="shared" ca="1" si="63"/>
        <v>5.95123159336239E-3</v>
      </c>
    </row>
    <row r="2039" spans="2:8" x14ac:dyDescent="0.3">
      <c r="B2039" s="58">
        <f>'DATA HISTORICAL'!$B2684</f>
        <v>42913</v>
      </c>
      <c r="C2039" s="60">
        <f>'DATA HISTORICAL'!$C2684</f>
        <v>3877.9</v>
      </c>
      <c r="D2039" s="53">
        <f t="shared" si="62"/>
        <v>-3.0750559864578725E-2</v>
      </c>
      <c r="E2039" s="53">
        <v>3.899764640253323E-3</v>
      </c>
      <c r="G2039" s="90">
        <v>2031</v>
      </c>
      <c r="H2039" s="90">
        <f t="shared" ca="1" si="63"/>
        <v>-4.7626191909653625E-4</v>
      </c>
    </row>
    <row r="2040" spans="2:8" x14ac:dyDescent="0.3">
      <c r="B2040" s="58">
        <f>'DATA HISTORICAL'!$B2685</f>
        <v>42909</v>
      </c>
      <c r="C2040" s="60">
        <f>'DATA HISTORICAL'!$C2685</f>
        <v>3999</v>
      </c>
      <c r="D2040" s="53">
        <f t="shared" si="62"/>
        <v>-1.4608946834069799E-2</v>
      </c>
      <c r="E2040" s="53">
        <v>3.8989444276888389E-3</v>
      </c>
      <c r="G2040" s="90">
        <v>2032</v>
      </c>
      <c r="H2040" s="90">
        <f t="shared" ca="1" si="63"/>
        <v>8.8448826643718163E-3</v>
      </c>
    </row>
    <row r="2041" spans="2:8" x14ac:dyDescent="0.3">
      <c r="B2041" s="58">
        <f>'DATA HISTORICAL'!$B2686</f>
        <v>42908</v>
      </c>
      <c r="C2041" s="60">
        <f>'DATA HISTORICAL'!$C2686</f>
        <v>4057.85</v>
      </c>
      <c r="D2041" s="53">
        <f t="shared" si="62"/>
        <v>1.0354444187622904E-2</v>
      </c>
      <c r="E2041" s="53">
        <v>3.874045596728189E-3</v>
      </c>
      <c r="G2041" s="90">
        <v>2033</v>
      </c>
      <c r="H2041" s="90">
        <f t="shared" ca="1" si="63"/>
        <v>3.7307042146021308E-3</v>
      </c>
    </row>
    <row r="2042" spans="2:8" x14ac:dyDescent="0.3">
      <c r="B2042" s="58">
        <f>'DATA HISTORICAL'!$B2687</f>
        <v>42907</v>
      </c>
      <c r="C2042" s="60">
        <f>'DATA HISTORICAL'!$C2687</f>
        <v>4016.05</v>
      </c>
      <c r="D2042" s="53">
        <f t="shared" si="62"/>
        <v>-1.1819663955647701E-2</v>
      </c>
      <c r="E2042" s="53">
        <v>3.8739337245053398E-3</v>
      </c>
      <c r="G2042" s="90">
        <v>2034</v>
      </c>
      <c r="H2042" s="90">
        <f t="shared" ca="1" si="63"/>
        <v>8.6013576434548246E-3</v>
      </c>
    </row>
    <row r="2043" spans="2:8" x14ac:dyDescent="0.3">
      <c r="B2043" s="58">
        <f>'DATA HISTORICAL'!$B2688</f>
        <v>42906</v>
      </c>
      <c r="C2043" s="60">
        <f>'DATA HISTORICAL'!$C2688</f>
        <v>4063.8</v>
      </c>
      <c r="D2043" s="53">
        <f t="shared" si="62"/>
        <v>-8.2707376571592595E-3</v>
      </c>
      <c r="E2043" s="53">
        <v>3.8723480415723457E-3</v>
      </c>
      <c r="G2043" s="90">
        <v>2035</v>
      </c>
      <c r="H2043" s="90">
        <f t="shared" ca="1" si="63"/>
        <v>1.266675595446666E-2</v>
      </c>
    </row>
    <row r="2044" spans="2:8" x14ac:dyDescent="0.3">
      <c r="B2044" s="58">
        <f>'DATA HISTORICAL'!$B2689</f>
        <v>42905</v>
      </c>
      <c r="C2044" s="60">
        <f>'DATA HISTORICAL'!$C2689</f>
        <v>4097.55</v>
      </c>
      <c r="D2044" s="53">
        <f t="shared" si="62"/>
        <v>-6.7495102909364765E-3</v>
      </c>
      <c r="E2044" s="53">
        <v>3.862585532348882E-3</v>
      </c>
      <c r="G2044" s="90">
        <v>2036</v>
      </c>
      <c r="H2044" s="90">
        <f t="shared" ca="1" si="63"/>
        <v>-6.6746523448499235E-3</v>
      </c>
    </row>
    <row r="2045" spans="2:8" x14ac:dyDescent="0.3">
      <c r="B2045" s="58">
        <f>'DATA HISTORICAL'!$B2690</f>
        <v>42902</v>
      </c>
      <c r="C2045" s="60">
        <f>'DATA HISTORICAL'!$C2690</f>
        <v>4125.3</v>
      </c>
      <c r="D2045" s="53">
        <f t="shared" si="62"/>
        <v>1.9953900463808356E-2</v>
      </c>
      <c r="E2045" s="53">
        <v>3.8423084915466892E-3</v>
      </c>
      <c r="G2045" s="90">
        <v>2037</v>
      </c>
      <c r="H2045" s="90">
        <f t="shared" ca="1" si="63"/>
        <v>2.505282354808569E-2</v>
      </c>
    </row>
    <row r="2046" spans="2:8" x14ac:dyDescent="0.3">
      <c r="B2046" s="58">
        <f>'DATA HISTORICAL'!$B2691</f>
        <v>42901</v>
      </c>
      <c r="C2046" s="60">
        <f>'DATA HISTORICAL'!$C2691</f>
        <v>4043.8</v>
      </c>
      <c r="D2046" s="53">
        <f t="shared" si="62"/>
        <v>-2.2354933877332208E-3</v>
      </c>
      <c r="E2046" s="53">
        <v>3.8233571791929061E-3</v>
      </c>
      <c r="G2046" s="90">
        <v>2038</v>
      </c>
      <c r="H2046" s="90">
        <f t="shared" ca="1" si="63"/>
        <v>-3.9506364147435446E-3</v>
      </c>
    </row>
    <row r="2047" spans="2:8" x14ac:dyDescent="0.3">
      <c r="B2047" s="58">
        <f>'DATA HISTORICAL'!$B2692</f>
        <v>42900</v>
      </c>
      <c r="C2047" s="60">
        <f>'DATA HISTORICAL'!$C2692</f>
        <v>4052.85</v>
      </c>
      <c r="D2047" s="53">
        <f t="shared" si="62"/>
        <v>-2.2058877780756613E-3</v>
      </c>
      <c r="E2047" s="53">
        <v>3.8230071374230597E-3</v>
      </c>
      <c r="G2047" s="90">
        <v>2039</v>
      </c>
      <c r="H2047" s="90">
        <f t="shared" ca="1" si="63"/>
        <v>8.4186425637107244E-3</v>
      </c>
    </row>
    <row r="2048" spans="2:8" x14ac:dyDescent="0.3">
      <c r="B2048" s="58">
        <f>'DATA HISTORICAL'!$B2693</f>
        <v>42899</v>
      </c>
      <c r="C2048" s="60">
        <f>'DATA HISTORICAL'!$C2693</f>
        <v>4061.8</v>
      </c>
      <c r="D2048" s="53">
        <f t="shared" si="62"/>
        <v>4.0334323391852675E-3</v>
      </c>
      <c r="E2048" s="53">
        <v>3.8078656518124301E-3</v>
      </c>
      <c r="G2048" s="90">
        <v>2040</v>
      </c>
      <c r="H2048" s="90">
        <f t="shared" ca="1" si="63"/>
        <v>7.0828724172246728E-3</v>
      </c>
    </row>
    <row r="2049" spans="2:8" x14ac:dyDescent="0.3">
      <c r="B2049" s="58">
        <f>'DATA HISTORICAL'!$B2694</f>
        <v>42898</v>
      </c>
      <c r="C2049" s="60">
        <f>'DATA HISTORICAL'!$C2694</f>
        <v>4045.45</v>
      </c>
      <c r="D2049" s="53">
        <f t="shared" si="62"/>
        <v>-1.6304575768175157E-2</v>
      </c>
      <c r="E2049" s="53">
        <v>3.7851678261809595E-3</v>
      </c>
      <c r="G2049" s="90">
        <v>2041</v>
      </c>
      <c r="H2049" s="90">
        <f t="shared" ca="1" si="63"/>
        <v>-1.3299664033435327E-2</v>
      </c>
    </row>
    <row r="2050" spans="2:8" x14ac:dyDescent="0.3">
      <c r="B2050" s="58">
        <f>'DATA HISTORICAL'!$B2695</f>
        <v>42895</v>
      </c>
      <c r="C2050" s="60">
        <f>'DATA HISTORICAL'!$C2695</f>
        <v>4111.95</v>
      </c>
      <c r="D2050" s="53">
        <f t="shared" si="62"/>
        <v>-2.0164725862900799E-3</v>
      </c>
      <c r="E2050" s="53">
        <v>3.7790868440712683E-3</v>
      </c>
      <c r="G2050" s="90">
        <v>2042</v>
      </c>
      <c r="H2050" s="90">
        <f t="shared" ca="1" si="63"/>
        <v>1.4740756092434786E-3</v>
      </c>
    </row>
    <row r="2051" spans="2:8" x14ac:dyDescent="0.3">
      <c r="B2051" s="58">
        <f>'DATA HISTORICAL'!$B2696</f>
        <v>42894</v>
      </c>
      <c r="C2051" s="60">
        <f>'DATA HISTORICAL'!$C2696</f>
        <v>4120.25</v>
      </c>
      <c r="D2051" s="53">
        <f t="shared" si="62"/>
        <v>-4.9630897179743106E-3</v>
      </c>
      <c r="E2051" s="53">
        <v>3.7758613413225689E-3</v>
      </c>
      <c r="G2051" s="90">
        <v>2043</v>
      </c>
      <c r="H2051" s="90">
        <f t="shared" ca="1" si="63"/>
        <v>6.6230197652069802E-3</v>
      </c>
    </row>
    <row r="2052" spans="2:8" x14ac:dyDescent="0.3">
      <c r="B2052" s="58">
        <f>'DATA HISTORICAL'!$B2697</f>
        <v>42893</v>
      </c>
      <c r="C2052" s="60">
        <f>'DATA HISTORICAL'!$C2697</f>
        <v>4140.75</v>
      </c>
      <c r="D2052" s="53">
        <f t="shared" si="62"/>
        <v>4.4171553985096973E-3</v>
      </c>
      <c r="E2052" s="53">
        <v>3.7750889259977843E-3</v>
      </c>
      <c r="G2052" s="90">
        <v>2044</v>
      </c>
      <c r="H2052" s="90">
        <f t="shared" ca="1" si="63"/>
        <v>3.2967356830227335E-2</v>
      </c>
    </row>
    <row r="2053" spans="2:8" x14ac:dyDescent="0.3">
      <c r="B2053" s="58">
        <f>'DATA HISTORICAL'!$B2698</f>
        <v>42892</v>
      </c>
      <c r="C2053" s="60">
        <f>'DATA HISTORICAL'!$C2698</f>
        <v>4122.5</v>
      </c>
      <c r="D2053" s="53">
        <f t="shared" si="62"/>
        <v>-1.3408789383903138E-2</v>
      </c>
      <c r="E2053" s="53">
        <v>3.7597562852912094E-3</v>
      </c>
      <c r="G2053" s="90">
        <v>2045</v>
      </c>
      <c r="H2053" s="90">
        <f t="shared" ca="1" si="63"/>
        <v>6.0972296486709703E-3</v>
      </c>
    </row>
    <row r="2054" spans="2:8" x14ac:dyDescent="0.3">
      <c r="B2054" s="58">
        <f>'DATA HISTORICAL'!$B2699</f>
        <v>42891</v>
      </c>
      <c r="C2054" s="60">
        <f>'DATA HISTORICAL'!$C2699</f>
        <v>4178.1499999999996</v>
      </c>
      <c r="D2054" s="53">
        <f t="shared" si="62"/>
        <v>-1.4836203830793135E-2</v>
      </c>
      <c r="E2054" s="53">
        <v>3.7537831009920373E-3</v>
      </c>
      <c r="G2054" s="90">
        <v>2046</v>
      </c>
      <c r="H2054" s="90">
        <f t="shared" ca="1" si="63"/>
        <v>6.512877439910178E-3</v>
      </c>
    </row>
    <row r="2055" spans="2:8" x14ac:dyDescent="0.3">
      <c r="B2055" s="58">
        <f>'DATA HISTORICAL'!$B2700</f>
        <v>42888</v>
      </c>
      <c r="C2055" s="60">
        <f>'DATA HISTORICAL'!$C2700</f>
        <v>4240.6000000000004</v>
      </c>
      <c r="D2055" s="53">
        <f t="shared" si="62"/>
        <v>1.0013177708431874E-2</v>
      </c>
      <c r="E2055" s="53">
        <v>3.7517241825041998E-3</v>
      </c>
      <c r="G2055" s="90">
        <v>2047</v>
      </c>
      <c r="H2055" s="90">
        <f t="shared" ca="1" si="63"/>
        <v>2.6266053440805497E-2</v>
      </c>
    </row>
    <row r="2056" spans="2:8" x14ac:dyDescent="0.3">
      <c r="B2056" s="58">
        <f>'DATA HISTORICAL'!$B2701</f>
        <v>42887</v>
      </c>
      <c r="C2056" s="60">
        <f>'DATA HISTORICAL'!$C2701</f>
        <v>4198.3500000000004</v>
      </c>
      <c r="D2056" s="53">
        <f t="shared" si="62"/>
        <v>7.5057637063797342E-4</v>
      </c>
      <c r="E2056" s="53">
        <v>3.7498830086007979E-3</v>
      </c>
      <c r="G2056" s="90">
        <v>2048</v>
      </c>
      <c r="H2056" s="90">
        <f t="shared" ca="1" si="63"/>
        <v>1.7710699025969355E-2</v>
      </c>
    </row>
    <row r="2057" spans="2:8" x14ac:dyDescent="0.3">
      <c r="B2057" s="58">
        <f>'DATA HISTORICAL'!$B2702</f>
        <v>42886</v>
      </c>
      <c r="C2057" s="60">
        <f>'DATA HISTORICAL'!$C2702</f>
        <v>4195.2</v>
      </c>
      <c r="D2057" s="53">
        <f t="shared" ref="D2057:D2120" si="64">LN(C2057/C2058)</f>
        <v>2.7329452704458339E-2</v>
      </c>
      <c r="E2057" s="53">
        <v>3.7320745029281164E-3</v>
      </c>
      <c r="G2057" s="90">
        <v>2049</v>
      </c>
      <c r="H2057" s="90">
        <f t="shared" ref="H2057:H2120" ca="1" si="65">_xlfn.NORM.INV(RAND(),N$10,N$11)</f>
        <v>1.0515232265540844E-2</v>
      </c>
    </row>
    <row r="2058" spans="2:8" x14ac:dyDescent="0.3">
      <c r="B2058" s="58">
        <f>'DATA HISTORICAL'!$B2703</f>
        <v>42885</v>
      </c>
      <c r="C2058" s="60">
        <f>'DATA HISTORICAL'!$C2703</f>
        <v>4082.1</v>
      </c>
      <c r="D2058" s="53">
        <f t="shared" si="64"/>
        <v>5.1084424769424512E-3</v>
      </c>
      <c r="E2058" s="53">
        <v>3.7050556790737205E-3</v>
      </c>
      <c r="G2058" s="90">
        <v>2050</v>
      </c>
      <c r="H2058" s="90">
        <f t="shared" ca="1" si="65"/>
        <v>-6.3412957823139786E-3</v>
      </c>
    </row>
    <row r="2059" spans="2:8" x14ac:dyDescent="0.3">
      <c r="B2059" s="58">
        <f>'DATA HISTORICAL'!$B2704</f>
        <v>42884</v>
      </c>
      <c r="C2059" s="60">
        <f>'DATA HISTORICAL'!$C2704</f>
        <v>4061.3</v>
      </c>
      <c r="D2059" s="53">
        <f t="shared" si="64"/>
        <v>-2.2664894142129171E-2</v>
      </c>
      <c r="E2059" s="53">
        <v>3.6473927412316869E-3</v>
      </c>
      <c r="G2059" s="90">
        <v>2051</v>
      </c>
      <c r="H2059" s="90">
        <f t="shared" ca="1" si="65"/>
        <v>-1.884504592150847E-3</v>
      </c>
    </row>
    <row r="2060" spans="2:8" x14ac:dyDescent="0.3">
      <c r="B2060" s="58">
        <f>'DATA HISTORICAL'!$B2705</f>
        <v>42881</v>
      </c>
      <c r="C2060" s="60">
        <f>'DATA HISTORICAL'!$C2705</f>
        <v>4154.3999999999996</v>
      </c>
      <c r="D2060" s="53">
        <f t="shared" si="64"/>
        <v>-1.9238174459845791E-3</v>
      </c>
      <c r="E2060" s="53">
        <v>3.6178796787321786E-3</v>
      </c>
      <c r="G2060" s="90">
        <v>2052</v>
      </c>
      <c r="H2060" s="90">
        <f t="shared" ca="1" si="65"/>
        <v>9.1561004274365414E-3</v>
      </c>
    </row>
    <row r="2061" spans="2:8" x14ac:dyDescent="0.3">
      <c r="B2061" s="58">
        <f>'DATA HISTORICAL'!$B2706</f>
        <v>42880</v>
      </c>
      <c r="C2061" s="60">
        <f>'DATA HISTORICAL'!$C2706</f>
        <v>4162.3999999999996</v>
      </c>
      <c r="D2061" s="53">
        <f t="shared" si="64"/>
        <v>-2.351643634092218E-3</v>
      </c>
      <c r="E2061" s="53">
        <v>3.6104225584990806E-3</v>
      </c>
      <c r="G2061" s="90">
        <v>2053</v>
      </c>
      <c r="H2061" s="90">
        <f t="shared" ca="1" si="65"/>
        <v>1.3104866991453783E-2</v>
      </c>
    </row>
    <row r="2062" spans="2:8" x14ac:dyDescent="0.3">
      <c r="B2062" s="58">
        <f>'DATA HISTORICAL'!$B2707</f>
        <v>42879</v>
      </c>
      <c r="C2062" s="60">
        <f>'DATA HISTORICAL'!$C2707</f>
        <v>4172.2</v>
      </c>
      <c r="D2062" s="53">
        <f t="shared" si="64"/>
        <v>-2.2549551055770008E-2</v>
      </c>
      <c r="E2062" s="53">
        <v>3.5937847995346152E-3</v>
      </c>
      <c r="G2062" s="90">
        <v>2054</v>
      </c>
      <c r="H2062" s="90">
        <f t="shared" ca="1" si="65"/>
        <v>-3.4055916239764126E-3</v>
      </c>
    </row>
    <row r="2063" spans="2:8" x14ac:dyDescent="0.3">
      <c r="B2063" s="58">
        <f>'DATA HISTORICAL'!$B2708</f>
        <v>42878</v>
      </c>
      <c r="C2063" s="60">
        <f>'DATA HISTORICAL'!$C2708</f>
        <v>4267.3500000000004</v>
      </c>
      <c r="D2063" s="53">
        <f t="shared" si="64"/>
        <v>-5.2712035377930366E-4</v>
      </c>
      <c r="E2063" s="53">
        <v>3.5937474868352731E-3</v>
      </c>
      <c r="G2063" s="90">
        <v>2055</v>
      </c>
      <c r="H2063" s="90">
        <f t="shared" ca="1" si="65"/>
        <v>2.6677036673494685E-2</v>
      </c>
    </row>
    <row r="2064" spans="2:8" x14ac:dyDescent="0.3">
      <c r="B2064" s="58">
        <f>'DATA HISTORICAL'!$B2709</f>
        <v>42877</v>
      </c>
      <c r="C2064" s="60">
        <f>'DATA HISTORICAL'!$C2709</f>
        <v>4269.6000000000004</v>
      </c>
      <c r="D2064" s="53">
        <f t="shared" si="64"/>
        <v>-2.1089516534212687E-2</v>
      </c>
      <c r="E2064" s="53">
        <v>3.5914367469003518E-3</v>
      </c>
      <c r="G2064" s="90">
        <v>2056</v>
      </c>
      <c r="H2064" s="90">
        <f t="shared" ca="1" si="65"/>
        <v>-5.9012565698780646E-3</v>
      </c>
    </row>
    <row r="2065" spans="2:8" x14ac:dyDescent="0.3">
      <c r="B2065" s="58">
        <f>'DATA HISTORICAL'!$B2710</f>
        <v>42874</v>
      </c>
      <c r="C2065" s="60">
        <f>'DATA HISTORICAL'!$C2710</f>
        <v>4360.6000000000004</v>
      </c>
      <c r="D2065" s="53">
        <f t="shared" si="64"/>
        <v>4.4934082372958912E-3</v>
      </c>
      <c r="E2065" s="53">
        <v>3.5797978742613205E-3</v>
      </c>
      <c r="G2065" s="90">
        <v>2057</v>
      </c>
      <c r="H2065" s="90">
        <f t="shared" ca="1" si="65"/>
        <v>3.6372272829782951E-4</v>
      </c>
    </row>
    <row r="2066" spans="2:8" x14ac:dyDescent="0.3">
      <c r="B2066" s="58">
        <f>'DATA HISTORICAL'!$B2711</f>
        <v>42873</v>
      </c>
      <c r="C2066" s="60">
        <f>'DATA HISTORICAL'!$C2711</f>
        <v>4341.05</v>
      </c>
      <c r="D2066" s="53">
        <f t="shared" si="64"/>
        <v>-2.949584291732869E-2</v>
      </c>
      <c r="E2066" s="53">
        <v>3.5700949166089031E-3</v>
      </c>
      <c r="G2066" s="90">
        <v>2058</v>
      </c>
      <c r="H2066" s="90">
        <f t="shared" ca="1" si="65"/>
        <v>1.843659608950967E-3</v>
      </c>
    </row>
    <row r="2067" spans="2:8" x14ac:dyDescent="0.3">
      <c r="B2067" s="58">
        <f>'DATA HISTORICAL'!$B2712</f>
        <v>42872</v>
      </c>
      <c r="C2067" s="60">
        <f>'DATA HISTORICAL'!$C2712</f>
        <v>4471</v>
      </c>
      <c r="D2067" s="53">
        <f t="shared" si="64"/>
        <v>-3.159842515703891E-3</v>
      </c>
      <c r="E2067" s="53">
        <v>3.5692726791254369E-3</v>
      </c>
      <c r="G2067" s="90">
        <v>2059</v>
      </c>
      <c r="H2067" s="90">
        <f t="shared" ca="1" si="65"/>
        <v>-2.0014823881541802E-2</v>
      </c>
    </row>
    <row r="2068" spans="2:8" x14ac:dyDescent="0.3">
      <c r="B2068" s="58">
        <f>'DATA HISTORICAL'!$B2713</f>
        <v>42871</v>
      </c>
      <c r="C2068" s="60">
        <f>'DATA HISTORICAL'!$C2713</f>
        <v>4485.1499999999996</v>
      </c>
      <c r="D2068" s="53">
        <f t="shared" si="64"/>
        <v>1.0635715559119191E-2</v>
      </c>
      <c r="E2068" s="53">
        <v>3.5658834045936404E-3</v>
      </c>
      <c r="G2068" s="90">
        <v>2060</v>
      </c>
      <c r="H2068" s="90">
        <f t="shared" ca="1" si="65"/>
        <v>2.3864572791458465E-2</v>
      </c>
    </row>
    <row r="2069" spans="2:8" x14ac:dyDescent="0.3">
      <c r="B2069" s="58">
        <f>'DATA HISTORICAL'!$B2714</f>
        <v>42870</v>
      </c>
      <c r="C2069" s="60">
        <f>'DATA HISTORICAL'!$C2714</f>
        <v>4437.7</v>
      </c>
      <c r="D2069" s="53">
        <f t="shared" si="64"/>
        <v>7.5435352996464635E-3</v>
      </c>
      <c r="E2069" s="53">
        <v>3.5583184760854579E-3</v>
      </c>
      <c r="G2069" s="90">
        <v>2061</v>
      </c>
      <c r="H2069" s="90">
        <f t="shared" ca="1" si="65"/>
        <v>2.4039857999990512E-2</v>
      </c>
    </row>
    <row r="2070" spans="2:8" x14ac:dyDescent="0.3">
      <c r="B2070" s="58">
        <f>'DATA HISTORICAL'!$B2715</f>
        <v>42867</v>
      </c>
      <c r="C2070" s="60">
        <f>'DATA HISTORICAL'!$C2715</f>
        <v>4404.3500000000004</v>
      </c>
      <c r="D2070" s="53">
        <f t="shared" si="64"/>
        <v>-1.848733350633321E-3</v>
      </c>
      <c r="E2070" s="53">
        <v>3.5554361690852544E-3</v>
      </c>
      <c r="G2070" s="90">
        <v>2062</v>
      </c>
      <c r="H2070" s="90">
        <f t="shared" ca="1" si="65"/>
        <v>-1.9984399501827389E-2</v>
      </c>
    </row>
    <row r="2071" spans="2:8" x14ac:dyDescent="0.3">
      <c r="B2071" s="58">
        <f>'DATA HISTORICAL'!$B2716</f>
        <v>42866</v>
      </c>
      <c r="C2071" s="60">
        <f>'DATA HISTORICAL'!$C2716</f>
        <v>4412.5</v>
      </c>
      <c r="D2071" s="53">
        <f t="shared" si="64"/>
        <v>1.0239211101961663E-2</v>
      </c>
      <c r="E2071" s="53">
        <v>3.5446526548346602E-3</v>
      </c>
      <c r="G2071" s="90">
        <v>2063</v>
      </c>
      <c r="H2071" s="90">
        <f t="shared" ca="1" si="65"/>
        <v>2.0411998705193338E-2</v>
      </c>
    </row>
    <row r="2072" spans="2:8" x14ac:dyDescent="0.3">
      <c r="B2072" s="58">
        <f>'DATA HISTORICAL'!$B2717</f>
        <v>42865</v>
      </c>
      <c r="C2072" s="60">
        <f>'DATA HISTORICAL'!$C2717</f>
        <v>4367.55</v>
      </c>
      <c r="D2072" s="53">
        <f t="shared" si="64"/>
        <v>-1.4851786263951179E-2</v>
      </c>
      <c r="E2072" s="53">
        <v>3.5409522404248354E-3</v>
      </c>
      <c r="G2072" s="90">
        <v>2064</v>
      </c>
      <c r="H2072" s="90">
        <f t="shared" ca="1" si="65"/>
        <v>3.3222233591386719E-3</v>
      </c>
    </row>
    <row r="2073" spans="2:8" x14ac:dyDescent="0.3">
      <c r="B2073" s="58">
        <f>'DATA HISTORICAL'!$B2718</f>
        <v>42864</v>
      </c>
      <c r="C2073" s="60">
        <f>'DATA HISTORICAL'!$C2718</f>
        <v>4432.8999999999996</v>
      </c>
      <c r="D2073" s="53">
        <f t="shared" si="64"/>
        <v>1.5012729774281613E-3</v>
      </c>
      <c r="E2073" s="53">
        <v>3.5322533997849312E-3</v>
      </c>
      <c r="G2073" s="90">
        <v>2065</v>
      </c>
      <c r="H2073" s="90">
        <f t="shared" ca="1" si="65"/>
        <v>4.4596370791592274E-2</v>
      </c>
    </row>
    <row r="2074" spans="2:8" x14ac:dyDescent="0.3">
      <c r="B2074" s="58">
        <f>'DATA HISTORICAL'!$B2719</f>
        <v>42863</v>
      </c>
      <c r="C2074" s="60">
        <f>'DATA HISTORICAL'!$C2719</f>
        <v>4426.25</v>
      </c>
      <c r="D2074" s="53">
        <f t="shared" si="64"/>
        <v>2.1996729840360028E-2</v>
      </c>
      <c r="E2074" s="53">
        <v>3.5313673546336407E-3</v>
      </c>
      <c r="G2074" s="90">
        <v>2066</v>
      </c>
      <c r="H2074" s="90">
        <f t="shared" ca="1" si="65"/>
        <v>-2.2089508553207255E-2</v>
      </c>
    </row>
    <row r="2075" spans="2:8" x14ac:dyDescent="0.3">
      <c r="B2075" s="58">
        <f>'DATA HISTORICAL'!$B2720</f>
        <v>42860</v>
      </c>
      <c r="C2075" s="60">
        <f>'DATA HISTORICAL'!$C2720</f>
        <v>4329.95</v>
      </c>
      <c r="D2075" s="53">
        <f t="shared" si="64"/>
        <v>1.3288424273032618E-3</v>
      </c>
      <c r="E2075" s="53">
        <v>3.5223706725059159E-3</v>
      </c>
      <c r="G2075" s="90">
        <v>2067</v>
      </c>
      <c r="H2075" s="90">
        <f t="shared" ca="1" si="65"/>
        <v>2.8376219293284877E-2</v>
      </c>
    </row>
    <row r="2076" spans="2:8" x14ac:dyDescent="0.3">
      <c r="B2076" s="58">
        <f>'DATA HISTORICAL'!$B2721</f>
        <v>42859</v>
      </c>
      <c r="C2076" s="60">
        <f>'DATA HISTORICAL'!$C2721</f>
        <v>4324.2</v>
      </c>
      <c r="D2076" s="53">
        <f t="shared" si="64"/>
        <v>5.2866010715689306E-3</v>
      </c>
      <c r="E2076" s="53">
        <v>3.521399949040147E-3</v>
      </c>
      <c r="G2076" s="90">
        <v>2068</v>
      </c>
      <c r="H2076" s="90">
        <f t="shared" ca="1" si="65"/>
        <v>-2.9978553344642823E-2</v>
      </c>
    </row>
    <row r="2077" spans="2:8" x14ac:dyDescent="0.3">
      <c r="B2077" s="58">
        <f>'DATA HISTORICAL'!$B2722</f>
        <v>42858</v>
      </c>
      <c r="C2077" s="60">
        <f>'DATA HISTORICAL'!$C2722</f>
        <v>4301.3999999999996</v>
      </c>
      <c r="D2077" s="53">
        <f t="shared" si="64"/>
        <v>2.2428473824236395E-2</v>
      </c>
      <c r="E2077" s="53">
        <v>3.5207704826336192E-3</v>
      </c>
      <c r="G2077" s="90">
        <v>2069</v>
      </c>
      <c r="H2077" s="90">
        <f t="shared" ca="1" si="65"/>
        <v>2.7591805916682248E-2</v>
      </c>
    </row>
    <row r="2078" spans="2:8" x14ac:dyDescent="0.3">
      <c r="B2078" s="58">
        <f>'DATA HISTORICAL'!$B2723</f>
        <v>42857</v>
      </c>
      <c r="C2078" s="60">
        <f>'DATA HISTORICAL'!$C2723</f>
        <v>4206</v>
      </c>
      <c r="D2078" s="53">
        <f t="shared" si="64"/>
        <v>-1.015981630822925E-2</v>
      </c>
      <c r="E2078" s="53">
        <v>3.5173349929174635E-3</v>
      </c>
      <c r="G2078" s="90">
        <v>2070</v>
      </c>
      <c r="H2078" s="90">
        <f t="shared" ca="1" si="65"/>
        <v>1.2078691935894337E-2</v>
      </c>
    </row>
    <row r="2079" spans="2:8" x14ac:dyDescent="0.3">
      <c r="B2079" s="58">
        <f>'DATA HISTORICAL'!$B2724</f>
        <v>42853</v>
      </c>
      <c r="C2079" s="60">
        <f>'DATA HISTORICAL'!$C2724</f>
        <v>4248.95</v>
      </c>
      <c r="D2079" s="53">
        <f t="shared" si="64"/>
        <v>2.7928206179193902E-3</v>
      </c>
      <c r="E2079" s="53">
        <v>3.5144016667080879E-3</v>
      </c>
      <c r="G2079" s="90">
        <v>2071</v>
      </c>
      <c r="H2079" s="90">
        <f t="shared" ca="1" si="65"/>
        <v>-1.5510304279632271E-2</v>
      </c>
    </row>
    <row r="2080" spans="2:8" x14ac:dyDescent="0.3">
      <c r="B2080" s="58">
        <f>'DATA HISTORICAL'!$B2725</f>
        <v>42852</v>
      </c>
      <c r="C2080" s="60">
        <f>'DATA HISTORICAL'!$C2725</f>
        <v>4237.1000000000004</v>
      </c>
      <c r="D2080" s="53">
        <f t="shared" si="64"/>
        <v>1.464336586650778E-3</v>
      </c>
      <c r="E2080" s="53">
        <v>3.5110110275241618E-3</v>
      </c>
      <c r="G2080" s="90">
        <v>2072</v>
      </c>
      <c r="H2080" s="90">
        <f t="shared" ca="1" si="65"/>
        <v>-7.0408243688235899E-3</v>
      </c>
    </row>
    <row r="2081" spans="2:8" x14ac:dyDescent="0.3">
      <c r="B2081" s="58">
        <f>'DATA HISTORICAL'!$B2726</f>
        <v>42851</v>
      </c>
      <c r="C2081" s="60">
        <f>'DATA HISTORICAL'!$C2726</f>
        <v>4230.8999999999996</v>
      </c>
      <c r="D2081" s="53">
        <f t="shared" si="64"/>
        <v>-2.7144104566160197E-3</v>
      </c>
      <c r="E2081" s="53">
        <v>3.5078963558563426E-3</v>
      </c>
      <c r="G2081" s="90">
        <v>2073</v>
      </c>
      <c r="H2081" s="90">
        <f t="shared" ca="1" si="65"/>
        <v>-5.6071489241141881E-3</v>
      </c>
    </row>
    <row r="2082" spans="2:8" x14ac:dyDescent="0.3">
      <c r="B2082" s="58">
        <f>'DATA HISTORICAL'!$B2727</f>
        <v>42850</v>
      </c>
      <c r="C2082" s="60">
        <f>'DATA HISTORICAL'!$C2727</f>
        <v>4242.3999999999996</v>
      </c>
      <c r="D2082" s="53">
        <f t="shared" si="64"/>
        <v>2.4059032937038961E-2</v>
      </c>
      <c r="E2082" s="53">
        <v>3.497271324125052E-3</v>
      </c>
      <c r="G2082" s="90">
        <v>2074</v>
      </c>
      <c r="H2082" s="90">
        <f t="shared" ca="1" si="65"/>
        <v>1.2136904915890428E-2</v>
      </c>
    </row>
    <row r="2083" spans="2:8" x14ac:dyDescent="0.3">
      <c r="B2083" s="58">
        <f>'DATA HISTORICAL'!$B2728</f>
        <v>42849</v>
      </c>
      <c r="C2083" s="60">
        <f>'DATA HISTORICAL'!$C2728</f>
        <v>4141.55</v>
      </c>
      <c r="D2083" s="53">
        <f t="shared" si="64"/>
        <v>4.0202953430807646E-2</v>
      </c>
      <c r="E2083" s="53">
        <v>3.4947173608780102E-3</v>
      </c>
      <c r="G2083" s="90">
        <v>2075</v>
      </c>
      <c r="H2083" s="90">
        <f t="shared" ca="1" si="65"/>
        <v>7.3568036241385901E-3</v>
      </c>
    </row>
    <row r="2084" spans="2:8" x14ac:dyDescent="0.3">
      <c r="B2084" s="58">
        <f>'DATA HISTORICAL'!$B2729</f>
        <v>42846</v>
      </c>
      <c r="C2084" s="60">
        <f>'DATA HISTORICAL'!$C2729</f>
        <v>3978.35</v>
      </c>
      <c r="D2084" s="53">
        <f t="shared" si="64"/>
        <v>-7.1132784186113147E-3</v>
      </c>
      <c r="E2084" s="53">
        <v>3.4911911128705209E-3</v>
      </c>
      <c r="G2084" s="90">
        <v>2076</v>
      </c>
      <c r="H2084" s="90">
        <f t="shared" ca="1" si="65"/>
        <v>-1.3815974717445348E-2</v>
      </c>
    </row>
    <row r="2085" spans="2:8" x14ac:dyDescent="0.3">
      <c r="B2085" s="58">
        <f>'DATA HISTORICAL'!$B2730</f>
        <v>42845</v>
      </c>
      <c r="C2085" s="60">
        <f>'DATA HISTORICAL'!$C2730</f>
        <v>4006.75</v>
      </c>
      <c r="D2085" s="53">
        <f t="shared" si="64"/>
        <v>1.6850478291429664E-2</v>
      </c>
      <c r="E2085" s="53">
        <v>3.4868507132304553E-3</v>
      </c>
      <c r="G2085" s="90">
        <v>2077</v>
      </c>
      <c r="H2085" s="90">
        <f t="shared" ca="1" si="65"/>
        <v>3.9537601668112382E-3</v>
      </c>
    </row>
    <row r="2086" spans="2:8" x14ac:dyDescent="0.3">
      <c r="B2086" s="58">
        <f>'DATA HISTORICAL'!$B2731</f>
        <v>42844</v>
      </c>
      <c r="C2086" s="60">
        <f>'DATA HISTORICAL'!$C2731</f>
        <v>3939.8</v>
      </c>
      <c r="D2086" s="53">
        <f t="shared" si="64"/>
        <v>-8.1901367824359309E-3</v>
      </c>
      <c r="E2086" s="53">
        <v>3.4808188667997701E-3</v>
      </c>
      <c r="G2086" s="90">
        <v>2078</v>
      </c>
      <c r="H2086" s="90">
        <f t="shared" ca="1" si="65"/>
        <v>2.4590423217858145E-2</v>
      </c>
    </row>
    <row r="2087" spans="2:8" x14ac:dyDescent="0.3">
      <c r="B2087" s="58">
        <f>'DATA HISTORICAL'!$B2732</f>
        <v>42843</v>
      </c>
      <c r="C2087" s="60">
        <f>'DATA HISTORICAL'!$C2732</f>
        <v>3972.2</v>
      </c>
      <c r="D2087" s="53">
        <f t="shared" si="64"/>
        <v>-6.9367630341939665E-3</v>
      </c>
      <c r="E2087" s="53">
        <v>3.4695255238234289E-3</v>
      </c>
      <c r="G2087" s="90">
        <v>2079</v>
      </c>
      <c r="H2087" s="90">
        <f t="shared" ca="1" si="65"/>
        <v>-1.3030206338275688E-3</v>
      </c>
    </row>
    <row r="2088" spans="2:8" x14ac:dyDescent="0.3">
      <c r="B2088" s="58">
        <f>'DATA HISTORICAL'!$B2733</f>
        <v>42842</v>
      </c>
      <c r="C2088" s="60">
        <f>'DATA HISTORICAL'!$C2733</f>
        <v>3999.85</v>
      </c>
      <c r="D2088" s="53">
        <f t="shared" si="64"/>
        <v>-4.8633375984064161E-3</v>
      </c>
      <c r="E2088" s="53">
        <v>3.4567232438763363E-3</v>
      </c>
      <c r="G2088" s="90">
        <v>2080</v>
      </c>
      <c r="H2088" s="90">
        <f t="shared" ca="1" si="65"/>
        <v>2.6931280188732278E-2</v>
      </c>
    </row>
    <row r="2089" spans="2:8" x14ac:dyDescent="0.3">
      <c r="B2089" s="58">
        <f>'DATA HISTORICAL'!$B2734</f>
        <v>42838</v>
      </c>
      <c r="C2089" s="60">
        <f>'DATA HISTORICAL'!$C2734</f>
        <v>4019.35</v>
      </c>
      <c r="D2089" s="53">
        <f t="shared" si="64"/>
        <v>-3.4151130063143405E-3</v>
      </c>
      <c r="E2089" s="53">
        <v>3.4438271312474448E-3</v>
      </c>
      <c r="G2089" s="90">
        <v>2081</v>
      </c>
      <c r="H2089" s="90">
        <f t="shared" ca="1" si="65"/>
        <v>2.9954560216139649E-2</v>
      </c>
    </row>
    <row r="2090" spans="2:8" x14ac:dyDescent="0.3">
      <c r="B2090" s="58">
        <f>'DATA HISTORICAL'!$B2735</f>
        <v>42837</v>
      </c>
      <c r="C2090" s="60">
        <f>'DATA HISTORICAL'!$C2735</f>
        <v>4033.1</v>
      </c>
      <c r="D2090" s="53">
        <f t="shared" si="64"/>
        <v>-4.9588416156215188E-5</v>
      </c>
      <c r="E2090" s="53">
        <v>3.4320622451898095E-3</v>
      </c>
      <c r="G2090" s="90">
        <v>2082</v>
      </c>
      <c r="H2090" s="90">
        <f t="shared" ca="1" si="65"/>
        <v>1.5919674371734058E-2</v>
      </c>
    </row>
    <row r="2091" spans="2:8" x14ac:dyDescent="0.3">
      <c r="B2091" s="58">
        <f>'DATA HISTORICAL'!$B2736</f>
        <v>42836</v>
      </c>
      <c r="C2091" s="60">
        <f>'DATA HISTORICAL'!$C2736</f>
        <v>4033.3</v>
      </c>
      <c r="D2091" s="53">
        <f t="shared" si="64"/>
        <v>-6.3271015056469513E-3</v>
      </c>
      <c r="E2091" s="53">
        <v>3.4290262513082602E-3</v>
      </c>
      <c r="G2091" s="90">
        <v>2083</v>
      </c>
      <c r="H2091" s="90">
        <f t="shared" ca="1" si="65"/>
        <v>-6.385372781924103E-3</v>
      </c>
    </row>
    <row r="2092" spans="2:8" x14ac:dyDescent="0.3">
      <c r="B2092" s="58">
        <f>'DATA HISTORICAL'!$B2737</f>
        <v>42835</v>
      </c>
      <c r="C2092" s="60">
        <f>'DATA HISTORICAL'!$C2737</f>
        <v>4058.9</v>
      </c>
      <c r="D2092" s="53">
        <f t="shared" si="64"/>
        <v>-5.4300554803966717E-3</v>
      </c>
      <c r="E2092" s="53">
        <v>3.4277209941955596E-3</v>
      </c>
      <c r="G2092" s="90">
        <v>2084</v>
      </c>
      <c r="H2092" s="90">
        <f t="shared" ca="1" si="65"/>
        <v>1.0939270778306235E-2</v>
      </c>
    </row>
    <row r="2093" spans="2:8" x14ac:dyDescent="0.3">
      <c r="B2093" s="58">
        <f>'DATA HISTORICAL'!$B2738</f>
        <v>42832</v>
      </c>
      <c r="C2093" s="60">
        <f>'DATA HISTORICAL'!$C2738</f>
        <v>4081</v>
      </c>
      <c r="D2093" s="53">
        <f t="shared" si="64"/>
        <v>-7.3607382990554015E-3</v>
      </c>
      <c r="E2093" s="53">
        <v>3.4201485499061046E-3</v>
      </c>
      <c r="G2093" s="90">
        <v>2085</v>
      </c>
      <c r="H2093" s="90">
        <f t="shared" ca="1" si="65"/>
        <v>-1.502207347036915E-2</v>
      </c>
    </row>
    <row r="2094" spans="2:8" x14ac:dyDescent="0.3">
      <c r="B2094" s="58">
        <f>'DATA HISTORICAL'!$B2739</f>
        <v>42831</v>
      </c>
      <c r="C2094" s="60">
        <f>'DATA HISTORICAL'!$C2739</f>
        <v>4111.1499999999996</v>
      </c>
      <c r="D2094" s="53">
        <f t="shared" si="64"/>
        <v>7.2994806801198438E-3</v>
      </c>
      <c r="E2094" s="53">
        <v>3.4197650706949858E-3</v>
      </c>
      <c r="G2094" s="90">
        <v>2086</v>
      </c>
      <c r="H2094" s="90">
        <f t="shared" ca="1" si="65"/>
        <v>2.7107613271126995E-2</v>
      </c>
    </row>
    <row r="2095" spans="2:8" x14ac:dyDescent="0.3">
      <c r="B2095" s="58">
        <f>'DATA HISTORICAL'!$B2740</f>
        <v>42830</v>
      </c>
      <c r="C2095" s="60">
        <f>'DATA HISTORICAL'!$C2740</f>
        <v>4081.25</v>
      </c>
      <c r="D2095" s="53">
        <f t="shared" si="64"/>
        <v>1.3443715053952632E-2</v>
      </c>
      <c r="E2095" s="53">
        <v>3.4177634734099496E-3</v>
      </c>
      <c r="G2095" s="90">
        <v>2087</v>
      </c>
      <c r="H2095" s="90">
        <f t="shared" ca="1" si="65"/>
        <v>-7.6501713955276834E-3</v>
      </c>
    </row>
    <row r="2096" spans="2:8" x14ac:dyDescent="0.3">
      <c r="B2096" s="58">
        <f>'DATA HISTORICAL'!$B2741</f>
        <v>42828</v>
      </c>
      <c r="C2096" s="60">
        <f>'DATA HISTORICAL'!$C2741</f>
        <v>4026.75</v>
      </c>
      <c r="D2096" s="53">
        <f t="shared" si="64"/>
        <v>1.0485023971626347E-2</v>
      </c>
      <c r="E2096" s="53">
        <v>3.4121407709365777E-3</v>
      </c>
      <c r="G2096" s="90">
        <v>2088</v>
      </c>
      <c r="H2096" s="90">
        <f t="shared" ca="1" si="65"/>
        <v>-4.0459149814920112E-3</v>
      </c>
    </row>
    <row r="2097" spans="2:8" x14ac:dyDescent="0.3">
      <c r="B2097" s="58">
        <f>'DATA HISTORICAL'!$B2742</f>
        <v>42825</v>
      </c>
      <c r="C2097" s="60">
        <f>'DATA HISTORICAL'!$C2742</f>
        <v>3984.75</v>
      </c>
      <c r="D2097" s="53">
        <f t="shared" si="64"/>
        <v>-9.2810923232678703E-4</v>
      </c>
      <c r="E2097" s="53">
        <v>3.401019906491626E-3</v>
      </c>
      <c r="G2097" s="90">
        <v>2089</v>
      </c>
      <c r="H2097" s="90">
        <f t="shared" ca="1" si="65"/>
        <v>9.0078216968587227E-3</v>
      </c>
    </row>
    <row r="2098" spans="2:8" x14ac:dyDescent="0.3">
      <c r="B2098" s="58">
        <f>'DATA HISTORICAL'!$B2743</f>
        <v>42824</v>
      </c>
      <c r="C2098" s="60">
        <f>'DATA HISTORICAL'!$C2743</f>
        <v>3988.45</v>
      </c>
      <c r="D2098" s="53">
        <f t="shared" si="64"/>
        <v>-2.729163665983015E-3</v>
      </c>
      <c r="E2098" s="53">
        <v>3.3907329474915033E-3</v>
      </c>
      <c r="G2098" s="90">
        <v>2090</v>
      </c>
      <c r="H2098" s="90">
        <f t="shared" ca="1" si="65"/>
        <v>-2.841395298373588E-2</v>
      </c>
    </row>
    <row r="2099" spans="2:8" x14ac:dyDescent="0.3">
      <c r="B2099" s="58">
        <f>'DATA HISTORICAL'!$B2744</f>
        <v>42823</v>
      </c>
      <c r="C2099" s="60">
        <f>'DATA HISTORICAL'!$C2744</f>
        <v>3999.35</v>
      </c>
      <c r="D2099" s="53">
        <f t="shared" si="64"/>
        <v>3.017537802075281E-3</v>
      </c>
      <c r="E2099" s="53">
        <v>3.3878957595824275E-3</v>
      </c>
      <c r="G2099" s="90">
        <v>2091</v>
      </c>
      <c r="H2099" s="90">
        <f t="shared" ca="1" si="65"/>
        <v>2.5668118225536333E-2</v>
      </c>
    </row>
    <row r="2100" spans="2:8" x14ac:dyDescent="0.3">
      <c r="B2100" s="58">
        <f>'DATA HISTORICAL'!$B2745</f>
        <v>42822</v>
      </c>
      <c r="C2100" s="60">
        <f>'DATA HISTORICAL'!$C2745</f>
        <v>3987.3</v>
      </c>
      <c r="D2100" s="53">
        <f t="shared" si="64"/>
        <v>9.0823255655693592E-3</v>
      </c>
      <c r="E2100" s="53">
        <v>3.3837856822433758E-3</v>
      </c>
      <c r="G2100" s="90">
        <v>2092</v>
      </c>
      <c r="H2100" s="90">
        <f t="shared" ca="1" si="65"/>
        <v>2.9548921840916332E-2</v>
      </c>
    </row>
    <row r="2101" spans="2:8" x14ac:dyDescent="0.3">
      <c r="B2101" s="58">
        <f>'DATA HISTORICAL'!$B2746</f>
        <v>42821</v>
      </c>
      <c r="C2101" s="60">
        <f>'DATA HISTORICAL'!$C2746</f>
        <v>3951.25</v>
      </c>
      <c r="D2101" s="53">
        <f t="shared" si="64"/>
        <v>-5.7285777212030898E-3</v>
      </c>
      <c r="E2101" s="53">
        <v>3.3570832738704722E-3</v>
      </c>
      <c r="G2101" s="90">
        <v>2093</v>
      </c>
      <c r="H2101" s="90">
        <f t="shared" ca="1" si="65"/>
        <v>-6.5282587082222321E-3</v>
      </c>
    </row>
    <row r="2102" spans="2:8" x14ac:dyDescent="0.3">
      <c r="B2102" s="58">
        <f>'DATA HISTORICAL'!$B2747</f>
        <v>42818</v>
      </c>
      <c r="C2102" s="60">
        <f>'DATA HISTORICAL'!$C2747</f>
        <v>3973.95</v>
      </c>
      <c r="D2102" s="53">
        <f t="shared" si="64"/>
        <v>-7.5488789950589648E-5</v>
      </c>
      <c r="E2102" s="53">
        <v>3.3452444106362987E-3</v>
      </c>
      <c r="G2102" s="90">
        <v>2094</v>
      </c>
      <c r="H2102" s="90">
        <f t="shared" ca="1" si="65"/>
        <v>-8.477946593312722E-3</v>
      </c>
    </row>
    <row r="2103" spans="2:8" x14ac:dyDescent="0.3">
      <c r="B2103" s="58">
        <f>'DATA HISTORICAL'!$B2748</f>
        <v>42817</v>
      </c>
      <c r="C2103" s="60">
        <f>'DATA HISTORICAL'!$C2748</f>
        <v>3974.25</v>
      </c>
      <c r="D2103" s="53">
        <f t="shared" si="64"/>
        <v>1.0069860502250887E-3</v>
      </c>
      <c r="E2103" s="53">
        <v>3.3446775889424676E-3</v>
      </c>
      <c r="G2103" s="90">
        <v>2095</v>
      </c>
      <c r="H2103" s="90">
        <f t="shared" ca="1" si="65"/>
        <v>-9.7630578763374457E-3</v>
      </c>
    </row>
    <row r="2104" spans="2:8" x14ac:dyDescent="0.3">
      <c r="B2104" s="58">
        <f>'DATA HISTORICAL'!$B2749</f>
        <v>42816</v>
      </c>
      <c r="C2104" s="60">
        <f>'DATA HISTORICAL'!$C2749</f>
        <v>3970.25</v>
      </c>
      <c r="D2104" s="53">
        <f t="shared" si="64"/>
        <v>-9.413397329287634E-3</v>
      </c>
      <c r="E2104" s="53">
        <v>3.3301137230933686E-3</v>
      </c>
      <c r="G2104" s="90">
        <v>2096</v>
      </c>
      <c r="H2104" s="90">
        <f t="shared" ca="1" si="65"/>
        <v>-3.8988559326965074E-3</v>
      </c>
    </row>
    <row r="2105" spans="2:8" x14ac:dyDescent="0.3">
      <c r="B2105" s="58">
        <f>'DATA HISTORICAL'!$B2750</f>
        <v>42815</v>
      </c>
      <c r="C2105" s="60">
        <f>'DATA HISTORICAL'!$C2750</f>
        <v>4007.8</v>
      </c>
      <c r="D2105" s="53">
        <f t="shared" si="64"/>
        <v>1.9981024680575791E-3</v>
      </c>
      <c r="E2105" s="53">
        <v>3.3270635071652138E-3</v>
      </c>
      <c r="G2105" s="90">
        <v>2097</v>
      </c>
      <c r="H2105" s="90">
        <f t="shared" ca="1" si="65"/>
        <v>1.039464851831777E-2</v>
      </c>
    </row>
    <row r="2106" spans="2:8" x14ac:dyDescent="0.3">
      <c r="B2106" s="58">
        <f>'DATA HISTORICAL'!$B2751</f>
        <v>42814</v>
      </c>
      <c r="C2106" s="60">
        <f>'DATA HISTORICAL'!$C2751</f>
        <v>3999.8</v>
      </c>
      <c r="D2106" s="53">
        <f t="shared" si="64"/>
        <v>-9.9508259273041934E-3</v>
      </c>
      <c r="E2106" s="53">
        <v>3.3181881415580094E-3</v>
      </c>
      <c r="G2106" s="90">
        <v>2098</v>
      </c>
      <c r="H2106" s="90">
        <f t="shared" ca="1" si="65"/>
        <v>-8.9409297446098497E-5</v>
      </c>
    </row>
    <row r="2107" spans="2:8" x14ac:dyDescent="0.3">
      <c r="B2107" s="58">
        <f>'DATA HISTORICAL'!$B2752</f>
        <v>42811</v>
      </c>
      <c r="C2107" s="60">
        <f>'DATA HISTORICAL'!$C2752</f>
        <v>4039.8</v>
      </c>
      <c r="D2107" s="53">
        <f t="shared" si="64"/>
        <v>-4.137672876575231E-3</v>
      </c>
      <c r="E2107" s="53">
        <v>3.3047236739923843E-3</v>
      </c>
      <c r="G2107" s="90">
        <v>2099</v>
      </c>
      <c r="H2107" s="90">
        <f t="shared" ca="1" si="65"/>
        <v>3.2142477211324549E-3</v>
      </c>
    </row>
    <row r="2108" spans="2:8" x14ac:dyDescent="0.3">
      <c r="B2108" s="58">
        <f>'DATA HISTORICAL'!$B2753</f>
        <v>42810</v>
      </c>
      <c r="C2108" s="60">
        <f>'DATA HISTORICAL'!$C2753</f>
        <v>4056.55</v>
      </c>
      <c r="D2108" s="53">
        <f t="shared" si="64"/>
        <v>9.6854856723600034E-3</v>
      </c>
      <c r="E2108" s="53">
        <v>3.301007024982071E-3</v>
      </c>
      <c r="G2108" s="90">
        <v>2100</v>
      </c>
      <c r="H2108" s="90">
        <f t="shared" ca="1" si="65"/>
        <v>2.8336310772932628E-2</v>
      </c>
    </row>
    <row r="2109" spans="2:8" x14ac:dyDescent="0.3">
      <c r="B2109" s="58">
        <f>'DATA HISTORICAL'!$B2754</f>
        <v>42809</v>
      </c>
      <c r="C2109" s="60">
        <f>'DATA HISTORICAL'!$C2754</f>
        <v>4017.45</v>
      </c>
      <c r="D2109" s="53">
        <f t="shared" si="64"/>
        <v>4.6155463406334467E-3</v>
      </c>
      <c r="E2109" s="53">
        <v>3.2968016210572172E-3</v>
      </c>
      <c r="G2109" s="90">
        <v>2101</v>
      </c>
      <c r="H2109" s="90">
        <f t="shared" ca="1" si="65"/>
        <v>-5.2022446986552144E-3</v>
      </c>
    </row>
    <row r="2110" spans="2:8" x14ac:dyDescent="0.3">
      <c r="B2110" s="58">
        <f>'DATA HISTORICAL'!$B2755</f>
        <v>42808</v>
      </c>
      <c r="C2110" s="60">
        <f>'DATA HISTORICAL'!$C2755</f>
        <v>3998.95</v>
      </c>
      <c r="D2110" s="53">
        <f t="shared" si="64"/>
        <v>3.7322517118158142E-2</v>
      </c>
      <c r="E2110" s="53">
        <v>3.2957103242714091E-3</v>
      </c>
      <c r="G2110" s="90">
        <v>2102</v>
      </c>
      <c r="H2110" s="90">
        <f t="shared" ca="1" si="65"/>
        <v>1.3109340946112514E-2</v>
      </c>
    </row>
    <row r="2111" spans="2:8" x14ac:dyDescent="0.3">
      <c r="B2111" s="58">
        <f>'DATA HISTORICAL'!$B2756</f>
        <v>42804</v>
      </c>
      <c r="C2111" s="60">
        <f>'DATA HISTORICAL'!$C2756</f>
        <v>3852.45</v>
      </c>
      <c r="D2111" s="53">
        <f t="shared" si="64"/>
        <v>7.7130917999967425E-3</v>
      </c>
      <c r="E2111" s="53">
        <v>3.2908550144369968E-3</v>
      </c>
      <c r="G2111" s="90">
        <v>2103</v>
      </c>
      <c r="H2111" s="90">
        <f t="shared" ca="1" si="65"/>
        <v>2.0113115492016088E-2</v>
      </c>
    </row>
    <row r="2112" spans="2:8" x14ac:dyDescent="0.3">
      <c r="B2112" s="58">
        <f>'DATA HISTORICAL'!$B2757</f>
        <v>42803</v>
      </c>
      <c r="C2112" s="60">
        <f>'DATA HISTORICAL'!$C2757</f>
        <v>3822.85</v>
      </c>
      <c r="D2112" s="53">
        <f t="shared" si="64"/>
        <v>5.0482310594280677E-3</v>
      </c>
      <c r="E2112" s="53">
        <v>3.2895033025023557E-3</v>
      </c>
      <c r="G2112" s="90">
        <v>2104</v>
      </c>
      <c r="H2112" s="90">
        <f t="shared" ca="1" si="65"/>
        <v>-1.5733167406641369E-2</v>
      </c>
    </row>
    <row r="2113" spans="2:8" x14ac:dyDescent="0.3">
      <c r="B2113" s="58">
        <f>'DATA HISTORICAL'!$B2758</f>
        <v>42802</v>
      </c>
      <c r="C2113" s="60">
        <f>'DATA HISTORICAL'!$C2758</f>
        <v>3803.6</v>
      </c>
      <c r="D2113" s="53">
        <f t="shared" si="64"/>
        <v>4.4002442383634871E-3</v>
      </c>
      <c r="E2113" s="53">
        <v>3.2773689397067323E-3</v>
      </c>
      <c r="G2113" s="90">
        <v>2105</v>
      </c>
      <c r="H2113" s="90">
        <f t="shared" ca="1" si="65"/>
        <v>-6.9279068108778381E-4</v>
      </c>
    </row>
    <row r="2114" spans="2:8" x14ac:dyDescent="0.3">
      <c r="B2114" s="58">
        <f>'DATA HISTORICAL'!$B2759</f>
        <v>42801</v>
      </c>
      <c r="C2114" s="60">
        <f>'DATA HISTORICAL'!$C2759</f>
        <v>3786.9</v>
      </c>
      <c r="D2114" s="53">
        <f t="shared" si="64"/>
        <v>-9.7754030300595349E-3</v>
      </c>
      <c r="E2114" s="53">
        <v>3.2628291773132215E-3</v>
      </c>
      <c r="G2114" s="90">
        <v>2106</v>
      </c>
      <c r="H2114" s="90">
        <f t="shared" ca="1" si="65"/>
        <v>2.6811075028232371E-2</v>
      </c>
    </row>
    <row r="2115" spans="2:8" x14ac:dyDescent="0.3">
      <c r="B2115" s="58">
        <f>'DATA HISTORICAL'!$B2760</f>
        <v>42800</v>
      </c>
      <c r="C2115" s="60">
        <f>'DATA HISTORICAL'!$C2760</f>
        <v>3824.1</v>
      </c>
      <c r="D2115" s="53">
        <f t="shared" si="64"/>
        <v>5.8616584364167626E-3</v>
      </c>
      <c r="E2115" s="53">
        <v>3.2599511625191128E-3</v>
      </c>
      <c r="G2115" s="90">
        <v>2107</v>
      </c>
      <c r="H2115" s="90">
        <f t="shared" ca="1" si="65"/>
        <v>-1.6339107845355107E-2</v>
      </c>
    </row>
    <row r="2116" spans="2:8" x14ac:dyDescent="0.3">
      <c r="B2116" s="58">
        <f>'DATA HISTORICAL'!$B2761</f>
        <v>42797</v>
      </c>
      <c r="C2116" s="60">
        <f>'DATA HISTORICAL'!$C2761</f>
        <v>3801.75</v>
      </c>
      <c r="D2116" s="53">
        <f t="shared" si="64"/>
        <v>-4.2128534462330357E-3</v>
      </c>
      <c r="E2116" s="53">
        <v>3.2589791163992457E-3</v>
      </c>
      <c r="G2116" s="90">
        <v>2108</v>
      </c>
      <c r="H2116" s="90">
        <f t="shared" ca="1" si="65"/>
        <v>1.3276906189791509E-2</v>
      </c>
    </row>
    <row r="2117" spans="2:8" x14ac:dyDescent="0.3">
      <c r="B2117" s="58">
        <f>'DATA HISTORICAL'!$B2762</f>
        <v>42796</v>
      </c>
      <c r="C2117" s="60">
        <f>'DATA HISTORICAL'!$C2762</f>
        <v>3817.8</v>
      </c>
      <c r="D2117" s="53">
        <f t="shared" si="64"/>
        <v>2.2971244138996517E-2</v>
      </c>
      <c r="E2117" s="53">
        <v>3.258333142171956E-3</v>
      </c>
      <c r="G2117" s="90">
        <v>2109</v>
      </c>
      <c r="H2117" s="90">
        <f t="shared" ca="1" si="65"/>
        <v>7.5935194962371208E-3</v>
      </c>
    </row>
    <row r="2118" spans="2:8" x14ac:dyDescent="0.3">
      <c r="B2118" s="58">
        <f>'DATA HISTORICAL'!$B2763</f>
        <v>42795</v>
      </c>
      <c r="C2118" s="60">
        <f>'DATA HISTORICAL'!$C2763</f>
        <v>3731.1</v>
      </c>
      <c r="D2118" s="53">
        <f t="shared" si="64"/>
        <v>-1.1578073951790674E-2</v>
      </c>
      <c r="E2118" s="53">
        <v>3.2538668343536394E-3</v>
      </c>
      <c r="G2118" s="90">
        <v>2110</v>
      </c>
      <c r="H2118" s="90">
        <f t="shared" ca="1" si="65"/>
        <v>3.3432604951428926E-3</v>
      </c>
    </row>
    <row r="2119" spans="2:8" x14ac:dyDescent="0.3">
      <c r="B2119" s="58">
        <f>'DATA HISTORICAL'!$B2764</f>
        <v>42794</v>
      </c>
      <c r="C2119" s="60">
        <f>'DATA HISTORICAL'!$C2764</f>
        <v>3774.55</v>
      </c>
      <c r="D2119" s="53">
        <f t="shared" si="64"/>
        <v>9.9445023607952088E-3</v>
      </c>
      <c r="E2119" s="53">
        <v>3.2496527838336794E-3</v>
      </c>
      <c r="G2119" s="90">
        <v>2111</v>
      </c>
      <c r="H2119" s="90">
        <f t="shared" ca="1" si="65"/>
        <v>-1.7780617098390548E-2</v>
      </c>
    </row>
    <row r="2120" spans="2:8" x14ac:dyDescent="0.3">
      <c r="B2120" s="58">
        <f>'DATA HISTORICAL'!$B2765</f>
        <v>42793</v>
      </c>
      <c r="C2120" s="60">
        <f>'DATA HISTORICAL'!$C2765</f>
        <v>3737.2</v>
      </c>
      <c r="D2120" s="53">
        <f t="shared" si="64"/>
        <v>-1.2999797602545824E-2</v>
      </c>
      <c r="E2120" s="53">
        <v>3.2492419018278025E-3</v>
      </c>
      <c r="G2120" s="90">
        <v>2112</v>
      </c>
      <c r="H2120" s="90">
        <f t="shared" ca="1" si="65"/>
        <v>1.3445612647323187E-4</v>
      </c>
    </row>
    <row r="2121" spans="2:8" x14ac:dyDescent="0.3">
      <c r="B2121" s="58">
        <f>'DATA HISTORICAL'!$B2766</f>
        <v>42789</v>
      </c>
      <c r="C2121" s="60">
        <f>'DATA HISTORICAL'!$C2766</f>
        <v>3786.1</v>
      </c>
      <c r="D2121" s="53">
        <f t="shared" ref="D2121:D2184" si="66">LN(C2121/C2122)</f>
        <v>2.1946359236271508E-3</v>
      </c>
      <c r="E2121" s="53">
        <v>3.2463097949550026E-3</v>
      </c>
      <c r="G2121" s="90">
        <v>2113</v>
      </c>
      <c r="H2121" s="90">
        <f t="shared" ref="H2121:H2184" ca="1" si="67">_xlfn.NORM.INV(RAND(),N$10,N$11)</f>
        <v>1.4124402610911361E-2</v>
      </c>
    </row>
    <row r="2122" spans="2:8" x14ac:dyDescent="0.3">
      <c r="B2122" s="58">
        <f>'DATA HISTORICAL'!$B2767</f>
        <v>42788</v>
      </c>
      <c r="C2122" s="60">
        <f>'DATA HISTORICAL'!$C2767</f>
        <v>3777.8</v>
      </c>
      <c r="D2122" s="53">
        <f t="shared" si="66"/>
        <v>2.2392568137330911E-3</v>
      </c>
      <c r="E2122" s="53">
        <v>3.2387261851469884E-3</v>
      </c>
      <c r="G2122" s="90">
        <v>2114</v>
      </c>
      <c r="H2122" s="90">
        <f t="shared" ca="1" si="67"/>
        <v>3.429875721155335E-2</v>
      </c>
    </row>
    <row r="2123" spans="2:8" x14ac:dyDescent="0.3">
      <c r="B2123" s="58">
        <f>'DATA HISTORICAL'!$B2768</f>
        <v>42787</v>
      </c>
      <c r="C2123" s="60">
        <f>'DATA HISTORICAL'!$C2768</f>
        <v>3769.35</v>
      </c>
      <c r="D2123" s="53">
        <f t="shared" si="66"/>
        <v>3.3749699853470564E-3</v>
      </c>
      <c r="E2123" s="53">
        <v>3.2348972379969191E-3</v>
      </c>
      <c r="G2123" s="90">
        <v>2115</v>
      </c>
      <c r="H2123" s="90">
        <f t="shared" ca="1" si="67"/>
        <v>-2.1434637382082206E-2</v>
      </c>
    </row>
    <row r="2124" spans="2:8" x14ac:dyDescent="0.3">
      <c r="B2124" s="58">
        <f>'DATA HISTORICAL'!$B2769</f>
        <v>42786</v>
      </c>
      <c r="C2124" s="60">
        <f>'DATA HISTORICAL'!$C2769</f>
        <v>3756.65</v>
      </c>
      <c r="D2124" s="53">
        <f t="shared" si="66"/>
        <v>1.0207241655284357E-2</v>
      </c>
      <c r="E2124" s="53">
        <v>3.2348311390317679E-3</v>
      </c>
      <c r="G2124" s="90">
        <v>2116</v>
      </c>
      <c r="H2124" s="90">
        <f t="shared" ca="1" si="67"/>
        <v>-2.765719501376868E-2</v>
      </c>
    </row>
    <row r="2125" spans="2:8" x14ac:dyDescent="0.3">
      <c r="B2125" s="58">
        <f>'DATA HISTORICAL'!$B2770</f>
        <v>42783</v>
      </c>
      <c r="C2125" s="60">
        <f>'DATA HISTORICAL'!$C2770</f>
        <v>3718.5</v>
      </c>
      <c r="D2125" s="53">
        <f t="shared" si="66"/>
        <v>1.143587625892566E-3</v>
      </c>
      <c r="E2125" s="53">
        <v>3.2158345586615865E-3</v>
      </c>
      <c r="G2125" s="90">
        <v>2117</v>
      </c>
      <c r="H2125" s="90">
        <f t="shared" ca="1" si="67"/>
        <v>1.1362446818405014E-2</v>
      </c>
    </row>
    <row r="2126" spans="2:8" x14ac:dyDescent="0.3">
      <c r="B2126" s="58">
        <f>'DATA HISTORICAL'!$B2771</f>
        <v>42782</v>
      </c>
      <c r="C2126" s="60">
        <f>'DATA HISTORICAL'!$C2771</f>
        <v>3714.25</v>
      </c>
      <c r="D2126" s="53">
        <f t="shared" si="66"/>
        <v>9.7668651505435113E-3</v>
      </c>
      <c r="E2126" s="53">
        <v>3.2156800195918167E-3</v>
      </c>
      <c r="G2126" s="90">
        <v>2118</v>
      </c>
      <c r="H2126" s="90">
        <f t="shared" ca="1" si="67"/>
        <v>5.0265280980030056E-3</v>
      </c>
    </row>
    <row r="2127" spans="2:8" x14ac:dyDescent="0.3">
      <c r="B2127" s="58">
        <f>'DATA HISTORICAL'!$B2772</f>
        <v>42781</v>
      </c>
      <c r="C2127" s="60">
        <f>'DATA HISTORICAL'!$C2772</f>
        <v>3678.15</v>
      </c>
      <c r="D2127" s="53">
        <f t="shared" si="66"/>
        <v>-7.448773572208839E-3</v>
      </c>
      <c r="E2127" s="53">
        <v>3.2148044209026881E-3</v>
      </c>
      <c r="G2127" s="90">
        <v>2119</v>
      </c>
      <c r="H2127" s="90">
        <f t="shared" ca="1" si="67"/>
        <v>4.220968471963453E-3</v>
      </c>
    </row>
    <row r="2128" spans="2:8" x14ac:dyDescent="0.3">
      <c r="B2128" s="58">
        <f>'DATA HISTORICAL'!$B2773</f>
        <v>42780</v>
      </c>
      <c r="C2128" s="60">
        <f>'DATA HISTORICAL'!$C2773</f>
        <v>3705.65</v>
      </c>
      <c r="D2128" s="53">
        <f t="shared" si="66"/>
        <v>-1.6606053753063059E-2</v>
      </c>
      <c r="E2128" s="53">
        <v>3.1992985452390685E-3</v>
      </c>
      <c r="G2128" s="90">
        <v>2120</v>
      </c>
      <c r="H2128" s="90">
        <f t="shared" ca="1" si="67"/>
        <v>-1.2630226226914201E-2</v>
      </c>
    </row>
    <row r="2129" spans="2:8" x14ac:dyDescent="0.3">
      <c r="B2129" s="58">
        <f>'DATA HISTORICAL'!$B2774</f>
        <v>42779</v>
      </c>
      <c r="C2129" s="60">
        <f>'DATA HISTORICAL'!$C2774</f>
        <v>3767.7</v>
      </c>
      <c r="D2129" s="53">
        <f t="shared" si="66"/>
        <v>1.5405867900411729E-3</v>
      </c>
      <c r="E2129" s="53">
        <v>3.1978627124289285E-3</v>
      </c>
      <c r="G2129" s="90">
        <v>2121</v>
      </c>
      <c r="H2129" s="90">
        <f t="shared" ca="1" si="67"/>
        <v>1.1873117347987953E-2</v>
      </c>
    </row>
    <row r="2130" spans="2:8" x14ac:dyDescent="0.3">
      <c r="B2130" s="58">
        <f>'DATA HISTORICAL'!$B2775</f>
        <v>42776</v>
      </c>
      <c r="C2130" s="60">
        <f>'DATA HISTORICAL'!$C2775</f>
        <v>3761.9</v>
      </c>
      <c r="D2130" s="53">
        <f t="shared" si="66"/>
        <v>2.5151889336704402E-3</v>
      </c>
      <c r="E2130" s="53">
        <v>3.1973717460028412E-3</v>
      </c>
      <c r="G2130" s="90">
        <v>2122</v>
      </c>
      <c r="H2130" s="90">
        <f t="shared" ca="1" si="67"/>
        <v>3.8015568589286355E-2</v>
      </c>
    </row>
    <row r="2131" spans="2:8" x14ac:dyDescent="0.3">
      <c r="B2131" s="58">
        <f>'DATA HISTORICAL'!$B2776</f>
        <v>42775</v>
      </c>
      <c r="C2131" s="60">
        <f>'DATA HISTORICAL'!$C2776</f>
        <v>3752.45</v>
      </c>
      <c r="D2131" s="53">
        <f t="shared" si="66"/>
        <v>9.2499672295410958E-3</v>
      </c>
      <c r="E2131" s="53">
        <v>3.1889639903587464E-3</v>
      </c>
      <c r="G2131" s="90">
        <v>2123</v>
      </c>
      <c r="H2131" s="90">
        <f t="shared" ca="1" si="67"/>
        <v>1.8029874147742663E-2</v>
      </c>
    </row>
    <row r="2132" spans="2:8" x14ac:dyDescent="0.3">
      <c r="B2132" s="58">
        <f>'DATA HISTORICAL'!$B2777</f>
        <v>42774</v>
      </c>
      <c r="C2132" s="60">
        <f>'DATA HISTORICAL'!$C2777</f>
        <v>3717.9</v>
      </c>
      <c r="D2132" s="53">
        <f t="shared" si="66"/>
        <v>5.9078389773635871E-3</v>
      </c>
      <c r="E2132" s="53">
        <v>3.1792529237723425E-3</v>
      </c>
      <c r="G2132" s="90">
        <v>2124</v>
      </c>
      <c r="H2132" s="90">
        <f t="shared" ca="1" si="67"/>
        <v>1.978138357125658E-2</v>
      </c>
    </row>
    <row r="2133" spans="2:8" x14ac:dyDescent="0.3">
      <c r="B2133" s="58">
        <f>'DATA HISTORICAL'!$B2778</f>
        <v>42773</v>
      </c>
      <c r="C2133" s="60">
        <f>'DATA HISTORICAL'!$C2778</f>
        <v>3696</v>
      </c>
      <c r="D2133" s="53">
        <f t="shared" si="66"/>
        <v>-1.5797183901085102E-2</v>
      </c>
      <c r="E2133" s="53">
        <v>3.1724133132702338E-3</v>
      </c>
      <c r="G2133" s="90">
        <v>2125</v>
      </c>
      <c r="H2133" s="90">
        <f t="shared" ca="1" si="67"/>
        <v>-2.4442912076727465E-4</v>
      </c>
    </row>
    <row r="2134" spans="2:8" x14ac:dyDescent="0.3">
      <c r="B2134" s="58">
        <f>'DATA HISTORICAL'!$B2779</f>
        <v>42772</v>
      </c>
      <c r="C2134" s="60">
        <f>'DATA HISTORICAL'!$C2779</f>
        <v>3754.85</v>
      </c>
      <c r="D2134" s="53">
        <f t="shared" si="66"/>
        <v>4.6313989637178712E-3</v>
      </c>
      <c r="E2134" s="53">
        <v>3.1621051346481998E-3</v>
      </c>
      <c r="G2134" s="90">
        <v>2126</v>
      </c>
      <c r="H2134" s="90">
        <f t="shared" ca="1" si="67"/>
        <v>-1.3535715591886047E-2</v>
      </c>
    </row>
    <row r="2135" spans="2:8" x14ac:dyDescent="0.3">
      <c r="B2135" s="58">
        <f>'DATA HISTORICAL'!$B2780</f>
        <v>42769</v>
      </c>
      <c r="C2135" s="60">
        <f>'DATA HISTORICAL'!$C2780</f>
        <v>3737.5</v>
      </c>
      <c r="D2135" s="53">
        <f t="shared" si="66"/>
        <v>4.276690546533359E-3</v>
      </c>
      <c r="E2135" s="53">
        <v>3.1619389439508047E-3</v>
      </c>
      <c r="G2135" s="90">
        <v>2127</v>
      </c>
      <c r="H2135" s="90">
        <f t="shared" ca="1" si="67"/>
        <v>4.5442570378792686E-2</v>
      </c>
    </row>
    <row r="2136" spans="2:8" x14ac:dyDescent="0.3">
      <c r="B2136" s="58">
        <f>'DATA HISTORICAL'!$B2781</f>
        <v>42768</v>
      </c>
      <c r="C2136" s="60">
        <f>'DATA HISTORICAL'!$C2781</f>
        <v>3721.55</v>
      </c>
      <c r="D2136" s="53">
        <f t="shared" si="66"/>
        <v>-1.5517621707902007E-2</v>
      </c>
      <c r="E2136" s="53">
        <v>3.1608262264820231E-3</v>
      </c>
      <c r="G2136" s="90">
        <v>2128</v>
      </c>
      <c r="H2136" s="90">
        <f t="shared" ca="1" si="67"/>
        <v>2.2380169030698439E-2</v>
      </c>
    </row>
    <row r="2137" spans="2:8" x14ac:dyDescent="0.3">
      <c r="B2137" s="58">
        <f>'DATA HISTORICAL'!$B2782</f>
        <v>42767</v>
      </c>
      <c r="C2137" s="60">
        <f>'DATA HISTORICAL'!$C2782</f>
        <v>3779.75</v>
      </c>
      <c r="D2137" s="53">
        <f t="shared" si="66"/>
        <v>2.2826176354261946E-2</v>
      </c>
      <c r="E2137" s="53">
        <v>3.145612144998752E-3</v>
      </c>
      <c r="G2137" s="90">
        <v>2129</v>
      </c>
      <c r="H2137" s="90">
        <f t="shared" ca="1" si="67"/>
        <v>4.203364730923273E-2</v>
      </c>
    </row>
    <row r="2138" spans="2:8" x14ac:dyDescent="0.3">
      <c r="B2138" s="58">
        <f>'DATA HISTORICAL'!$B2783</f>
        <v>42766</v>
      </c>
      <c r="C2138" s="60">
        <f>'DATA HISTORICAL'!$C2783</f>
        <v>3694.45</v>
      </c>
      <c r="D2138" s="53">
        <f t="shared" si="66"/>
        <v>1.4888303911305515E-4</v>
      </c>
      <c r="E2138" s="53">
        <v>3.1447499735014037E-3</v>
      </c>
      <c r="G2138" s="90">
        <v>2130</v>
      </c>
      <c r="H2138" s="90">
        <f t="shared" ca="1" si="67"/>
        <v>9.7190847440888697E-3</v>
      </c>
    </row>
    <row r="2139" spans="2:8" x14ac:dyDescent="0.3">
      <c r="B2139" s="58">
        <f>'DATA HISTORICAL'!$B2784</f>
        <v>42765</v>
      </c>
      <c r="C2139" s="60">
        <f>'DATA HISTORICAL'!$C2784</f>
        <v>3693.9</v>
      </c>
      <c r="D2139" s="53">
        <f t="shared" si="66"/>
        <v>2.0595655094658065E-3</v>
      </c>
      <c r="E2139" s="53">
        <v>3.1166822409653527E-3</v>
      </c>
      <c r="G2139" s="90">
        <v>2131</v>
      </c>
      <c r="H2139" s="90">
        <f t="shared" ca="1" si="67"/>
        <v>-1.3463803820614587E-2</v>
      </c>
    </row>
    <row r="2140" spans="2:8" x14ac:dyDescent="0.3">
      <c r="B2140" s="58">
        <f>'DATA HISTORICAL'!$B2785</f>
        <v>42762</v>
      </c>
      <c r="C2140" s="60">
        <f>'DATA HISTORICAL'!$C2785</f>
        <v>3686.3</v>
      </c>
      <c r="D2140" s="53">
        <f t="shared" si="66"/>
        <v>1.6018030492636153E-3</v>
      </c>
      <c r="E2140" s="53">
        <v>3.1116322266959446E-3</v>
      </c>
      <c r="G2140" s="90">
        <v>2132</v>
      </c>
      <c r="H2140" s="90">
        <f t="shared" ca="1" si="67"/>
        <v>-1.8175132207253867E-2</v>
      </c>
    </row>
    <row r="2141" spans="2:8" x14ac:dyDescent="0.3">
      <c r="B2141" s="58">
        <f>'DATA HISTORICAL'!$B2786</f>
        <v>42760</v>
      </c>
      <c r="C2141" s="60">
        <f>'DATA HISTORICAL'!$C2786</f>
        <v>3680.4</v>
      </c>
      <c r="D2141" s="53">
        <f t="shared" si="66"/>
        <v>6.4193208272899311E-3</v>
      </c>
      <c r="E2141" s="53">
        <v>3.1033208245291079E-3</v>
      </c>
      <c r="G2141" s="90">
        <v>2133</v>
      </c>
      <c r="H2141" s="90">
        <f t="shared" ca="1" si="67"/>
        <v>4.2219568430544464E-3</v>
      </c>
    </row>
    <row r="2142" spans="2:8" x14ac:dyDescent="0.3">
      <c r="B2142" s="58">
        <f>'DATA HISTORICAL'!$B2787</f>
        <v>42759</v>
      </c>
      <c r="C2142" s="60">
        <f>'DATA HISTORICAL'!$C2787</f>
        <v>3656.85</v>
      </c>
      <c r="D2142" s="53">
        <f t="shared" si="66"/>
        <v>3.5927673903539396E-2</v>
      </c>
      <c r="E2142" s="53">
        <v>3.0890318922935679E-3</v>
      </c>
      <c r="G2142" s="90">
        <v>2134</v>
      </c>
      <c r="H2142" s="90">
        <f t="shared" ca="1" si="67"/>
        <v>-8.4571901295264311E-3</v>
      </c>
    </row>
    <row r="2143" spans="2:8" x14ac:dyDescent="0.3">
      <c r="B2143" s="58">
        <f>'DATA HISTORICAL'!$B2788</f>
        <v>42758</v>
      </c>
      <c r="C2143" s="60">
        <f>'DATA HISTORICAL'!$C2788</f>
        <v>3527.8</v>
      </c>
      <c r="D2143" s="53">
        <f t="shared" si="66"/>
        <v>1.6044461930060872E-2</v>
      </c>
      <c r="E2143" s="53">
        <v>3.068963775952731E-3</v>
      </c>
      <c r="G2143" s="90">
        <v>2135</v>
      </c>
      <c r="H2143" s="90">
        <f t="shared" ca="1" si="67"/>
        <v>2.0918989890313794E-5</v>
      </c>
    </row>
    <row r="2144" spans="2:8" x14ac:dyDescent="0.3">
      <c r="B2144" s="58">
        <f>'DATA HISTORICAL'!$B2789</f>
        <v>42755</v>
      </c>
      <c r="C2144" s="60">
        <f>'DATA HISTORICAL'!$C2789</f>
        <v>3471.65</v>
      </c>
      <c r="D2144" s="53">
        <f t="shared" si="66"/>
        <v>2.9424088385002919E-3</v>
      </c>
      <c r="E2144" s="53">
        <v>3.0562716929228313E-3</v>
      </c>
      <c r="G2144" s="90">
        <v>2136</v>
      </c>
      <c r="H2144" s="90">
        <f t="shared" ca="1" si="67"/>
        <v>-2.57413518967116E-2</v>
      </c>
    </row>
    <row r="2145" spans="2:8" x14ac:dyDescent="0.3">
      <c r="B2145" s="58">
        <f>'DATA HISTORICAL'!$B2790</f>
        <v>42754</v>
      </c>
      <c r="C2145" s="60">
        <f>'DATA HISTORICAL'!$C2790</f>
        <v>3461.45</v>
      </c>
      <c r="D2145" s="53">
        <f t="shared" si="66"/>
        <v>-1.1546709552580883E-2</v>
      </c>
      <c r="E2145" s="53">
        <v>3.0561710545784601E-3</v>
      </c>
      <c r="G2145" s="90">
        <v>2137</v>
      </c>
      <c r="H2145" s="90">
        <f t="shared" ca="1" si="67"/>
        <v>1.7681151938843263E-2</v>
      </c>
    </row>
    <row r="2146" spans="2:8" x14ac:dyDescent="0.3">
      <c r="B2146" s="58">
        <f>'DATA HISTORICAL'!$B2791</f>
        <v>42753</v>
      </c>
      <c r="C2146" s="60">
        <f>'DATA HISTORICAL'!$C2791</f>
        <v>3501.65</v>
      </c>
      <c r="D2146" s="53">
        <f t="shared" si="66"/>
        <v>3.528461472252923E-2</v>
      </c>
      <c r="E2146" s="53">
        <v>3.0244933058541368E-3</v>
      </c>
      <c r="G2146" s="90">
        <v>2138</v>
      </c>
      <c r="H2146" s="90">
        <f t="shared" ca="1" si="67"/>
        <v>2.7988849637322781E-2</v>
      </c>
    </row>
    <row r="2147" spans="2:8" x14ac:dyDescent="0.3">
      <c r="B2147" s="58">
        <f>'DATA HISTORICAL'!$B2792</f>
        <v>42752</v>
      </c>
      <c r="C2147" s="60">
        <f>'DATA HISTORICAL'!$C2792</f>
        <v>3380.25</v>
      </c>
      <c r="D2147" s="53">
        <f t="shared" si="66"/>
        <v>1.1918985821350415E-2</v>
      </c>
      <c r="E2147" s="53">
        <v>3.0113024121194696E-3</v>
      </c>
      <c r="G2147" s="90">
        <v>2139</v>
      </c>
      <c r="H2147" s="90">
        <f t="shared" ca="1" si="67"/>
        <v>1.0946054888410411E-2</v>
      </c>
    </row>
    <row r="2148" spans="2:8" x14ac:dyDescent="0.3">
      <c r="B2148" s="58">
        <f>'DATA HISTORICAL'!$B2793</f>
        <v>42751</v>
      </c>
      <c r="C2148" s="60">
        <f>'DATA HISTORICAL'!$C2793</f>
        <v>3340.2</v>
      </c>
      <c r="D2148" s="53">
        <f t="shared" si="66"/>
        <v>6.1562680356073837E-3</v>
      </c>
      <c r="E2148" s="53">
        <v>3.0071633871285777E-3</v>
      </c>
      <c r="G2148" s="90">
        <v>2140</v>
      </c>
      <c r="H2148" s="90">
        <f t="shared" ca="1" si="67"/>
        <v>8.0545595951618098E-3</v>
      </c>
    </row>
    <row r="2149" spans="2:8" x14ac:dyDescent="0.3">
      <c r="B2149" s="58">
        <f>'DATA HISTORICAL'!$B2794</f>
        <v>42748</v>
      </c>
      <c r="C2149" s="60">
        <f>'DATA HISTORICAL'!$C2794</f>
        <v>3319.7</v>
      </c>
      <c r="D2149" s="53">
        <f t="shared" si="66"/>
        <v>-9.8319187739238974E-3</v>
      </c>
      <c r="E2149" s="53">
        <v>2.9969365717577219E-3</v>
      </c>
      <c r="G2149" s="90">
        <v>2141</v>
      </c>
      <c r="H2149" s="90">
        <f t="shared" ca="1" si="67"/>
        <v>-1.1302461220753591E-3</v>
      </c>
    </row>
    <row r="2150" spans="2:8" x14ac:dyDescent="0.3">
      <c r="B2150" s="58">
        <f>'DATA HISTORICAL'!$B2795</f>
        <v>42747</v>
      </c>
      <c r="C2150" s="60">
        <f>'DATA HISTORICAL'!$C2795</f>
        <v>3352.5</v>
      </c>
      <c r="D2150" s="53">
        <f t="shared" si="66"/>
        <v>-1.7895490384187642E-4</v>
      </c>
      <c r="E2150" s="53">
        <v>2.9931180681318859E-3</v>
      </c>
      <c r="G2150" s="90">
        <v>2142</v>
      </c>
      <c r="H2150" s="90">
        <f t="shared" ca="1" si="67"/>
        <v>9.0779161891055161E-3</v>
      </c>
    </row>
    <row r="2151" spans="2:8" x14ac:dyDescent="0.3">
      <c r="B2151" s="58">
        <f>'DATA HISTORICAL'!$B2796</f>
        <v>42746</v>
      </c>
      <c r="C2151" s="60">
        <f>'DATA HISTORICAL'!$C2796</f>
        <v>3353.1</v>
      </c>
      <c r="D2151" s="53">
        <f t="shared" si="66"/>
        <v>2.220956566866911E-2</v>
      </c>
      <c r="E2151" s="53">
        <v>2.9798947649006449E-3</v>
      </c>
      <c r="G2151" s="90">
        <v>2143</v>
      </c>
      <c r="H2151" s="90">
        <f t="shared" ca="1" si="67"/>
        <v>-9.3128715034546776E-3</v>
      </c>
    </row>
    <row r="2152" spans="2:8" x14ac:dyDescent="0.3">
      <c r="B2152" s="58">
        <f>'DATA HISTORICAL'!$B2797</f>
        <v>42745</v>
      </c>
      <c r="C2152" s="60">
        <f>'DATA HISTORICAL'!$C2797</f>
        <v>3279.45</v>
      </c>
      <c r="D2152" s="53">
        <f t="shared" si="66"/>
        <v>-3.7739913617623904E-3</v>
      </c>
      <c r="E2152" s="53">
        <v>2.9790817011671219E-3</v>
      </c>
      <c r="G2152" s="90">
        <v>2144</v>
      </c>
      <c r="H2152" s="90">
        <f t="shared" ca="1" si="67"/>
        <v>7.1417526194548931E-3</v>
      </c>
    </row>
    <row r="2153" spans="2:8" x14ac:dyDescent="0.3">
      <c r="B2153" s="58">
        <f>'DATA HISTORICAL'!$B2798</f>
        <v>42744</v>
      </c>
      <c r="C2153" s="60">
        <f>'DATA HISTORICAL'!$C2798</f>
        <v>3291.85</v>
      </c>
      <c r="D2153" s="53">
        <f t="shared" si="66"/>
        <v>-9.3430365486734824E-3</v>
      </c>
      <c r="E2153" s="53">
        <v>2.97568597381571E-3</v>
      </c>
      <c r="G2153" s="90">
        <v>2145</v>
      </c>
      <c r="H2153" s="90">
        <f t="shared" ca="1" si="67"/>
        <v>1.360965368163598E-2</v>
      </c>
    </row>
    <row r="2154" spans="2:8" x14ac:dyDescent="0.3">
      <c r="B2154" s="58">
        <f>'DATA HISTORICAL'!$B2799</f>
        <v>42741</v>
      </c>
      <c r="C2154" s="60">
        <f>'DATA HISTORICAL'!$C2799</f>
        <v>3322.75</v>
      </c>
      <c r="D2154" s="53">
        <f t="shared" si="66"/>
        <v>-1.7925796152470874E-2</v>
      </c>
      <c r="E2154" s="53">
        <v>2.972492988431572E-3</v>
      </c>
      <c r="G2154" s="90">
        <v>2146</v>
      </c>
      <c r="H2154" s="90">
        <f t="shared" ca="1" si="67"/>
        <v>4.4584975352812473E-2</v>
      </c>
    </row>
    <row r="2155" spans="2:8" x14ac:dyDescent="0.3">
      <c r="B2155" s="58">
        <f>'DATA HISTORICAL'!$B2800</f>
        <v>42740</v>
      </c>
      <c r="C2155" s="60">
        <f>'DATA HISTORICAL'!$C2800</f>
        <v>3382.85</v>
      </c>
      <c r="D2155" s="53">
        <f t="shared" si="66"/>
        <v>2.4371928540472262E-2</v>
      </c>
      <c r="E2155" s="53">
        <v>2.9688765023064209E-3</v>
      </c>
      <c r="G2155" s="90">
        <v>2147</v>
      </c>
      <c r="H2155" s="90">
        <f t="shared" ca="1" si="67"/>
        <v>1.7182852340896337E-2</v>
      </c>
    </row>
    <row r="2156" spans="2:8" x14ac:dyDescent="0.3">
      <c r="B2156" s="58">
        <f>'DATA HISTORICAL'!$B2801</f>
        <v>42739</v>
      </c>
      <c r="C2156" s="60">
        <f>'DATA HISTORICAL'!$C2801</f>
        <v>3301.4</v>
      </c>
      <c r="D2156" s="53">
        <f t="shared" si="66"/>
        <v>-7.6342007138392003E-3</v>
      </c>
      <c r="E2156" s="53">
        <v>2.9657850077610239E-3</v>
      </c>
      <c r="G2156" s="90">
        <v>2148</v>
      </c>
      <c r="H2156" s="90">
        <f t="shared" ca="1" si="67"/>
        <v>5.665499075712821E-2</v>
      </c>
    </row>
    <row r="2157" spans="2:8" x14ac:dyDescent="0.3">
      <c r="B2157" s="58">
        <f>'DATA HISTORICAL'!$B2802</f>
        <v>42738</v>
      </c>
      <c r="C2157" s="60">
        <f>'DATA HISTORICAL'!$C2802</f>
        <v>3326.7</v>
      </c>
      <c r="D2157" s="53">
        <f t="shared" si="66"/>
        <v>-1.3332435974794875E-2</v>
      </c>
      <c r="E2157" s="53">
        <v>2.9569426926871131E-3</v>
      </c>
      <c r="G2157" s="90">
        <v>2149</v>
      </c>
      <c r="H2157" s="90">
        <f t="shared" ca="1" si="67"/>
        <v>1.2777293163793897E-3</v>
      </c>
    </row>
    <row r="2158" spans="2:8" x14ac:dyDescent="0.3">
      <c r="B2158" s="58">
        <f>'DATA HISTORICAL'!$B2803</f>
        <v>42737</v>
      </c>
      <c r="C2158" s="60">
        <f>'DATA HISTORICAL'!$C2803</f>
        <v>3371.35</v>
      </c>
      <c r="D2158" s="53">
        <f t="shared" si="66"/>
        <v>3.6596724710166464E-2</v>
      </c>
      <c r="E2158" s="53">
        <v>2.9539885759962748E-3</v>
      </c>
      <c r="G2158" s="90">
        <v>2150</v>
      </c>
      <c r="H2158" s="90">
        <f t="shared" ca="1" si="67"/>
        <v>1.299371619953478E-4</v>
      </c>
    </row>
    <row r="2159" spans="2:8" x14ac:dyDescent="0.3">
      <c r="B2159" s="58">
        <f>'DATA HISTORICAL'!$B2804</f>
        <v>42734</v>
      </c>
      <c r="C2159" s="60">
        <f>'DATA HISTORICAL'!$C2804</f>
        <v>3250.2</v>
      </c>
      <c r="D2159" s="53">
        <f t="shared" si="66"/>
        <v>1.0515994471983895E-2</v>
      </c>
      <c r="E2159" s="53">
        <v>2.9515058829083568E-3</v>
      </c>
      <c r="G2159" s="90">
        <v>2151</v>
      </c>
      <c r="H2159" s="90">
        <f t="shared" ca="1" si="67"/>
        <v>-8.0025623078442722E-3</v>
      </c>
    </row>
    <row r="2160" spans="2:8" x14ac:dyDescent="0.3">
      <c r="B2160" s="58">
        <f>'DATA HISTORICAL'!$B2805</f>
        <v>42733</v>
      </c>
      <c r="C2160" s="60">
        <f>'DATA HISTORICAL'!$C2805</f>
        <v>3216.2</v>
      </c>
      <c r="D2160" s="53">
        <f t="shared" si="66"/>
        <v>1.7786751206414222E-2</v>
      </c>
      <c r="E2160" s="53">
        <v>2.9451816286628022E-3</v>
      </c>
      <c r="G2160" s="90">
        <v>2152</v>
      </c>
      <c r="H2160" s="90">
        <f t="shared" ca="1" si="67"/>
        <v>1.1400841234199693E-2</v>
      </c>
    </row>
    <row r="2161" spans="2:8" x14ac:dyDescent="0.3">
      <c r="B2161" s="58">
        <f>'DATA HISTORICAL'!$B2806</f>
        <v>42732</v>
      </c>
      <c r="C2161" s="60">
        <f>'DATA HISTORICAL'!$C2806</f>
        <v>3159.5</v>
      </c>
      <c r="D2161" s="53">
        <f t="shared" si="66"/>
        <v>9.341282018075005E-4</v>
      </c>
      <c r="E2161" s="53">
        <v>2.9385857173288665E-3</v>
      </c>
      <c r="G2161" s="90">
        <v>2153</v>
      </c>
      <c r="H2161" s="90">
        <f t="shared" ca="1" si="67"/>
        <v>-1.1508986902831041E-2</v>
      </c>
    </row>
    <row r="2162" spans="2:8" x14ac:dyDescent="0.3">
      <c r="B2162" s="58">
        <f>'DATA HISTORICAL'!$B2807</f>
        <v>42731</v>
      </c>
      <c r="C2162" s="60">
        <f>'DATA HISTORICAL'!$C2807</f>
        <v>3156.55</v>
      </c>
      <c r="D2162" s="53">
        <f t="shared" si="66"/>
        <v>2.1713180708882621E-2</v>
      </c>
      <c r="E2162" s="53">
        <v>2.9233337388459468E-3</v>
      </c>
      <c r="G2162" s="90">
        <v>2154</v>
      </c>
      <c r="H2162" s="90">
        <f t="shared" ca="1" si="67"/>
        <v>-1.2272952628788813E-2</v>
      </c>
    </row>
    <row r="2163" spans="2:8" x14ac:dyDescent="0.3">
      <c r="B2163" s="58">
        <f>'DATA HISTORICAL'!$B2808</f>
        <v>42730</v>
      </c>
      <c r="C2163" s="60">
        <f>'DATA HISTORICAL'!$C2808</f>
        <v>3088.75</v>
      </c>
      <c r="D2163" s="53">
        <f t="shared" si="66"/>
        <v>-5.9233369601230136E-3</v>
      </c>
      <c r="E2163" s="53">
        <v>2.9214476523939338E-3</v>
      </c>
      <c r="G2163" s="90">
        <v>2155</v>
      </c>
      <c r="H2163" s="90">
        <f t="shared" ca="1" si="67"/>
        <v>2.3125313352789106E-3</v>
      </c>
    </row>
    <row r="2164" spans="2:8" x14ac:dyDescent="0.3">
      <c r="B2164" s="58">
        <f>'DATA HISTORICAL'!$B2809</f>
        <v>42727</v>
      </c>
      <c r="C2164" s="60">
        <f>'DATA HISTORICAL'!$C2809</f>
        <v>3107.1</v>
      </c>
      <c r="D2164" s="53">
        <f t="shared" si="66"/>
        <v>-1.171063488606275E-2</v>
      </c>
      <c r="E2164" s="53">
        <v>2.9182700173905653E-3</v>
      </c>
      <c r="G2164" s="90">
        <v>2156</v>
      </c>
      <c r="H2164" s="90">
        <f t="shared" ca="1" si="67"/>
        <v>-1.2339463359972653E-3</v>
      </c>
    </row>
    <row r="2165" spans="2:8" x14ac:dyDescent="0.3">
      <c r="B2165" s="58">
        <f>'DATA HISTORICAL'!$B2810</f>
        <v>42726</v>
      </c>
      <c r="C2165" s="60">
        <f>'DATA HISTORICAL'!$C2810</f>
        <v>3143.7</v>
      </c>
      <c r="D2165" s="53">
        <f t="shared" si="66"/>
        <v>-1.5356872532475137E-2</v>
      </c>
      <c r="E2165" s="53">
        <v>2.9182536143414102E-3</v>
      </c>
      <c r="G2165" s="90">
        <v>2157</v>
      </c>
      <c r="H2165" s="90">
        <f t="shared" ca="1" si="67"/>
        <v>6.2337826341411851E-3</v>
      </c>
    </row>
    <row r="2166" spans="2:8" x14ac:dyDescent="0.3">
      <c r="B2166" s="58">
        <f>'DATA HISTORICAL'!$B2811</f>
        <v>42725</v>
      </c>
      <c r="C2166" s="60">
        <f>'DATA HISTORICAL'!$C2811</f>
        <v>3192.35</v>
      </c>
      <c r="D2166" s="53">
        <f t="shared" si="66"/>
        <v>1.4752671728633419E-2</v>
      </c>
      <c r="E2166" s="53">
        <v>2.9130653281015878E-3</v>
      </c>
      <c r="G2166" s="90">
        <v>2158</v>
      </c>
      <c r="H2166" s="90">
        <f t="shared" ca="1" si="67"/>
        <v>1.2629225151766368E-2</v>
      </c>
    </row>
    <row r="2167" spans="2:8" x14ac:dyDescent="0.3">
      <c r="B2167" s="58">
        <f>'DATA HISTORICAL'!$B2812</f>
        <v>42724</v>
      </c>
      <c r="C2167" s="60">
        <f>'DATA HISTORICAL'!$C2812</f>
        <v>3145.6</v>
      </c>
      <c r="D2167" s="53">
        <f t="shared" si="66"/>
        <v>1.2121748220681426E-2</v>
      </c>
      <c r="E2167" s="53">
        <v>2.9095579859395918E-3</v>
      </c>
      <c r="G2167" s="90">
        <v>2159</v>
      </c>
      <c r="H2167" s="90">
        <f t="shared" ca="1" si="67"/>
        <v>-5.4886645440818697E-3</v>
      </c>
    </row>
    <row r="2168" spans="2:8" x14ac:dyDescent="0.3">
      <c r="B2168" s="58">
        <f>'DATA HISTORICAL'!$B2813</f>
        <v>42723</v>
      </c>
      <c r="C2168" s="60">
        <f>'DATA HISTORICAL'!$C2813</f>
        <v>3107.7</v>
      </c>
      <c r="D2168" s="53">
        <f t="shared" si="66"/>
        <v>-2.2259027140913604E-2</v>
      </c>
      <c r="E2168" s="53">
        <v>2.8930128985018072E-3</v>
      </c>
      <c r="G2168" s="90">
        <v>2160</v>
      </c>
      <c r="H2168" s="90">
        <f t="shared" ca="1" si="67"/>
        <v>1.9674612451566362E-2</v>
      </c>
    </row>
    <row r="2169" spans="2:8" x14ac:dyDescent="0.3">
      <c r="B2169" s="58">
        <f>'DATA HISTORICAL'!$B2814</f>
        <v>42720</v>
      </c>
      <c r="C2169" s="60">
        <f>'DATA HISTORICAL'!$C2814</f>
        <v>3177.65</v>
      </c>
      <c r="D2169" s="53">
        <f t="shared" si="66"/>
        <v>-2.6964681753608593E-2</v>
      </c>
      <c r="E2169" s="53">
        <v>2.8850344661336827E-3</v>
      </c>
      <c r="G2169" s="90">
        <v>2161</v>
      </c>
      <c r="H2169" s="90">
        <f t="shared" ca="1" si="67"/>
        <v>2.4187231216254011E-2</v>
      </c>
    </row>
    <row r="2170" spans="2:8" x14ac:dyDescent="0.3">
      <c r="B2170" s="58">
        <f>'DATA HISTORICAL'!$B2815</f>
        <v>42719</v>
      </c>
      <c r="C2170" s="60">
        <f>'DATA HISTORICAL'!$C2815</f>
        <v>3264.5</v>
      </c>
      <c r="D2170" s="53">
        <f t="shared" si="66"/>
        <v>-1.5366094835787587E-2</v>
      </c>
      <c r="E2170" s="53">
        <v>2.8813850573985323E-3</v>
      </c>
      <c r="G2170" s="90">
        <v>2162</v>
      </c>
      <c r="H2170" s="90">
        <f t="shared" ca="1" si="67"/>
        <v>3.3567223528340566E-2</v>
      </c>
    </row>
    <row r="2171" spans="2:8" x14ac:dyDescent="0.3">
      <c r="B2171" s="58">
        <f>'DATA HISTORICAL'!$B2816</f>
        <v>42718</v>
      </c>
      <c r="C2171" s="60">
        <f>'DATA HISTORICAL'!$C2816</f>
        <v>3315.05</v>
      </c>
      <c r="D2171" s="53">
        <f t="shared" si="66"/>
        <v>-1.5475180867675435E-2</v>
      </c>
      <c r="E2171" s="53">
        <v>2.8808188893423188E-3</v>
      </c>
      <c r="G2171" s="90">
        <v>2163</v>
      </c>
      <c r="H2171" s="90">
        <f t="shared" ca="1" si="67"/>
        <v>-2.2359182046816353E-3</v>
      </c>
    </row>
    <row r="2172" spans="2:8" x14ac:dyDescent="0.3">
      <c r="B2172" s="58">
        <f>'DATA HISTORICAL'!$B2817</f>
        <v>42717</v>
      </c>
      <c r="C2172" s="60">
        <f>'DATA HISTORICAL'!$C2817</f>
        <v>3366.75</v>
      </c>
      <c r="D2172" s="53">
        <f t="shared" si="66"/>
        <v>-2.799966192740912E-2</v>
      </c>
      <c r="E2172" s="53">
        <v>2.87379543860076E-3</v>
      </c>
      <c r="G2172" s="90">
        <v>2164</v>
      </c>
      <c r="H2172" s="90">
        <f t="shared" ca="1" si="67"/>
        <v>2.2113664136641273E-2</v>
      </c>
    </row>
    <row r="2173" spans="2:8" x14ac:dyDescent="0.3">
      <c r="B2173" s="58">
        <f>'DATA HISTORICAL'!$B2818</f>
        <v>42716</v>
      </c>
      <c r="C2173" s="60">
        <f>'DATA HISTORICAL'!$C2818</f>
        <v>3462.35</v>
      </c>
      <c r="D2173" s="53">
        <f t="shared" si="66"/>
        <v>-3.0323885607987627E-2</v>
      </c>
      <c r="E2173" s="53">
        <v>2.8736268193115502E-3</v>
      </c>
      <c r="G2173" s="90">
        <v>2165</v>
      </c>
      <c r="H2173" s="90">
        <f t="shared" ca="1" si="67"/>
        <v>3.6800507510831252E-3</v>
      </c>
    </row>
    <row r="2174" spans="2:8" x14ac:dyDescent="0.3">
      <c r="B2174" s="58">
        <f>'DATA HISTORICAL'!$B2819</f>
        <v>42713</v>
      </c>
      <c r="C2174" s="60">
        <f>'DATA HISTORICAL'!$C2819</f>
        <v>3568.95</v>
      </c>
      <c r="D2174" s="53">
        <f t="shared" si="66"/>
        <v>-6.7160732479707511E-3</v>
      </c>
      <c r="E2174" s="53">
        <v>2.868870756764143E-3</v>
      </c>
      <c r="G2174" s="90">
        <v>2166</v>
      </c>
      <c r="H2174" s="90">
        <f t="shared" ca="1" si="67"/>
        <v>-5.8467442584122899E-3</v>
      </c>
    </row>
    <row r="2175" spans="2:8" x14ac:dyDescent="0.3">
      <c r="B2175" s="58">
        <f>'DATA HISTORICAL'!$B2820</f>
        <v>42712</v>
      </c>
      <c r="C2175" s="60">
        <f>'DATA HISTORICAL'!$C2820</f>
        <v>3593</v>
      </c>
      <c r="D2175" s="53">
        <f t="shared" si="66"/>
        <v>6.968280058891497E-3</v>
      </c>
      <c r="E2175" s="53">
        <v>2.8596314401994651E-3</v>
      </c>
      <c r="G2175" s="90">
        <v>2167</v>
      </c>
      <c r="H2175" s="90">
        <f t="shared" ca="1" si="67"/>
        <v>-3.1700107755556706E-2</v>
      </c>
    </row>
    <row r="2176" spans="2:8" x14ac:dyDescent="0.3">
      <c r="B2176" s="58">
        <f>'DATA HISTORICAL'!$B2821</f>
        <v>42711</v>
      </c>
      <c r="C2176" s="60">
        <f>'DATA HISTORICAL'!$C2821</f>
        <v>3568.05</v>
      </c>
      <c r="D2176" s="53">
        <f t="shared" si="66"/>
        <v>-9.4422559416451075E-3</v>
      </c>
      <c r="E2176" s="53">
        <v>2.842838289969573E-3</v>
      </c>
      <c r="G2176" s="90">
        <v>2168</v>
      </c>
      <c r="H2176" s="90">
        <f t="shared" ca="1" si="67"/>
        <v>7.9779731917396304E-3</v>
      </c>
    </row>
    <row r="2177" spans="2:8" x14ac:dyDescent="0.3">
      <c r="B2177" s="58">
        <f>'DATA HISTORICAL'!$B2822</f>
        <v>42710</v>
      </c>
      <c r="C2177" s="60">
        <f>'DATA HISTORICAL'!$C2822</f>
        <v>3601.9</v>
      </c>
      <c r="D2177" s="53">
        <f t="shared" si="66"/>
        <v>5.3308220580916103E-3</v>
      </c>
      <c r="E2177" s="53">
        <v>2.8403512889574613E-3</v>
      </c>
      <c r="G2177" s="90">
        <v>2169</v>
      </c>
      <c r="H2177" s="90">
        <f t="shared" ca="1" si="67"/>
        <v>1.4132117738084992E-3</v>
      </c>
    </row>
    <row r="2178" spans="2:8" x14ac:dyDescent="0.3">
      <c r="B2178" s="58">
        <f>'DATA HISTORICAL'!$B2823</f>
        <v>42709</v>
      </c>
      <c r="C2178" s="60">
        <f>'DATA HISTORICAL'!$C2823</f>
        <v>3582.75</v>
      </c>
      <c r="D2178" s="53">
        <f t="shared" si="66"/>
        <v>-8.0910667881485077E-4</v>
      </c>
      <c r="E2178" s="53">
        <v>2.8355868615940827E-3</v>
      </c>
      <c r="G2178" s="90">
        <v>2170</v>
      </c>
      <c r="H2178" s="90">
        <f t="shared" ca="1" si="67"/>
        <v>-1.6273712476389986E-3</v>
      </c>
    </row>
    <row r="2179" spans="2:8" x14ac:dyDescent="0.3">
      <c r="B2179" s="58">
        <f>'DATA HISTORICAL'!$B2824</f>
        <v>42706</v>
      </c>
      <c r="C2179" s="60">
        <f>'DATA HISTORICAL'!$C2824</f>
        <v>3585.65</v>
      </c>
      <c r="D2179" s="53">
        <f t="shared" si="66"/>
        <v>4.1781136328015653E-3</v>
      </c>
      <c r="E2179" s="53">
        <v>2.8170272601531778E-3</v>
      </c>
      <c r="G2179" s="90">
        <v>2171</v>
      </c>
      <c r="H2179" s="90">
        <f t="shared" ca="1" si="67"/>
        <v>-4.0048552483288192E-4</v>
      </c>
    </row>
    <row r="2180" spans="2:8" x14ac:dyDescent="0.3">
      <c r="B2180" s="58">
        <f>'DATA HISTORICAL'!$B2825</f>
        <v>42705</v>
      </c>
      <c r="C2180" s="60">
        <f>'DATA HISTORICAL'!$C2825</f>
        <v>3570.7</v>
      </c>
      <c r="D2180" s="53">
        <f t="shared" si="66"/>
        <v>-9.1300648851195612E-3</v>
      </c>
      <c r="E2180" s="53">
        <v>2.8137631480029388E-3</v>
      </c>
      <c r="G2180" s="90">
        <v>2172</v>
      </c>
      <c r="H2180" s="90">
        <f t="shared" ca="1" si="67"/>
        <v>1.691333078173796E-2</v>
      </c>
    </row>
    <row r="2181" spans="2:8" x14ac:dyDescent="0.3">
      <c r="B2181" s="58">
        <f>'DATA HISTORICAL'!$B2826</f>
        <v>42704</v>
      </c>
      <c r="C2181" s="60">
        <f>'DATA HISTORICAL'!$C2826</f>
        <v>3603.45</v>
      </c>
      <c r="D2181" s="53">
        <f t="shared" si="66"/>
        <v>1.8824876253536727E-2</v>
      </c>
      <c r="E2181" s="53">
        <v>2.8105046605012458E-3</v>
      </c>
      <c r="G2181" s="90">
        <v>2173</v>
      </c>
      <c r="H2181" s="90">
        <f t="shared" ca="1" si="67"/>
        <v>2.389343184537011E-2</v>
      </c>
    </row>
    <row r="2182" spans="2:8" x14ac:dyDescent="0.3">
      <c r="B2182" s="58">
        <f>'DATA HISTORICAL'!$B2827</f>
        <v>42703</v>
      </c>
      <c r="C2182" s="60">
        <f>'DATA HISTORICAL'!$C2827</f>
        <v>3536.25</v>
      </c>
      <c r="D2182" s="53">
        <f t="shared" si="66"/>
        <v>8.9191200685678346E-3</v>
      </c>
      <c r="E2182" s="53">
        <v>2.7964359647148092E-3</v>
      </c>
      <c r="G2182" s="90">
        <v>2174</v>
      </c>
      <c r="H2182" s="90">
        <f t="shared" ca="1" si="67"/>
        <v>2.7961176818461209E-2</v>
      </c>
    </row>
    <row r="2183" spans="2:8" x14ac:dyDescent="0.3">
      <c r="B2183" s="58">
        <f>'DATA HISTORICAL'!$B2828</f>
        <v>42702</v>
      </c>
      <c r="C2183" s="60">
        <f>'DATA HISTORICAL'!$C2828</f>
        <v>3504.85</v>
      </c>
      <c r="D2183" s="53">
        <f t="shared" si="66"/>
        <v>2.1135920354217737E-3</v>
      </c>
      <c r="E2183" s="53">
        <v>2.7700631977844105E-3</v>
      </c>
      <c r="G2183" s="90">
        <v>2175</v>
      </c>
      <c r="H2183" s="90">
        <f t="shared" ca="1" si="67"/>
        <v>4.1292007026343391E-3</v>
      </c>
    </row>
    <row r="2184" spans="2:8" x14ac:dyDescent="0.3">
      <c r="B2184" s="58">
        <f>'DATA HISTORICAL'!$B2829</f>
        <v>42699</v>
      </c>
      <c r="C2184" s="60">
        <f>'DATA HISTORICAL'!$C2829</f>
        <v>3497.45</v>
      </c>
      <c r="D2184" s="53">
        <f t="shared" si="66"/>
        <v>3.9248317156293892E-3</v>
      </c>
      <c r="E2184" s="53">
        <v>2.7656122752737094E-3</v>
      </c>
      <c r="G2184" s="90">
        <v>2176</v>
      </c>
      <c r="H2184" s="90">
        <f t="shared" ca="1" si="67"/>
        <v>-6.301572393092549E-3</v>
      </c>
    </row>
    <row r="2185" spans="2:8" x14ac:dyDescent="0.3">
      <c r="B2185" s="58">
        <f>'DATA HISTORICAL'!$B2830</f>
        <v>42698</v>
      </c>
      <c r="C2185" s="60">
        <f>'DATA HISTORICAL'!$C2830</f>
        <v>3483.75</v>
      </c>
      <c r="D2185" s="53">
        <f t="shared" ref="D2185:D2248" si="68">LN(C2185/C2186)</f>
        <v>9.0975908435690714E-3</v>
      </c>
      <c r="E2185" s="53">
        <v>2.761288514131593E-3</v>
      </c>
      <c r="G2185" s="90">
        <v>2177</v>
      </c>
      <c r="H2185" s="90">
        <f t="shared" ref="H2185:H2248" ca="1" si="69">_xlfn.NORM.INV(RAND(),N$10,N$11)</f>
        <v>2.2495402503688595E-2</v>
      </c>
    </row>
    <row r="2186" spans="2:8" x14ac:dyDescent="0.3">
      <c r="B2186" s="58">
        <f>'DATA HISTORICAL'!$B2831</f>
        <v>42697</v>
      </c>
      <c r="C2186" s="60">
        <f>'DATA HISTORICAL'!$C2831</f>
        <v>3452.2</v>
      </c>
      <c r="D2186" s="53">
        <f t="shared" si="68"/>
        <v>8.5673874387233624E-3</v>
      </c>
      <c r="E2186" s="53">
        <v>2.7563292667769673E-3</v>
      </c>
      <c r="G2186" s="90">
        <v>2178</v>
      </c>
      <c r="H2186" s="90">
        <f t="shared" ca="1" si="69"/>
        <v>-2.7941571931179392E-2</v>
      </c>
    </row>
    <row r="2187" spans="2:8" x14ac:dyDescent="0.3">
      <c r="B2187" s="58">
        <f>'DATA HISTORICAL'!$B2832</f>
        <v>42696</v>
      </c>
      <c r="C2187" s="60">
        <f>'DATA HISTORICAL'!$C2832</f>
        <v>3422.75</v>
      </c>
      <c r="D2187" s="53">
        <f t="shared" si="68"/>
        <v>2.9787007374111329E-2</v>
      </c>
      <c r="E2187" s="53">
        <v>2.7395658541362914E-3</v>
      </c>
      <c r="G2187" s="90">
        <v>2179</v>
      </c>
      <c r="H2187" s="90">
        <f t="shared" ca="1" si="69"/>
        <v>3.3177185416418127E-2</v>
      </c>
    </row>
    <row r="2188" spans="2:8" x14ac:dyDescent="0.3">
      <c r="B2188" s="58">
        <f>'DATA HISTORICAL'!$B2833</f>
        <v>42695</v>
      </c>
      <c r="C2188" s="60">
        <f>'DATA HISTORICAL'!$C2833</f>
        <v>3322.3</v>
      </c>
      <c r="D2188" s="53">
        <f t="shared" si="68"/>
        <v>-2.0998225020626964E-2</v>
      </c>
      <c r="E2188" s="53">
        <v>2.7347814799071443E-3</v>
      </c>
      <c r="G2188" s="90">
        <v>2180</v>
      </c>
      <c r="H2188" s="90">
        <f t="shared" ca="1" si="69"/>
        <v>-2.7287032126592895E-2</v>
      </c>
    </row>
    <row r="2189" spans="2:8" x14ac:dyDescent="0.3">
      <c r="B2189" s="58">
        <f>'DATA HISTORICAL'!$B2834</f>
        <v>42692</v>
      </c>
      <c r="C2189" s="60">
        <f>'DATA HISTORICAL'!$C2834</f>
        <v>3392.8</v>
      </c>
      <c r="D2189" s="53">
        <f t="shared" si="68"/>
        <v>1.6928019721432888E-2</v>
      </c>
      <c r="E2189" s="53">
        <v>2.7289597951903814E-3</v>
      </c>
      <c r="G2189" s="90">
        <v>2181</v>
      </c>
      <c r="H2189" s="90">
        <f t="shared" ca="1" si="69"/>
        <v>8.5832044366019496E-3</v>
      </c>
    </row>
    <row r="2190" spans="2:8" x14ac:dyDescent="0.3">
      <c r="B2190" s="58">
        <f>'DATA HISTORICAL'!$B2835</f>
        <v>42691</v>
      </c>
      <c r="C2190" s="60">
        <f>'DATA HISTORICAL'!$C2835</f>
        <v>3335.85</v>
      </c>
      <c r="D2190" s="53">
        <f t="shared" si="68"/>
        <v>-1.0259406132225332E-2</v>
      </c>
      <c r="E2190" s="53">
        <v>2.722214451163094E-3</v>
      </c>
      <c r="G2190" s="90">
        <v>2182</v>
      </c>
      <c r="H2190" s="90">
        <f t="shared" ca="1" si="69"/>
        <v>-2.6367325619825643E-2</v>
      </c>
    </row>
    <row r="2191" spans="2:8" x14ac:dyDescent="0.3">
      <c r="B2191" s="58">
        <f>'DATA HISTORICAL'!$B2836</f>
        <v>42690</v>
      </c>
      <c r="C2191" s="60">
        <f>'DATA HISTORICAL'!$C2836</f>
        <v>3370.25</v>
      </c>
      <c r="D2191" s="53">
        <f t="shared" si="68"/>
        <v>1.8115946983506025E-3</v>
      </c>
      <c r="E2191" s="53">
        <v>2.7193755565602783E-3</v>
      </c>
      <c r="G2191" s="90">
        <v>2183</v>
      </c>
      <c r="H2191" s="90">
        <f t="shared" ca="1" si="69"/>
        <v>1.2345990912666777E-2</v>
      </c>
    </row>
    <row r="2192" spans="2:8" x14ac:dyDescent="0.3">
      <c r="B2192" s="58">
        <f>'DATA HISTORICAL'!$B2837</f>
        <v>42689</v>
      </c>
      <c r="C2192" s="60">
        <f>'DATA HISTORICAL'!$C2837</f>
        <v>3364.15</v>
      </c>
      <c r="D2192" s="53">
        <f t="shared" si="68"/>
        <v>-7.7186156591309882E-2</v>
      </c>
      <c r="E2192" s="53">
        <v>2.7185594078877073E-3</v>
      </c>
      <c r="G2192" s="90">
        <v>2184</v>
      </c>
      <c r="H2192" s="90">
        <f t="shared" ca="1" si="69"/>
        <v>-2.6845160982144459E-2</v>
      </c>
    </row>
    <row r="2193" spans="2:8" x14ac:dyDescent="0.3">
      <c r="B2193" s="58">
        <f>'DATA HISTORICAL'!$B2838</f>
        <v>42685</v>
      </c>
      <c r="C2193" s="60">
        <f>'DATA HISTORICAL'!$C2838</f>
        <v>3634.1</v>
      </c>
      <c r="D2193" s="53">
        <f t="shared" si="68"/>
        <v>-5.543634698056172E-2</v>
      </c>
      <c r="E2193" s="53">
        <v>2.7037962830972345E-3</v>
      </c>
      <c r="G2193" s="90">
        <v>2185</v>
      </c>
      <c r="H2193" s="90">
        <f t="shared" ca="1" si="69"/>
        <v>-2.5048687329292411E-3</v>
      </c>
    </row>
    <row r="2194" spans="2:8" x14ac:dyDescent="0.3">
      <c r="B2194" s="58">
        <f>'DATA HISTORICAL'!$B2839</f>
        <v>42684</v>
      </c>
      <c r="C2194" s="60">
        <f>'DATA HISTORICAL'!$C2839</f>
        <v>3841.25</v>
      </c>
      <c r="D2194" s="53">
        <f t="shared" si="68"/>
        <v>1.9850789861769892E-2</v>
      </c>
      <c r="E2194" s="53">
        <v>2.7004257217079098E-3</v>
      </c>
      <c r="G2194" s="90">
        <v>2186</v>
      </c>
      <c r="H2194" s="90">
        <f t="shared" ca="1" si="69"/>
        <v>5.7409494568667957E-3</v>
      </c>
    </row>
    <row r="2195" spans="2:8" x14ac:dyDescent="0.3">
      <c r="B2195" s="58">
        <f>'DATA HISTORICAL'!$B2840</f>
        <v>42683</v>
      </c>
      <c r="C2195" s="60">
        <f>'DATA HISTORICAL'!$C2840</f>
        <v>3765.75</v>
      </c>
      <c r="D2195" s="53">
        <f t="shared" si="68"/>
        <v>-5.0031793991571968E-2</v>
      </c>
      <c r="E2195" s="53">
        <v>2.6968732634672934E-3</v>
      </c>
      <c r="G2195" s="90">
        <v>2187</v>
      </c>
      <c r="H2195" s="90">
        <f t="shared" ca="1" si="69"/>
        <v>-6.4818071080353845E-3</v>
      </c>
    </row>
    <row r="2196" spans="2:8" x14ac:dyDescent="0.3">
      <c r="B2196" s="58">
        <f>'DATA HISTORICAL'!$B2841</f>
        <v>42682</v>
      </c>
      <c r="C2196" s="60">
        <f>'DATA HISTORICAL'!$C2841</f>
        <v>3958.95</v>
      </c>
      <c r="D2196" s="53">
        <f t="shared" si="68"/>
        <v>1.2825169914111475E-2</v>
      </c>
      <c r="E2196" s="53">
        <v>2.6907094032317096E-3</v>
      </c>
      <c r="G2196" s="90">
        <v>2188</v>
      </c>
      <c r="H2196" s="90">
        <f t="shared" ca="1" si="69"/>
        <v>-4.4056940059018336E-3</v>
      </c>
    </row>
    <row r="2197" spans="2:8" x14ac:dyDescent="0.3">
      <c r="B2197" s="58">
        <f>'DATA HISTORICAL'!$B2842</f>
        <v>42681</v>
      </c>
      <c r="C2197" s="60">
        <f>'DATA HISTORICAL'!$C2842</f>
        <v>3908.5</v>
      </c>
      <c r="D2197" s="53">
        <f t="shared" si="68"/>
        <v>1.3899399994118863E-2</v>
      </c>
      <c r="E2197" s="53">
        <v>2.6877024651485596E-3</v>
      </c>
      <c r="G2197" s="90">
        <v>2189</v>
      </c>
      <c r="H2197" s="90">
        <f t="shared" ca="1" si="69"/>
        <v>-2.7696035208146303E-2</v>
      </c>
    </row>
    <row r="2198" spans="2:8" x14ac:dyDescent="0.3">
      <c r="B2198" s="58">
        <f>'DATA HISTORICAL'!$B2843</f>
        <v>42678</v>
      </c>
      <c r="C2198" s="60">
        <f>'DATA HISTORICAL'!$C2843</f>
        <v>3854.55</v>
      </c>
      <c r="D2198" s="53">
        <f t="shared" si="68"/>
        <v>-1.3425960575923185E-2</v>
      </c>
      <c r="E2198" s="53">
        <v>2.6869183436570247E-3</v>
      </c>
      <c r="G2198" s="90">
        <v>2190</v>
      </c>
      <c r="H2198" s="90">
        <f t="shared" ca="1" si="69"/>
        <v>-1.5739763185804403E-2</v>
      </c>
    </row>
    <row r="2199" spans="2:8" x14ac:dyDescent="0.3">
      <c r="B2199" s="58">
        <f>'DATA HISTORICAL'!$B2844</f>
        <v>42677</v>
      </c>
      <c r="C2199" s="60">
        <f>'DATA HISTORICAL'!$C2844</f>
        <v>3906.65</v>
      </c>
      <c r="D2199" s="53">
        <f t="shared" si="68"/>
        <v>2.7041764580352989E-3</v>
      </c>
      <c r="E2199" s="53">
        <v>2.644313457121278E-3</v>
      </c>
      <c r="G2199" s="90">
        <v>2191</v>
      </c>
      <c r="H2199" s="90">
        <f t="shared" ca="1" si="69"/>
        <v>-2.46948677414442E-2</v>
      </c>
    </row>
    <row r="2200" spans="2:8" x14ac:dyDescent="0.3">
      <c r="B2200" s="58">
        <f>'DATA HISTORICAL'!$B2845</f>
        <v>42676</v>
      </c>
      <c r="C2200" s="60">
        <f>'DATA HISTORICAL'!$C2845</f>
        <v>3896.1</v>
      </c>
      <c r="D2200" s="53">
        <f t="shared" si="68"/>
        <v>-2.0488849994315602E-2</v>
      </c>
      <c r="E2200" s="53">
        <v>2.636759461828985E-3</v>
      </c>
      <c r="G2200" s="90">
        <v>2192</v>
      </c>
      <c r="H2200" s="90">
        <f t="shared" ca="1" si="69"/>
        <v>-2.5646354533210163E-2</v>
      </c>
    </row>
    <row r="2201" spans="2:8" x14ac:dyDescent="0.3">
      <c r="B2201" s="58">
        <f>'DATA HISTORICAL'!$B2846</f>
        <v>42675</v>
      </c>
      <c r="C2201" s="60">
        <f>'DATA HISTORICAL'!$C2846</f>
        <v>3976.75</v>
      </c>
      <c r="D2201" s="53">
        <f t="shared" si="68"/>
        <v>2.2027133737064419E-3</v>
      </c>
      <c r="E2201" s="53">
        <v>2.6358826378272866E-3</v>
      </c>
      <c r="G2201" s="90">
        <v>2193</v>
      </c>
      <c r="H2201" s="90">
        <f t="shared" ca="1" si="69"/>
        <v>-6.0475183422926777E-3</v>
      </c>
    </row>
    <row r="2202" spans="2:8" x14ac:dyDescent="0.3">
      <c r="B2202" s="58">
        <f>'DATA HISTORICAL'!$B2847</f>
        <v>42673</v>
      </c>
      <c r="C2202" s="60">
        <f>'DATA HISTORICAL'!$C2847</f>
        <v>3968</v>
      </c>
      <c r="D2202" s="53">
        <f t="shared" si="68"/>
        <v>-3.6977918297093422E-3</v>
      </c>
      <c r="E2202" s="53">
        <v>2.6342034312496461E-3</v>
      </c>
      <c r="G2202" s="90">
        <v>2194</v>
      </c>
      <c r="H2202" s="90">
        <f t="shared" ca="1" si="69"/>
        <v>1.0270193861302948E-2</v>
      </c>
    </row>
    <row r="2203" spans="2:8" x14ac:dyDescent="0.3">
      <c r="B2203" s="58">
        <f>'DATA HISTORICAL'!$B2848</f>
        <v>42671</v>
      </c>
      <c r="C2203" s="60">
        <f>'DATA HISTORICAL'!$C2848</f>
        <v>3982.7</v>
      </c>
      <c r="D2203" s="53">
        <f t="shared" si="68"/>
        <v>1.0385934289155381E-2</v>
      </c>
      <c r="E2203" s="53">
        <v>2.6312148996542732E-3</v>
      </c>
      <c r="G2203" s="90">
        <v>2195</v>
      </c>
      <c r="H2203" s="90">
        <f t="shared" ca="1" si="69"/>
        <v>3.9738155218654028E-3</v>
      </c>
    </row>
    <row r="2204" spans="2:8" x14ac:dyDescent="0.3">
      <c r="B2204" s="58">
        <f>'DATA HISTORICAL'!$B2849</f>
        <v>42670</v>
      </c>
      <c r="C2204" s="60">
        <f>'DATA HISTORICAL'!$C2849</f>
        <v>3941.55</v>
      </c>
      <c r="D2204" s="53">
        <f t="shared" si="68"/>
        <v>1.0153444793545121E-3</v>
      </c>
      <c r="E2204" s="53">
        <v>2.6309313868396549E-3</v>
      </c>
      <c r="G2204" s="90">
        <v>2196</v>
      </c>
      <c r="H2204" s="90">
        <f t="shared" ca="1" si="69"/>
        <v>1.8380700380986853E-2</v>
      </c>
    </row>
    <row r="2205" spans="2:8" x14ac:dyDescent="0.3">
      <c r="B2205" s="58">
        <f>'DATA HISTORICAL'!$B2850</f>
        <v>42669</v>
      </c>
      <c r="C2205" s="60">
        <f>'DATA HISTORICAL'!$C2850</f>
        <v>3937.55</v>
      </c>
      <c r="D2205" s="53">
        <f t="shared" si="68"/>
        <v>-1.9989099915680677E-2</v>
      </c>
      <c r="E2205" s="53">
        <v>2.6269472670448859E-3</v>
      </c>
      <c r="G2205" s="90">
        <v>2197</v>
      </c>
      <c r="H2205" s="90">
        <f t="shared" ca="1" si="69"/>
        <v>-9.8956019341948885E-3</v>
      </c>
    </row>
    <row r="2206" spans="2:8" x14ac:dyDescent="0.3">
      <c r="B2206" s="58">
        <f>'DATA HISTORICAL'!$B2851</f>
        <v>42668</v>
      </c>
      <c r="C2206" s="60">
        <f>'DATA HISTORICAL'!$C2851</f>
        <v>4017.05</v>
      </c>
      <c r="D2206" s="53">
        <f t="shared" si="68"/>
        <v>1.1403945308456821E-2</v>
      </c>
      <c r="E2206" s="53">
        <v>2.6179249209078697E-3</v>
      </c>
      <c r="G2206" s="90">
        <v>2198</v>
      </c>
      <c r="H2206" s="90">
        <f t="shared" ca="1" si="69"/>
        <v>-3.4233745357619277E-2</v>
      </c>
    </row>
    <row r="2207" spans="2:8" x14ac:dyDescent="0.3">
      <c r="B2207" s="58">
        <f>'DATA HISTORICAL'!$B2852</f>
        <v>42667</v>
      </c>
      <c r="C2207" s="60">
        <f>'DATA HISTORICAL'!$C2852</f>
        <v>3971.5</v>
      </c>
      <c r="D2207" s="53">
        <f t="shared" si="68"/>
        <v>-2.3640672948806183E-3</v>
      </c>
      <c r="E2207" s="53">
        <v>2.5972835898510228E-3</v>
      </c>
      <c r="G2207" s="90">
        <v>2199</v>
      </c>
      <c r="H2207" s="90">
        <f t="shared" ca="1" si="69"/>
        <v>3.0722901491215125E-2</v>
      </c>
    </row>
    <row r="2208" spans="2:8" x14ac:dyDescent="0.3">
      <c r="B2208" s="58">
        <f>'DATA HISTORICAL'!$B2853</f>
        <v>42664</v>
      </c>
      <c r="C2208" s="60">
        <f>'DATA HISTORICAL'!$C2853</f>
        <v>3980.9</v>
      </c>
      <c r="D2208" s="53">
        <f t="shared" si="68"/>
        <v>-6.5598632831020522E-3</v>
      </c>
      <c r="E2208" s="53">
        <v>2.5938717894465331E-3</v>
      </c>
      <c r="G2208" s="90">
        <v>2200</v>
      </c>
      <c r="H2208" s="90">
        <f t="shared" ca="1" si="69"/>
        <v>6.6633222914368523E-3</v>
      </c>
    </row>
    <row r="2209" spans="2:8" x14ac:dyDescent="0.3">
      <c r="B2209" s="58">
        <f>'DATA HISTORICAL'!$B2854</f>
        <v>42663</v>
      </c>
      <c r="C2209" s="60">
        <f>'DATA HISTORICAL'!$C2854</f>
        <v>4007.1</v>
      </c>
      <c r="D2209" s="53">
        <f t="shared" si="68"/>
        <v>-6.3311425273690986E-3</v>
      </c>
      <c r="E2209" s="53">
        <v>2.5926323363685152E-3</v>
      </c>
      <c r="G2209" s="90">
        <v>2201</v>
      </c>
      <c r="H2209" s="90">
        <f t="shared" ca="1" si="69"/>
        <v>-2.8329915603117862E-2</v>
      </c>
    </row>
    <row r="2210" spans="2:8" x14ac:dyDescent="0.3">
      <c r="B2210" s="58">
        <f>'DATA HISTORICAL'!$B2855</f>
        <v>42662</v>
      </c>
      <c r="C2210" s="60">
        <f>'DATA HISTORICAL'!$C2855</f>
        <v>4032.55</v>
      </c>
      <c r="D2210" s="53">
        <f t="shared" si="68"/>
        <v>2.4331818392788599E-3</v>
      </c>
      <c r="E2210" s="53">
        <v>2.5803612076034954E-3</v>
      </c>
      <c r="G2210" s="90">
        <v>2202</v>
      </c>
      <c r="H2210" s="90">
        <f t="shared" ca="1" si="69"/>
        <v>-1.1651549773708612E-3</v>
      </c>
    </row>
    <row r="2211" spans="2:8" x14ac:dyDescent="0.3">
      <c r="B2211" s="58">
        <f>'DATA HISTORICAL'!$B2856</f>
        <v>42661</v>
      </c>
      <c r="C2211" s="60">
        <f>'DATA HISTORICAL'!$C2856</f>
        <v>4022.75</v>
      </c>
      <c r="D2211" s="53">
        <f t="shared" si="68"/>
        <v>2.4640362907477546E-3</v>
      </c>
      <c r="E2211" s="53">
        <v>2.5755192867378453E-3</v>
      </c>
      <c r="G2211" s="90">
        <v>2203</v>
      </c>
      <c r="H2211" s="90">
        <f t="shared" ca="1" si="69"/>
        <v>1.5988262853319337E-3</v>
      </c>
    </row>
    <row r="2212" spans="2:8" x14ac:dyDescent="0.3">
      <c r="B2212" s="58">
        <f>'DATA HISTORICAL'!$B2857</f>
        <v>42660</v>
      </c>
      <c r="C2212" s="60">
        <f>'DATA HISTORICAL'!$C2857</f>
        <v>4012.85</v>
      </c>
      <c r="D2212" s="53">
        <f t="shared" si="68"/>
        <v>-5.8762677865583576E-3</v>
      </c>
      <c r="E2212" s="53">
        <v>2.5694709192686719E-3</v>
      </c>
      <c r="G2212" s="90">
        <v>2204</v>
      </c>
      <c r="H2212" s="90">
        <f t="shared" ca="1" si="69"/>
        <v>2.8412109518075185E-2</v>
      </c>
    </row>
    <row r="2213" spans="2:8" x14ac:dyDescent="0.3">
      <c r="B2213" s="58">
        <f>'DATA HISTORICAL'!$B2858</f>
        <v>42657</v>
      </c>
      <c r="C2213" s="60">
        <f>'DATA HISTORICAL'!$C2858</f>
        <v>4036.5</v>
      </c>
      <c r="D2213" s="53">
        <f t="shared" si="68"/>
        <v>1.2652479547595401E-2</v>
      </c>
      <c r="E2213" s="53">
        <v>2.5667840662617499E-3</v>
      </c>
      <c r="G2213" s="90">
        <v>2205</v>
      </c>
      <c r="H2213" s="90">
        <f t="shared" ca="1" si="69"/>
        <v>-1.7504140376518255E-2</v>
      </c>
    </row>
    <row r="2214" spans="2:8" x14ac:dyDescent="0.3">
      <c r="B2214" s="58">
        <f>'DATA HISTORICAL'!$B2859</f>
        <v>42656</v>
      </c>
      <c r="C2214" s="60">
        <f>'DATA HISTORICAL'!$C2859</f>
        <v>3985.75</v>
      </c>
      <c r="D2214" s="53">
        <f t="shared" si="68"/>
        <v>2.2605975090047407E-3</v>
      </c>
      <c r="E2214" s="53">
        <v>2.55665315991686E-3</v>
      </c>
      <c r="G2214" s="90">
        <v>2206</v>
      </c>
      <c r="H2214" s="90">
        <f t="shared" ca="1" si="69"/>
        <v>1.4162571652029724E-2</v>
      </c>
    </row>
    <row r="2215" spans="2:8" x14ac:dyDescent="0.3">
      <c r="B2215" s="58">
        <f>'DATA HISTORICAL'!$B2860</f>
        <v>42653</v>
      </c>
      <c r="C2215" s="60">
        <f>'DATA HISTORICAL'!$C2860</f>
        <v>3976.75</v>
      </c>
      <c r="D2215" s="53">
        <f t="shared" si="68"/>
        <v>1.0833602572981531E-2</v>
      </c>
      <c r="E2215" s="53">
        <v>2.5316799595279612E-3</v>
      </c>
      <c r="G2215" s="90">
        <v>2207</v>
      </c>
      <c r="H2215" s="90">
        <f t="shared" ca="1" si="69"/>
        <v>4.3635016773438968E-3</v>
      </c>
    </row>
    <row r="2216" spans="2:8" x14ac:dyDescent="0.3">
      <c r="B2216" s="58">
        <f>'DATA HISTORICAL'!$B2861</f>
        <v>42650</v>
      </c>
      <c r="C2216" s="60">
        <f>'DATA HISTORICAL'!$C2861</f>
        <v>3933.9</v>
      </c>
      <c r="D2216" s="53">
        <f t="shared" si="68"/>
        <v>-6.6632288182058852E-3</v>
      </c>
      <c r="E2216" s="53">
        <v>2.5256173348301983E-3</v>
      </c>
      <c r="G2216" s="90">
        <v>2208</v>
      </c>
      <c r="H2216" s="90">
        <f t="shared" ca="1" si="69"/>
        <v>2.4671848567002271E-2</v>
      </c>
    </row>
    <row r="2217" spans="2:8" x14ac:dyDescent="0.3">
      <c r="B2217" s="58">
        <f>'DATA HISTORICAL'!$B2862</f>
        <v>42649</v>
      </c>
      <c r="C2217" s="60">
        <f>'DATA HISTORICAL'!$C2862</f>
        <v>3960.2</v>
      </c>
      <c r="D2217" s="53">
        <f t="shared" si="68"/>
        <v>-1.8253179314485016E-2</v>
      </c>
      <c r="E2217" s="53">
        <v>2.5151802958043694E-3</v>
      </c>
      <c r="G2217" s="90">
        <v>2209</v>
      </c>
      <c r="H2217" s="90">
        <f t="shared" ca="1" si="69"/>
        <v>-3.9552261620092507E-4</v>
      </c>
    </row>
    <row r="2218" spans="2:8" x14ac:dyDescent="0.3">
      <c r="B2218" s="58">
        <f>'DATA HISTORICAL'!$B2863</f>
        <v>42648</v>
      </c>
      <c r="C2218" s="60">
        <f>'DATA HISTORICAL'!$C2863</f>
        <v>4033.15</v>
      </c>
      <c r="D2218" s="53">
        <f t="shared" si="68"/>
        <v>2.0022330836150227E-2</v>
      </c>
      <c r="E2218" s="53">
        <v>2.5107989003705436E-3</v>
      </c>
      <c r="G2218" s="90">
        <v>2210</v>
      </c>
      <c r="H2218" s="90">
        <f t="shared" ca="1" si="69"/>
        <v>-4.2023904526610747E-3</v>
      </c>
    </row>
    <row r="2219" spans="2:8" x14ac:dyDescent="0.3">
      <c r="B2219" s="58">
        <f>'DATA HISTORICAL'!$B2864</f>
        <v>42647</v>
      </c>
      <c r="C2219" s="60">
        <f>'DATA HISTORICAL'!$C2864</f>
        <v>3953.2</v>
      </c>
      <c r="D2219" s="53">
        <f t="shared" si="68"/>
        <v>6.2804314712842854E-3</v>
      </c>
      <c r="E2219" s="53">
        <v>2.5100946147601768E-3</v>
      </c>
      <c r="G2219" s="90">
        <v>2211</v>
      </c>
      <c r="H2219" s="90">
        <f t="shared" ca="1" si="69"/>
        <v>-3.7826891766350431E-3</v>
      </c>
    </row>
    <row r="2220" spans="2:8" x14ac:dyDescent="0.3">
      <c r="B2220" s="58">
        <f>'DATA HISTORICAL'!$B2865</f>
        <v>42646</v>
      </c>
      <c r="C2220" s="60">
        <f>'DATA HISTORICAL'!$C2865</f>
        <v>3928.45</v>
      </c>
      <c r="D2220" s="53">
        <f t="shared" si="68"/>
        <v>1.9769281366906227E-2</v>
      </c>
      <c r="E2220" s="53">
        <v>2.507949483614279E-3</v>
      </c>
      <c r="G2220" s="90">
        <v>2212</v>
      </c>
      <c r="H2220" s="90">
        <f t="shared" ca="1" si="69"/>
        <v>1.6094114862935507E-2</v>
      </c>
    </row>
    <row r="2221" spans="2:8" x14ac:dyDescent="0.3">
      <c r="B2221" s="58">
        <f>'DATA HISTORICAL'!$B2866</f>
        <v>42643</v>
      </c>
      <c r="C2221" s="60">
        <f>'DATA HISTORICAL'!$C2866</f>
        <v>3851.55</v>
      </c>
      <c r="D2221" s="53">
        <f t="shared" si="68"/>
        <v>-2.5282496596037212E-3</v>
      </c>
      <c r="E2221" s="53">
        <v>2.497637880601377E-3</v>
      </c>
      <c r="G2221" s="90">
        <v>2213</v>
      </c>
      <c r="H2221" s="90">
        <f t="shared" ca="1" si="69"/>
        <v>7.1823822708137561E-3</v>
      </c>
    </row>
    <row r="2222" spans="2:8" x14ac:dyDescent="0.3">
      <c r="B2222" s="58">
        <f>'DATA HISTORICAL'!$B2867</f>
        <v>42642</v>
      </c>
      <c r="C2222" s="60">
        <f>'DATA HISTORICAL'!$C2867</f>
        <v>3861.3</v>
      </c>
      <c r="D2222" s="53">
        <f t="shared" si="68"/>
        <v>-2.8429463971784624E-2</v>
      </c>
      <c r="E2222" s="53">
        <v>2.4966458441208097E-3</v>
      </c>
      <c r="G2222" s="90">
        <v>2214</v>
      </c>
      <c r="H2222" s="90">
        <f t="shared" ca="1" si="69"/>
        <v>-9.57672672486083E-4</v>
      </c>
    </row>
    <row r="2223" spans="2:8" x14ac:dyDescent="0.3">
      <c r="B2223" s="58">
        <f>'DATA HISTORICAL'!$B2868</f>
        <v>42641</v>
      </c>
      <c r="C2223" s="60">
        <f>'DATA HISTORICAL'!$C2868</f>
        <v>3972.65</v>
      </c>
      <c r="D2223" s="53">
        <f t="shared" si="68"/>
        <v>1.4669135743561998E-2</v>
      </c>
      <c r="E2223" s="53">
        <v>2.489158366113688E-3</v>
      </c>
      <c r="G2223" s="90">
        <v>2215</v>
      </c>
      <c r="H2223" s="90">
        <f t="shared" ca="1" si="69"/>
        <v>-2.5502774578008456E-2</v>
      </c>
    </row>
    <row r="2224" spans="2:8" x14ac:dyDescent="0.3">
      <c r="B2224" s="58">
        <f>'DATA HISTORICAL'!$B2869</f>
        <v>42640</v>
      </c>
      <c r="C2224" s="60">
        <f>'DATA HISTORICAL'!$C2869</f>
        <v>3914.8</v>
      </c>
      <c r="D2224" s="53">
        <f t="shared" si="68"/>
        <v>-2.1306599707531571E-3</v>
      </c>
      <c r="E2224" s="53">
        <v>2.4878447752098667E-3</v>
      </c>
      <c r="G2224" s="90">
        <v>2216</v>
      </c>
      <c r="H2224" s="90">
        <f t="shared" ca="1" si="69"/>
        <v>1.7119434767315405E-2</v>
      </c>
    </row>
    <row r="2225" spans="2:8" x14ac:dyDescent="0.3">
      <c r="B2225" s="58">
        <f>'DATA HISTORICAL'!$B2870</f>
        <v>42639</v>
      </c>
      <c r="C2225" s="60">
        <f>'DATA HISTORICAL'!$C2870</f>
        <v>3923.15</v>
      </c>
      <c r="D2225" s="53">
        <f t="shared" si="68"/>
        <v>-1.040916674147725E-2</v>
      </c>
      <c r="E2225" s="53">
        <v>2.4855515528504142E-3</v>
      </c>
      <c r="G2225" s="90">
        <v>2217</v>
      </c>
      <c r="H2225" s="90">
        <f t="shared" ca="1" si="69"/>
        <v>3.4808902556770077E-2</v>
      </c>
    </row>
    <row r="2226" spans="2:8" x14ac:dyDescent="0.3">
      <c r="B2226" s="58">
        <f>'DATA HISTORICAL'!$B2871</f>
        <v>42636</v>
      </c>
      <c r="C2226" s="60">
        <f>'DATA HISTORICAL'!$C2871</f>
        <v>3964.2</v>
      </c>
      <c r="D2226" s="53">
        <f t="shared" si="68"/>
        <v>-3.9777500145884489E-3</v>
      </c>
      <c r="E2226" s="53">
        <v>2.4848727961147335E-3</v>
      </c>
      <c r="G2226" s="90">
        <v>2218</v>
      </c>
      <c r="H2226" s="90">
        <f t="shared" ca="1" si="69"/>
        <v>-1.7267256899145444E-2</v>
      </c>
    </row>
    <row r="2227" spans="2:8" x14ac:dyDescent="0.3">
      <c r="B2227" s="58">
        <f>'DATA HISTORICAL'!$B2872</f>
        <v>42635</v>
      </c>
      <c r="C2227" s="60">
        <f>'DATA HISTORICAL'!$C2872</f>
        <v>3980</v>
      </c>
      <c r="D2227" s="53">
        <f t="shared" si="68"/>
        <v>4.8484180233311393E-3</v>
      </c>
      <c r="E2227" s="53">
        <v>2.4790909300939604E-3</v>
      </c>
      <c r="G2227" s="90">
        <v>2219</v>
      </c>
      <c r="H2227" s="90">
        <f t="shared" ca="1" si="69"/>
        <v>-2.540941261180232E-2</v>
      </c>
    </row>
    <row r="2228" spans="2:8" x14ac:dyDescent="0.3">
      <c r="B2228" s="58">
        <f>'DATA HISTORICAL'!$B2873</f>
        <v>42634</v>
      </c>
      <c r="C2228" s="60">
        <f>'DATA HISTORICAL'!$C2873</f>
        <v>3960.75</v>
      </c>
      <c r="D2228" s="53">
        <f t="shared" si="68"/>
        <v>-7.0319620033282007E-3</v>
      </c>
      <c r="E2228" s="53">
        <v>2.4723801514666588E-3</v>
      </c>
      <c r="G2228" s="90">
        <v>2220</v>
      </c>
      <c r="H2228" s="90">
        <f t="shared" ca="1" si="69"/>
        <v>-4.3929685934406453E-3</v>
      </c>
    </row>
    <row r="2229" spans="2:8" x14ac:dyDescent="0.3">
      <c r="B2229" s="58">
        <f>'DATA HISTORICAL'!$B2874</f>
        <v>42633</v>
      </c>
      <c r="C2229" s="60">
        <f>'DATA HISTORICAL'!$C2874</f>
        <v>3988.7</v>
      </c>
      <c r="D2229" s="53">
        <f t="shared" si="68"/>
        <v>-4.3864322090939468E-4</v>
      </c>
      <c r="E2229" s="53">
        <v>2.4585019400495496E-3</v>
      </c>
      <c r="G2229" s="90">
        <v>2221</v>
      </c>
      <c r="H2229" s="90">
        <f t="shared" ca="1" si="69"/>
        <v>1.1087374660220108E-2</v>
      </c>
    </row>
    <row r="2230" spans="2:8" x14ac:dyDescent="0.3">
      <c r="B2230" s="58">
        <f>'DATA HISTORICAL'!$B2875</f>
        <v>42632</v>
      </c>
      <c r="C2230" s="60">
        <f>'DATA HISTORICAL'!$C2875</f>
        <v>3990.45</v>
      </c>
      <c r="D2230" s="53">
        <f t="shared" si="68"/>
        <v>1.6792464794136173E-2</v>
      </c>
      <c r="E2230" s="53">
        <v>2.4564776564626372E-3</v>
      </c>
      <c r="G2230" s="90">
        <v>2222</v>
      </c>
      <c r="H2230" s="90">
        <f t="shared" ca="1" si="69"/>
        <v>1.9603596347093348E-2</v>
      </c>
    </row>
    <row r="2231" spans="2:8" x14ac:dyDescent="0.3">
      <c r="B2231" s="58">
        <f>'DATA HISTORICAL'!$B2876</f>
        <v>42629</v>
      </c>
      <c r="C2231" s="60">
        <f>'DATA HISTORICAL'!$C2876</f>
        <v>3924</v>
      </c>
      <c r="D2231" s="53">
        <f t="shared" si="68"/>
        <v>-1.1843137140983477E-3</v>
      </c>
      <c r="E2231" s="53">
        <v>2.4475432329899133E-3</v>
      </c>
      <c r="G2231" s="90">
        <v>2223</v>
      </c>
      <c r="H2231" s="90">
        <f t="shared" ca="1" si="69"/>
        <v>2.2477744345616904E-2</v>
      </c>
    </row>
    <row r="2232" spans="2:8" x14ac:dyDescent="0.3">
      <c r="B2232" s="58">
        <f>'DATA HISTORICAL'!$B2877</f>
        <v>42628</v>
      </c>
      <c r="C2232" s="60">
        <f>'DATA HISTORICAL'!$C2877</f>
        <v>3928.65</v>
      </c>
      <c r="D2232" s="53">
        <f t="shared" si="68"/>
        <v>-3.9629667382112049E-3</v>
      </c>
      <c r="E2232" s="53">
        <v>2.4448873310667606E-3</v>
      </c>
      <c r="G2232" s="90">
        <v>2224</v>
      </c>
      <c r="H2232" s="90">
        <f t="shared" ca="1" si="69"/>
        <v>1.2342180858410467E-2</v>
      </c>
    </row>
    <row r="2233" spans="2:8" x14ac:dyDescent="0.3">
      <c r="B2233" s="58">
        <f>'DATA HISTORICAL'!$B2878</f>
        <v>42627</v>
      </c>
      <c r="C2233" s="60">
        <f>'DATA HISTORICAL'!$C2878</f>
        <v>3944.25</v>
      </c>
      <c r="D2233" s="53">
        <f t="shared" si="68"/>
        <v>1.9999642328911819E-2</v>
      </c>
      <c r="E2233" s="53">
        <v>2.4416580010169098E-3</v>
      </c>
      <c r="G2233" s="90">
        <v>2225</v>
      </c>
      <c r="H2233" s="90">
        <f t="shared" ca="1" si="69"/>
        <v>2.7409181313326952E-2</v>
      </c>
    </row>
    <row r="2234" spans="2:8" x14ac:dyDescent="0.3">
      <c r="B2234" s="58">
        <f>'DATA HISTORICAL'!$B2879</f>
        <v>42625</v>
      </c>
      <c r="C2234" s="60">
        <f>'DATA HISTORICAL'!$C2879</f>
        <v>3866.15</v>
      </c>
      <c r="D2234" s="53">
        <f t="shared" si="68"/>
        <v>-2.2392669509301698E-2</v>
      </c>
      <c r="E2234" s="53">
        <v>2.4282205124841988E-3</v>
      </c>
      <c r="G2234" s="90">
        <v>2226</v>
      </c>
      <c r="H2234" s="90">
        <f t="shared" ca="1" si="69"/>
        <v>2.9158828090792985E-2</v>
      </c>
    </row>
    <row r="2235" spans="2:8" x14ac:dyDescent="0.3">
      <c r="B2235" s="58">
        <f>'DATA HISTORICAL'!$B2880</f>
        <v>42622</v>
      </c>
      <c r="C2235" s="60">
        <f>'DATA HISTORICAL'!$C2880</f>
        <v>3953.7</v>
      </c>
      <c r="D2235" s="53">
        <f t="shared" si="68"/>
        <v>-4.0072035854280298E-2</v>
      </c>
      <c r="E2235" s="53">
        <v>2.4049312658336462E-3</v>
      </c>
      <c r="G2235" s="90">
        <v>2227</v>
      </c>
      <c r="H2235" s="90">
        <f t="shared" ca="1" si="69"/>
        <v>1.5220611173406503E-2</v>
      </c>
    </row>
    <row r="2236" spans="2:8" x14ac:dyDescent="0.3">
      <c r="B2236" s="58">
        <f>'DATA HISTORICAL'!$B2881</f>
        <v>42621</v>
      </c>
      <c r="C2236" s="60">
        <f>'DATA HISTORICAL'!$C2881</f>
        <v>4115.3500000000004</v>
      </c>
      <c r="D2236" s="53">
        <f t="shared" si="68"/>
        <v>7.2552888387992899E-3</v>
      </c>
      <c r="E2236" s="53">
        <v>2.4030024559105589E-3</v>
      </c>
      <c r="G2236" s="90">
        <v>2228</v>
      </c>
      <c r="H2236" s="90">
        <f t="shared" ca="1" si="69"/>
        <v>4.2842717353971112E-2</v>
      </c>
    </row>
    <row r="2237" spans="2:8" x14ac:dyDescent="0.3">
      <c r="B2237" s="58">
        <f>'DATA HISTORICAL'!$B2882</f>
        <v>42620</v>
      </c>
      <c r="C2237" s="60">
        <f>'DATA HISTORICAL'!$C2882</f>
        <v>4085.6</v>
      </c>
      <c r="D2237" s="53">
        <f t="shared" si="68"/>
        <v>2.6469306175227738E-3</v>
      </c>
      <c r="E2237" s="53">
        <v>2.3992255112281731E-3</v>
      </c>
      <c r="G2237" s="90">
        <v>2229</v>
      </c>
      <c r="H2237" s="90">
        <f t="shared" ca="1" si="69"/>
        <v>1.2270023170718311E-2</v>
      </c>
    </row>
    <row r="2238" spans="2:8" x14ac:dyDescent="0.3">
      <c r="B2238" s="58">
        <f>'DATA HISTORICAL'!$B2883</f>
        <v>42619</v>
      </c>
      <c r="C2238" s="60">
        <f>'DATA HISTORICAL'!$C2883</f>
        <v>4074.8</v>
      </c>
      <c r="D2238" s="53">
        <f t="shared" si="68"/>
        <v>-2.5857382224945781E-3</v>
      </c>
      <c r="E2238" s="53">
        <v>2.3707740090273201E-3</v>
      </c>
      <c r="G2238" s="90">
        <v>2230</v>
      </c>
      <c r="H2238" s="90">
        <f t="shared" ca="1" si="69"/>
        <v>1.1748298895606222E-2</v>
      </c>
    </row>
    <row r="2239" spans="2:8" x14ac:dyDescent="0.3">
      <c r="B2239" s="58">
        <f>'DATA HISTORICAL'!$B2884</f>
        <v>42615</v>
      </c>
      <c r="C2239" s="60">
        <f>'DATA HISTORICAL'!$C2884</f>
        <v>4085.35</v>
      </c>
      <c r="D2239" s="53">
        <f t="shared" si="68"/>
        <v>5.5103996089705815E-3</v>
      </c>
      <c r="E2239" s="53">
        <v>2.3686953129872183E-3</v>
      </c>
      <c r="G2239" s="90">
        <v>2231</v>
      </c>
      <c r="H2239" s="90">
        <f t="shared" ca="1" si="69"/>
        <v>8.5999661998970942E-3</v>
      </c>
    </row>
    <row r="2240" spans="2:8" x14ac:dyDescent="0.3">
      <c r="B2240" s="58">
        <f>'DATA HISTORICAL'!$B2885</f>
        <v>42614</v>
      </c>
      <c r="C2240" s="60">
        <f>'DATA HISTORICAL'!$C2885</f>
        <v>4062.9</v>
      </c>
      <c r="D2240" s="53">
        <f t="shared" si="68"/>
        <v>8.4532610741960921E-3</v>
      </c>
      <c r="E2240" s="53">
        <v>2.3664063103897518E-3</v>
      </c>
      <c r="G2240" s="90">
        <v>2232</v>
      </c>
      <c r="H2240" s="90">
        <f t="shared" ca="1" si="69"/>
        <v>2.673088196869491E-2</v>
      </c>
    </row>
    <row r="2241" spans="2:8" x14ac:dyDescent="0.3">
      <c r="B2241" s="58">
        <f>'DATA HISTORICAL'!$B2886</f>
        <v>42613</v>
      </c>
      <c r="C2241" s="60">
        <f>'DATA HISTORICAL'!$C2886</f>
        <v>4028.7</v>
      </c>
      <c r="D2241" s="53">
        <f t="shared" si="68"/>
        <v>3.4559120288145971E-2</v>
      </c>
      <c r="E2241" s="53">
        <v>2.3565677542274218E-3</v>
      </c>
      <c r="G2241" s="90">
        <v>2233</v>
      </c>
      <c r="H2241" s="90">
        <f t="shared" ca="1" si="69"/>
        <v>-5.3228232317808289E-3</v>
      </c>
    </row>
    <row r="2242" spans="2:8" x14ac:dyDescent="0.3">
      <c r="B2242" s="58">
        <f>'DATA HISTORICAL'!$B2887</f>
        <v>42612</v>
      </c>
      <c r="C2242" s="60">
        <f>'DATA HISTORICAL'!$C2887</f>
        <v>3891.85</v>
      </c>
      <c r="D2242" s="53">
        <f t="shared" si="68"/>
        <v>2.8499456304582196E-2</v>
      </c>
      <c r="E2242" s="53">
        <v>2.3551256040141065E-3</v>
      </c>
      <c r="G2242" s="90">
        <v>2234</v>
      </c>
      <c r="H2242" s="90">
        <f t="shared" ca="1" si="69"/>
        <v>-2.4248951307034229E-2</v>
      </c>
    </row>
    <row r="2243" spans="2:8" x14ac:dyDescent="0.3">
      <c r="B2243" s="58">
        <f>'DATA HISTORICAL'!$B2888</f>
        <v>42611</v>
      </c>
      <c r="C2243" s="60">
        <f>'DATA HISTORICAL'!$C2888</f>
        <v>3782.5</v>
      </c>
      <c r="D2243" s="53">
        <f t="shared" si="68"/>
        <v>-5.5233829016629338E-3</v>
      </c>
      <c r="E2243" s="53">
        <v>2.3532576654302232E-3</v>
      </c>
      <c r="G2243" s="90">
        <v>2235</v>
      </c>
      <c r="H2243" s="90">
        <f t="shared" ca="1" si="69"/>
        <v>4.8100054378987893E-3</v>
      </c>
    </row>
    <row r="2244" spans="2:8" x14ac:dyDescent="0.3">
      <c r="B2244" s="58">
        <f>'DATA HISTORICAL'!$B2889</f>
        <v>42608</v>
      </c>
      <c r="C2244" s="60">
        <f>'DATA HISTORICAL'!$C2889</f>
        <v>3803.45</v>
      </c>
      <c r="D2244" s="53">
        <f t="shared" si="68"/>
        <v>3.6744653120901224E-3</v>
      </c>
      <c r="E2244" s="53">
        <v>2.3485568214053529E-3</v>
      </c>
      <c r="G2244" s="90">
        <v>2236</v>
      </c>
      <c r="H2244" s="90">
        <f t="shared" ca="1" si="69"/>
        <v>-2.0950163412014056E-2</v>
      </c>
    </row>
    <row r="2245" spans="2:8" x14ac:dyDescent="0.3">
      <c r="B2245" s="58">
        <f>'DATA HISTORICAL'!$B2890</f>
        <v>42607</v>
      </c>
      <c r="C2245" s="60">
        <f>'DATA HISTORICAL'!$C2890</f>
        <v>3789.5</v>
      </c>
      <c r="D2245" s="53">
        <f t="shared" si="68"/>
        <v>-5.9985972711675221E-3</v>
      </c>
      <c r="E2245" s="53">
        <v>2.3419590114272409E-3</v>
      </c>
      <c r="G2245" s="90">
        <v>2237</v>
      </c>
      <c r="H2245" s="90">
        <f t="shared" ca="1" si="69"/>
        <v>-8.9448784759803904E-3</v>
      </c>
    </row>
    <row r="2246" spans="2:8" x14ac:dyDescent="0.3">
      <c r="B2246" s="58">
        <f>'DATA HISTORICAL'!$B2891</f>
        <v>42606</v>
      </c>
      <c r="C2246" s="60">
        <f>'DATA HISTORICAL'!$C2891</f>
        <v>3812.3</v>
      </c>
      <c r="D2246" s="53">
        <f t="shared" si="68"/>
        <v>-3.6655972759494899E-3</v>
      </c>
      <c r="E2246" s="53">
        <v>2.3363426267172522E-3</v>
      </c>
      <c r="G2246" s="90">
        <v>2238</v>
      </c>
      <c r="H2246" s="90">
        <f t="shared" ca="1" si="69"/>
        <v>1.2815010837566677E-2</v>
      </c>
    </row>
    <row r="2247" spans="2:8" x14ac:dyDescent="0.3">
      <c r="B2247" s="58">
        <f>'DATA HISTORICAL'!$B2892</f>
        <v>42605</v>
      </c>
      <c r="C2247" s="60">
        <f>'DATA HISTORICAL'!$C2892</f>
        <v>3826.3</v>
      </c>
      <c r="D2247" s="53">
        <f t="shared" si="68"/>
        <v>-1.0166890752166546E-2</v>
      </c>
      <c r="E2247" s="53">
        <v>2.3343404206065989E-3</v>
      </c>
      <c r="G2247" s="90">
        <v>2239</v>
      </c>
      <c r="H2247" s="90">
        <f t="shared" ca="1" si="69"/>
        <v>2.2370172080342206E-2</v>
      </c>
    </row>
    <row r="2248" spans="2:8" x14ac:dyDescent="0.3">
      <c r="B2248" s="58">
        <f>'DATA HISTORICAL'!$B2893</f>
        <v>42604</v>
      </c>
      <c r="C2248" s="60">
        <f>'DATA HISTORICAL'!$C2893</f>
        <v>3865.4</v>
      </c>
      <c r="D2248" s="53">
        <f t="shared" si="68"/>
        <v>-1.5759675266998972E-2</v>
      </c>
      <c r="E2248" s="53">
        <v>2.3184750610986621E-3</v>
      </c>
      <c r="G2248" s="90">
        <v>2240</v>
      </c>
      <c r="H2248" s="90">
        <f t="shared" ca="1" si="69"/>
        <v>-2.8462763255048113E-2</v>
      </c>
    </row>
    <row r="2249" spans="2:8" x14ac:dyDescent="0.3">
      <c r="B2249" s="58">
        <f>'DATA HISTORICAL'!$B2894</f>
        <v>42601</v>
      </c>
      <c r="C2249" s="60">
        <f>'DATA HISTORICAL'!$C2894</f>
        <v>3926.8</v>
      </c>
      <c r="D2249" s="53">
        <f t="shared" ref="D2249:D2312" si="70">LN(C2249/C2250)</f>
        <v>1.3446938036654888E-2</v>
      </c>
      <c r="E2249" s="53">
        <v>2.3183259610391961E-3</v>
      </c>
      <c r="G2249" s="90">
        <v>2241</v>
      </c>
      <c r="H2249" s="90">
        <f t="shared" ref="H2249:H2312" ca="1" si="71">_xlfn.NORM.INV(RAND(),N$10,N$11)</f>
        <v>1.4852546688726962E-2</v>
      </c>
    </row>
    <row r="2250" spans="2:8" x14ac:dyDescent="0.3">
      <c r="B2250" s="58">
        <f>'DATA HISTORICAL'!$B2895</f>
        <v>42600</v>
      </c>
      <c r="C2250" s="60">
        <f>'DATA HISTORICAL'!$C2895</f>
        <v>3874.35</v>
      </c>
      <c r="D2250" s="53">
        <f t="shared" si="70"/>
        <v>4.6234294237116946E-2</v>
      </c>
      <c r="E2250" s="53">
        <v>2.3152549582396748E-3</v>
      </c>
      <c r="G2250" s="90">
        <v>2242</v>
      </c>
      <c r="H2250" s="90">
        <f t="shared" ca="1" si="71"/>
        <v>1.2700335070870941E-2</v>
      </c>
    </row>
    <row r="2251" spans="2:8" x14ac:dyDescent="0.3">
      <c r="B2251" s="58">
        <f>'DATA HISTORICAL'!$B2896</f>
        <v>42599</v>
      </c>
      <c r="C2251" s="60">
        <f>'DATA HISTORICAL'!$C2896</f>
        <v>3699.3</v>
      </c>
      <c r="D2251" s="53">
        <f t="shared" si="70"/>
        <v>-1.0794929226244612E-2</v>
      </c>
      <c r="E2251" s="53">
        <v>2.3132933909297271E-3</v>
      </c>
      <c r="G2251" s="90">
        <v>2243</v>
      </c>
      <c r="H2251" s="90">
        <f t="shared" ca="1" si="71"/>
        <v>2.8065486131178315E-3</v>
      </c>
    </row>
    <row r="2252" spans="2:8" x14ac:dyDescent="0.3">
      <c r="B2252" s="58">
        <f>'DATA HISTORICAL'!$B2897</f>
        <v>42598</v>
      </c>
      <c r="C2252" s="60">
        <f>'DATA HISTORICAL'!$C2897</f>
        <v>3739.45</v>
      </c>
      <c r="D2252" s="53">
        <f t="shared" si="70"/>
        <v>4.6505166539036599E-3</v>
      </c>
      <c r="E2252" s="53">
        <v>2.3081559637045481E-3</v>
      </c>
      <c r="G2252" s="90">
        <v>2244</v>
      </c>
      <c r="H2252" s="90">
        <f t="shared" ca="1" si="71"/>
        <v>-1.8979692718599245E-2</v>
      </c>
    </row>
    <row r="2253" spans="2:8" x14ac:dyDescent="0.3">
      <c r="B2253" s="58">
        <f>'DATA HISTORICAL'!$B2898</f>
        <v>42594</v>
      </c>
      <c r="C2253" s="60">
        <f>'DATA HISTORICAL'!$C2898</f>
        <v>3722.1</v>
      </c>
      <c r="D2253" s="53">
        <f t="shared" si="70"/>
        <v>4.1595213934584362E-3</v>
      </c>
      <c r="E2253" s="53">
        <v>2.3042614500178222E-3</v>
      </c>
      <c r="G2253" s="90">
        <v>2245</v>
      </c>
      <c r="H2253" s="90">
        <f t="shared" ca="1" si="71"/>
        <v>1.198369811112069E-2</v>
      </c>
    </row>
    <row r="2254" spans="2:8" x14ac:dyDescent="0.3">
      <c r="B2254" s="58">
        <f>'DATA HISTORICAL'!$B2899</f>
        <v>42593</v>
      </c>
      <c r="C2254" s="60">
        <f>'DATA HISTORICAL'!$C2899</f>
        <v>3706.65</v>
      </c>
      <c r="D2254" s="53">
        <f t="shared" si="70"/>
        <v>-5.9981889449618048E-3</v>
      </c>
      <c r="E2254" s="53">
        <v>2.295082974640217E-3</v>
      </c>
      <c r="G2254" s="90">
        <v>2246</v>
      </c>
      <c r="H2254" s="90">
        <f t="shared" ca="1" si="71"/>
        <v>3.5950718325466458E-3</v>
      </c>
    </row>
    <row r="2255" spans="2:8" x14ac:dyDescent="0.3">
      <c r="B2255" s="58">
        <f>'DATA HISTORICAL'!$B2900</f>
        <v>42592</v>
      </c>
      <c r="C2255" s="60">
        <f>'DATA HISTORICAL'!$C2900</f>
        <v>3728.95</v>
      </c>
      <c r="D2255" s="53">
        <f t="shared" si="70"/>
        <v>-1.9387400320288593E-2</v>
      </c>
      <c r="E2255" s="53">
        <v>2.273011747722696E-3</v>
      </c>
      <c r="G2255" s="90">
        <v>2247</v>
      </c>
      <c r="H2255" s="90">
        <f t="shared" ca="1" si="71"/>
        <v>-2.7597343749227603E-2</v>
      </c>
    </row>
    <row r="2256" spans="2:8" x14ac:dyDescent="0.3">
      <c r="B2256" s="58">
        <f>'DATA HISTORICAL'!$B2901</f>
        <v>42591</v>
      </c>
      <c r="C2256" s="60">
        <f>'DATA HISTORICAL'!$C2901</f>
        <v>3801.95</v>
      </c>
      <c r="D2256" s="53">
        <f t="shared" si="70"/>
        <v>5.7239479959489597E-3</v>
      </c>
      <c r="E2256" s="53">
        <v>2.2666184391748191E-3</v>
      </c>
      <c r="G2256" s="90">
        <v>2248</v>
      </c>
      <c r="H2256" s="90">
        <f t="shared" ca="1" si="71"/>
        <v>7.0895760230760612E-3</v>
      </c>
    </row>
    <row r="2257" spans="2:8" x14ac:dyDescent="0.3">
      <c r="B2257" s="58">
        <f>'DATA HISTORICAL'!$B2902</f>
        <v>42590</v>
      </c>
      <c r="C2257" s="60">
        <f>'DATA HISTORICAL'!$C2902</f>
        <v>3780.25</v>
      </c>
      <c r="D2257" s="53">
        <f t="shared" si="70"/>
        <v>-7.0250646425707112E-3</v>
      </c>
      <c r="E2257" s="53">
        <v>2.2598006700271563E-3</v>
      </c>
      <c r="G2257" s="90">
        <v>2249</v>
      </c>
      <c r="H2257" s="90">
        <f t="shared" ca="1" si="71"/>
        <v>-1.1779441333256015E-2</v>
      </c>
    </row>
    <row r="2258" spans="2:8" x14ac:dyDescent="0.3">
      <c r="B2258" s="58">
        <f>'DATA HISTORICAL'!$B2903</f>
        <v>42587</v>
      </c>
      <c r="C2258" s="60">
        <f>'DATA HISTORICAL'!$C2903</f>
        <v>3806.9</v>
      </c>
      <c r="D2258" s="53">
        <f t="shared" si="70"/>
        <v>4.0295129739153474E-2</v>
      </c>
      <c r="E2258" s="53">
        <v>2.2516058185511984E-3</v>
      </c>
      <c r="G2258" s="90">
        <v>2250</v>
      </c>
      <c r="H2258" s="90">
        <f t="shared" ca="1" si="71"/>
        <v>-1.6557392468755077E-3</v>
      </c>
    </row>
    <row r="2259" spans="2:8" x14ac:dyDescent="0.3">
      <c r="B2259" s="58">
        <f>'DATA HISTORICAL'!$B2904</f>
        <v>42586</v>
      </c>
      <c r="C2259" s="60">
        <f>'DATA HISTORICAL'!$C2904</f>
        <v>3656.55</v>
      </c>
      <c r="D2259" s="53">
        <f t="shared" si="70"/>
        <v>-3.044682694735814E-3</v>
      </c>
      <c r="E2259" s="53">
        <v>2.2515032739747589E-3</v>
      </c>
      <c r="G2259" s="90">
        <v>2251</v>
      </c>
      <c r="H2259" s="90">
        <f t="shared" ca="1" si="71"/>
        <v>-3.7018682796154745E-3</v>
      </c>
    </row>
    <row r="2260" spans="2:8" x14ac:dyDescent="0.3">
      <c r="B2260" s="58">
        <f>'DATA HISTORICAL'!$B2905</f>
        <v>42585</v>
      </c>
      <c r="C2260" s="60">
        <f>'DATA HISTORICAL'!$C2905</f>
        <v>3667.7</v>
      </c>
      <c r="D2260" s="53">
        <f t="shared" si="70"/>
        <v>-2.450848130546265E-3</v>
      </c>
      <c r="E2260" s="53">
        <v>2.2421860506716741E-3</v>
      </c>
      <c r="G2260" s="90">
        <v>2252</v>
      </c>
      <c r="H2260" s="90">
        <f t="shared" ca="1" si="71"/>
        <v>6.4940802991966633E-4</v>
      </c>
    </row>
    <row r="2261" spans="2:8" x14ac:dyDescent="0.3">
      <c r="B2261" s="58">
        <f>'DATA HISTORICAL'!$B2906</f>
        <v>42584</v>
      </c>
      <c r="C2261" s="60">
        <f>'DATA HISTORICAL'!$C2906</f>
        <v>3676.7</v>
      </c>
      <c r="D2261" s="53">
        <f t="shared" si="70"/>
        <v>-2.1259075212248502E-2</v>
      </c>
      <c r="E2261" s="53">
        <v>2.2367145386523756E-3</v>
      </c>
      <c r="G2261" s="90">
        <v>2253</v>
      </c>
      <c r="H2261" s="90">
        <f t="shared" ca="1" si="71"/>
        <v>-1.2391737077633172E-3</v>
      </c>
    </row>
    <row r="2262" spans="2:8" x14ac:dyDescent="0.3">
      <c r="B2262" s="58">
        <f>'DATA HISTORICAL'!$B2907</f>
        <v>42583</v>
      </c>
      <c r="C2262" s="60">
        <f>'DATA HISTORICAL'!$C2907</f>
        <v>3755.7</v>
      </c>
      <c r="D2262" s="53">
        <f t="shared" si="70"/>
        <v>1.0035005737609444E-2</v>
      </c>
      <c r="E2262" s="53">
        <v>2.2364485458159305E-3</v>
      </c>
      <c r="G2262" s="90">
        <v>2254</v>
      </c>
      <c r="H2262" s="90">
        <f t="shared" ca="1" si="71"/>
        <v>-7.5066983441954543E-4</v>
      </c>
    </row>
    <row r="2263" spans="2:8" x14ac:dyDescent="0.3">
      <c r="B2263" s="58">
        <f>'DATA HISTORICAL'!$B2908</f>
        <v>42580</v>
      </c>
      <c r="C2263" s="60">
        <f>'DATA HISTORICAL'!$C2908</f>
        <v>3718.2</v>
      </c>
      <c r="D2263" s="53">
        <f t="shared" si="70"/>
        <v>1.0666659648434272E-2</v>
      </c>
      <c r="E2263" s="53">
        <v>2.2310162478389058E-3</v>
      </c>
      <c r="G2263" s="90">
        <v>2255</v>
      </c>
      <c r="H2263" s="90">
        <f t="shared" ca="1" si="71"/>
        <v>-9.0343809588954056E-3</v>
      </c>
    </row>
    <row r="2264" spans="2:8" x14ac:dyDescent="0.3">
      <c r="B2264" s="58">
        <f>'DATA HISTORICAL'!$B2909</f>
        <v>42579</v>
      </c>
      <c r="C2264" s="60">
        <f>'DATA HISTORICAL'!$C2909</f>
        <v>3678.75</v>
      </c>
      <c r="D2264" s="53">
        <f t="shared" si="70"/>
        <v>7.6403946271016189E-3</v>
      </c>
      <c r="E2264" s="53">
        <v>2.2251620323884215E-3</v>
      </c>
      <c r="G2264" s="90">
        <v>2256</v>
      </c>
      <c r="H2264" s="90">
        <f t="shared" ca="1" si="71"/>
        <v>4.0941487219200379E-2</v>
      </c>
    </row>
    <row r="2265" spans="2:8" x14ac:dyDescent="0.3">
      <c r="B2265" s="58">
        <f>'DATA HISTORICAL'!$B2910</f>
        <v>42578</v>
      </c>
      <c r="C2265" s="60">
        <f>'DATA HISTORICAL'!$C2910</f>
        <v>3650.75</v>
      </c>
      <c r="D2265" s="53">
        <f t="shared" si="70"/>
        <v>6.168406916767611E-3</v>
      </c>
      <c r="E2265" s="53">
        <v>2.2172494284600289E-3</v>
      </c>
      <c r="G2265" s="90">
        <v>2257</v>
      </c>
      <c r="H2265" s="90">
        <f t="shared" ca="1" si="71"/>
        <v>1.3921633775258745E-2</v>
      </c>
    </row>
    <row r="2266" spans="2:8" x14ac:dyDescent="0.3">
      <c r="B2266" s="58">
        <f>'DATA HISTORICAL'!$B2911</f>
        <v>42577</v>
      </c>
      <c r="C2266" s="60">
        <f>'DATA HISTORICAL'!$C2911</f>
        <v>3628.3</v>
      </c>
      <c r="D2266" s="53">
        <f t="shared" si="70"/>
        <v>-1.1427443044802707E-2</v>
      </c>
      <c r="E2266" s="53">
        <v>2.2103213963523302E-3</v>
      </c>
      <c r="G2266" s="90">
        <v>2258</v>
      </c>
      <c r="H2266" s="90">
        <f t="shared" ca="1" si="71"/>
        <v>-5.9346857453370728E-3</v>
      </c>
    </row>
    <row r="2267" spans="2:8" x14ac:dyDescent="0.3">
      <c r="B2267" s="58">
        <f>'DATA HISTORICAL'!$B2912</f>
        <v>42576</v>
      </c>
      <c r="C2267" s="60">
        <f>'DATA HISTORICAL'!$C2912</f>
        <v>3670</v>
      </c>
      <c r="D2267" s="53">
        <f t="shared" si="70"/>
        <v>8.2904013967628754E-3</v>
      </c>
      <c r="E2267" s="53">
        <v>2.1971336256410737E-3</v>
      </c>
      <c r="G2267" s="90">
        <v>2259</v>
      </c>
      <c r="H2267" s="90">
        <f t="shared" ca="1" si="71"/>
        <v>-4.6344381059402482E-3</v>
      </c>
    </row>
    <row r="2268" spans="2:8" x14ac:dyDescent="0.3">
      <c r="B2268" s="58">
        <f>'DATA HISTORICAL'!$B2913</f>
        <v>42573</v>
      </c>
      <c r="C2268" s="60">
        <f>'DATA HISTORICAL'!$C2913</f>
        <v>3639.7</v>
      </c>
      <c r="D2268" s="53">
        <f t="shared" si="70"/>
        <v>3.2975186471197442E-4</v>
      </c>
      <c r="E2268" s="53">
        <v>2.1878220017273252E-3</v>
      </c>
      <c r="G2268" s="90">
        <v>2260</v>
      </c>
      <c r="H2268" s="90">
        <f t="shared" ca="1" si="71"/>
        <v>-2.0141403566951922E-2</v>
      </c>
    </row>
    <row r="2269" spans="2:8" x14ac:dyDescent="0.3">
      <c r="B2269" s="58">
        <f>'DATA HISTORICAL'!$B2914</f>
        <v>42572</v>
      </c>
      <c r="C2269" s="60">
        <f>'DATA HISTORICAL'!$C2914</f>
        <v>3638.5</v>
      </c>
      <c r="D2269" s="53">
        <f t="shared" si="70"/>
        <v>2.1853099660222742E-2</v>
      </c>
      <c r="E2269" s="53">
        <v>2.1719258652263254E-3</v>
      </c>
      <c r="G2269" s="90">
        <v>2261</v>
      </c>
      <c r="H2269" s="90">
        <f t="shared" ca="1" si="71"/>
        <v>3.1537887071031681E-2</v>
      </c>
    </row>
    <row r="2270" spans="2:8" x14ac:dyDescent="0.3">
      <c r="B2270" s="58">
        <f>'DATA HISTORICAL'!$B2915</f>
        <v>42571</v>
      </c>
      <c r="C2270" s="60">
        <f>'DATA HISTORICAL'!$C2915</f>
        <v>3559.85</v>
      </c>
      <c r="D2270" s="53">
        <f t="shared" si="70"/>
        <v>1.474360285281323E-2</v>
      </c>
      <c r="E2270" s="53">
        <v>2.1701192646490491E-3</v>
      </c>
      <c r="G2270" s="90">
        <v>2262</v>
      </c>
      <c r="H2270" s="90">
        <f t="shared" ca="1" si="71"/>
        <v>9.8544661482264425E-3</v>
      </c>
    </row>
    <row r="2271" spans="2:8" x14ac:dyDescent="0.3">
      <c r="B2271" s="58">
        <f>'DATA HISTORICAL'!$B2916</f>
        <v>42570</v>
      </c>
      <c r="C2271" s="60">
        <f>'DATA HISTORICAL'!$C2916</f>
        <v>3507.75</v>
      </c>
      <c r="D2271" s="53">
        <f t="shared" si="70"/>
        <v>2.6547930296430245E-3</v>
      </c>
      <c r="E2271" s="53">
        <v>2.1467721933222141E-3</v>
      </c>
      <c r="G2271" s="90">
        <v>2263</v>
      </c>
      <c r="H2271" s="90">
        <f t="shared" ca="1" si="71"/>
        <v>1.578275297380332E-2</v>
      </c>
    </row>
    <row r="2272" spans="2:8" x14ac:dyDescent="0.3">
      <c r="B2272" s="58">
        <f>'DATA HISTORICAL'!$B2917</f>
        <v>42569</v>
      </c>
      <c r="C2272" s="60">
        <f>'DATA HISTORICAL'!$C2917</f>
        <v>3498.45</v>
      </c>
      <c r="D2272" s="53">
        <f t="shared" si="70"/>
        <v>-9.3602208333959623E-3</v>
      </c>
      <c r="E2272" s="53">
        <v>2.1359314370190574E-3</v>
      </c>
      <c r="G2272" s="90">
        <v>2264</v>
      </c>
      <c r="H2272" s="90">
        <f t="shared" ca="1" si="71"/>
        <v>-1.022799870814347E-2</v>
      </c>
    </row>
    <row r="2273" spans="2:8" x14ac:dyDescent="0.3">
      <c r="B2273" s="58">
        <f>'DATA HISTORICAL'!$B2918</f>
        <v>42566</v>
      </c>
      <c r="C2273" s="60">
        <f>'DATA HISTORICAL'!$C2918</f>
        <v>3531.35</v>
      </c>
      <c r="D2273" s="53">
        <f t="shared" si="70"/>
        <v>8.7458517211230786E-3</v>
      </c>
      <c r="E2273" s="53">
        <v>2.1327264609950227E-3</v>
      </c>
      <c r="G2273" s="90">
        <v>2265</v>
      </c>
      <c r="H2273" s="90">
        <f t="shared" ca="1" si="71"/>
        <v>1.2424693999652944E-2</v>
      </c>
    </row>
    <row r="2274" spans="2:8" x14ac:dyDescent="0.3">
      <c r="B2274" s="58">
        <f>'DATA HISTORICAL'!$B2919</f>
        <v>42565</v>
      </c>
      <c r="C2274" s="60">
        <f>'DATA HISTORICAL'!$C2919</f>
        <v>3500.6</v>
      </c>
      <c r="D2274" s="53">
        <f t="shared" si="70"/>
        <v>1.9019354176955265E-2</v>
      </c>
      <c r="E2274" s="53">
        <v>2.1263770675666997E-3</v>
      </c>
      <c r="G2274" s="90">
        <v>2266</v>
      </c>
      <c r="H2274" s="90">
        <f t="shared" ca="1" si="71"/>
        <v>1.0777825652134755E-2</v>
      </c>
    </row>
    <row r="2275" spans="2:8" x14ac:dyDescent="0.3">
      <c r="B2275" s="58">
        <f>'DATA HISTORICAL'!$B2920</f>
        <v>42564</v>
      </c>
      <c r="C2275" s="60">
        <f>'DATA HISTORICAL'!$C2920</f>
        <v>3434.65</v>
      </c>
      <c r="D2275" s="53">
        <f t="shared" si="70"/>
        <v>-1.5212769635149913E-2</v>
      </c>
      <c r="E2275" s="53">
        <v>2.1143688799633098E-3</v>
      </c>
      <c r="G2275" s="90">
        <v>2267</v>
      </c>
      <c r="H2275" s="90">
        <f t="shared" ca="1" si="71"/>
        <v>3.7777909916308597E-2</v>
      </c>
    </row>
    <row r="2276" spans="2:8" x14ac:dyDescent="0.3">
      <c r="B2276" s="58">
        <f>'DATA HISTORICAL'!$B2921</f>
        <v>42563</v>
      </c>
      <c r="C2276" s="60">
        <f>'DATA HISTORICAL'!$C2921</f>
        <v>3487.3</v>
      </c>
      <c r="D2276" s="53">
        <f t="shared" si="70"/>
        <v>9.4355951161693673E-3</v>
      </c>
      <c r="E2276" s="53">
        <v>2.1009090115447731E-3</v>
      </c>
      <c r="G2276" s="90">
        <v>2268</v>
      </c>
      <c r="H2276" s="90">
        <f t="shared" ca="1" si="71"/>
        <v>6.2587473785080412E-4</v>
      </c>
    </row>
    <row r="2277" spans="2:8" x14ac:dyDescent="0.3">
      <c r="B2277" s="58">
        <f>'DATA HISTORICAL'!$B2922</f>
        <v>42562</v>
      </c>
      <c r="C2277" s="60">
        <f>'DATA HISTORICAL'!$C2922</f>
        <v>3454.55</v>
      </c>
      <c r="D2277" s="53">
        <f t="shared" si="70"/>
        <v>1.5902065320285E-2</v>
      </c>
      <c r="E2277" s="53">
        <v>2.0963888467421814E-3</v>
      </c>
      <c r="G2277" s="90">
        <v>2269</v>
      </c>
      <c r="H2277" s="90">
        <f t="shared" ca="1" si="71"/>
        <v>-1.7573479123811752E-2</v>
      </c>
    </row>
    <row r="2278" spans="2:8" x14ac:dyDescent="0.3">
      <c r="B2278" s="58">
        <f>'DATA HISTORICAL'!$B2923</f>
        <v>42559</v>
      </c>
      <c r="C2278" s="60">
        <f>'DATA HISTORICAL'!$C2923</f>
        <v>3400.05</v>
      </c>
      <c r="D2278" s="53">
        <f t="shared" si="70"/>
        <v>5.2046207025568478E-3</v>
      </c>
      <c r="E2278" s="53">
        <v>2.0947290331472454E-3</v>
      </c>
      <c r="G2278" s="90">
        <v>2270</v>
      </c>
      <c r="H2278" s="90">
        <f t="shared" ca="1" si="71"/>
        <v>2.9885660939086994E-2</v>
      </c>
    </row>
    <row r="2279" spans="2:8" x14ac:dyDescent="0.3">
      <c r="B2279" s="58">
        <f>'DATA HISTORICAL'!$B2924</f>
        <v>42558</v>
      </c>
      <c r="C2279" s="60">
        <f>'DATA HISTORICAL'!$C2924</f>
        <v>3382.4</v>
      </c>
      <c r="D2279" s="53">
        <f t="shared" si="70"/>
        <v>2.1457489124689262E-3</v>
      </c>
      <c r="E2279" s="53">
        <v>2.0809814747775315E-3</v>
      </c>
      <c r="G2279" s="90">
        <v>2271</v>
      </c>
      <c r="H2279" s="90">
        <f t="shared" ca="1" si="71"/>
        <v>-1.5151228475427051E-2</v>
      </c>
    </row>
    <row r="2280" spans="2:8" x14ac:dyDescent="0.3">
      <c r="B2280" s="58">
        <f>'DATA HISTORICAL'!$B2925</f>
        <v>42556</v>
      </c>
      <c r="C2280" s="60">
        <f>'DATA HISTORICAL'!$C2925</f>
        <v>3375.15</v>
      </c>
      <c r="D2280" s="53">
        <f t="shared" si="70"/>
        <v>-1.0023225579794865E-2</v>
      </c>
      <c r="E2280" s="53">
        <v>2.0800007499098506E-3</v>
      </c>
      <c r="G2280" s="90">
        <v>2272</v>
      </c>
      <c r="H2280" s="90">
        <f t="shared" ca="1" si="71"/>
        <v>-3.4829598358532363E-4</v>
      </c>
    </row>
    <row r="2281" spans="2:8" x14ac:dyDescent="0.3">
      <c r="B2281" s="58">
        <f>'DATA HISTORICAL'!$B2926</f>
        <v>42555</v>
      </c>
      <c r="C2281" s="60">
        <f>'DATA HISTORICAL'!$C2926</f>
        <v>3409.15</v>
      </c>
      <c r="D2281" s="53">
        <f t="shared" si="70"/>
        <v>-4.3756700993893803E-3</v>
      </c>
      <c r="E2281" s="53">
        <v>2.0797234532494843E-3</v>
      </c>
      <c r="G2281" s="90">
        <v>2273</v>
      </c>
      <c r="H2281" s="90">
        <f t="shared" ca="1" si="71"/>
        <v>2.0651509578986833E-2</v>
      </c>
    </row>
    <row r="2282" spans="2:8" x14ac:dyDescent="0.3">
      <c r="B2282" s="58">
        <f>'DATA HISTORICAL'!$B2927</f>
        <v>42552</v>
      </c>
      <c r="C2282" s="60">
        <f>'DATA HISTORICAL'!$C2927</f>
        <v>3424.1</v>
      </c>
      <c r="D2282" s="53">
        <f t="shared" si="70"/>
        <v>3.8331600239880923E-3</v>
      </c>
      <c r="E2282" s="53">
        <v>2.0720534418570157E-3</v>
      </c>
      <c r="G2282" s="90">
        <v>2274</v>
      </c>
      <c r="H2282" s="90">
        <f t="shared" ca="1" si="71"/>
        <v>4.3894826096732148E-2</v>
      </c>
    </row>
    <row r="2283" spans="2:8" x14ac:dyDescent="0.3">
      <c r="B2283" s="58">
        <f>'DATA HISTORICAL'!$B2928</f>
        <v>42551</v>
      </c>
      <c r="C2283" s="60">
        <f>'DATA HISTORICAL'!$C2928</f>
        <v>3411</v>
      </c>
      <c r="D2283" s="53">
        <f t="shared" si="70"/>
        <v>4.6281074344680173E-3</v>
      </c>
      <c r="E2283" s="53">
        <v>2.0716356970125033E-3</v>
      </c>
      <c r="G2283" s="90">
        <v>2275</v>
      </c>
      <c r="H2283" s="90">
        <f t="shared" ca="1" si="71"/>
        <v>-1.0652270222220487E-2</v>
      </c>
    </row>
    <row r="2284" spans="2:8" x14ac:dyDescent="0.3">
      <c r="B2284" s="58">
        <f>'DATA HISTORICAL'!$B2929</f>
        <v>42550</v>
      </c>
      <c r="C2284" s="60">
        <f>'DATA HISTORICAL'!$C2929</f>
        <v>3395.25</v>
      </c>
      <c r="D2284" s="53">
        <f t="shared" si="70"/>
        <v>-1.6333020604027209E-3</v>
      </c>
      <c r="E2284" s="53">
        <v>2.0432284289288545E-3</v>
      </c>
      <c r="G2284" s="90">
        <v>2276</v>
      </c>
      <c r="H2284" s="90">
        <f t="shared" ca="1" si="71"/>
        <v>-9.8992606537985743E-3</v>
      </c>
    </row>
    <row r="2285" spans="2:8" x14ac:dyDescent="0.3">
      <c r="B2285" s="58">
        <f>'DATA HISTORICAL'!$B2930</f>
        <v>42549</v>
      </c>
      <c r="C2285" s="60">
        <f>'DATA HISTORICAL'!$C2930</f>
        <v>3400.8</v>
      </c>
      <c r="D2285" s="53">
        <f t="shared" si="70"/>
        <v>1.4124296133425803E-3</v>
      </c>
      <c r="E2285" s="53">
        <v>2.0228829028977767E-3</v>
      </c>
      <c r="G2285" s="90">
        <v>2277</v>
      </c>
      <c r="H2285" s="90">
        <f t="shared" ca="1" si="71"/>
        <v>4.791169284541915E-2</v>
      </c>
    </row>
    <row r="2286" spans="2:8" x14ac:dyDescent="0.3">
      <c r="B2286" s="58">
        <f>'DATA HISTORICAL'!$B2931</f>
        <v>42548</v>
      </c>
      <c r="C2286" s="60">
        <f>'DATA HISTORICAL'!$C2931</f>
        <v>3396</v>
      </c>
      <c r="D2286" s="53">
        <f t="shared" si="70"/>
        <v>3.172590135569376E-2</v>
      </c>
      <c r="E2286" s="53">
        <v>2.0192630881304069E-3</v>
      </c>
      <c r="G2286" s="90">
        <v>2278</v>
      </c>
      <c r="H2286" s="90">
        <f t="shared" ca="1" si="71"/>
        <v>1.6217006707021364E-4</v>
      </c>
    </row>
    <row r="2287" spans="2:8" x14ac:dyDescent="0.3">
      <c r="B2287" s="58">
        <f>'DATA HISTORICAL'!$B2932</f>
        <v>42545</v>
      </c>
      <c r="C2287" s="60">
        <f>'DATA HISTORICAL'!$C2932</f>
        <v>3289.95</v>
      </c>
      <c r="D2287" s="53">
        <f t="shared" si="70"/>
        <v>-1.4484479004690383E-2</v>
      </c>
      <c r="E2287" s="53">
        <v>1.9988901713873432E-3</v>
      </c>
      <c r="G2287" s="90">
        <v>2279</v>
      </c>
      <c r="H2287" s="90">
        <f t="shared" ca="1" si="71"/>
        <v>-1.9748023725476198E-3</v>
      </c>
    </row>
    <row r="2288" spans="2:8" x14ac:dyDescent="0.3">
      <c r="B2288" s="58">
        <f>'DATA HISTORICAL'!$B2933</f>
        <v>42544</v>
      </c>
      <c r="C2288" s="60">
        <f>'DATA HISTORICAL'!$C2933</f>
        <v>3337.95</v>
      </c>
      <c r="D2288" s="53">
        <f t="shared" si="70"/>
        <v>8.0461846457119887E-3</v>
      </c>
      <c r="E2288" s="53">
        <v>1.9737776039895063E-3</v>
      </c>
      <c r="G2288" s="90">
        <v>2280</v>
      </c>
      <c r="H2288" s="90">
        <f t="shared" ca="1" si="71"/>
        <v>2.3568390107833077E-2</v>
      </c>
    </row>
    <row r="2289" spans="2:8" x14ac:dyDescent="0.3">
      <c r="B2289" s="58">
        <f>'DATA HISTORICAL'!$B2934</f>
        <v>42543</v>
      </c>
      <c r="C2289" s="60">
        <f>'DATA HISTORICAL'!$C2934</f>
        <v>3311.2</v>
      </c>
      <c r="D2289" s="53">
        <f t="shared" si="70"/>
        <v>-1.3915771584858521E-2</v>
      </c>
      <c r="E2289" s="53">
        <v>1.966126418036924E-3</v>
      </c>
      <c r="G2289" s="90">
        <v>2281</v>
      </c>
      <c r="H2289" s="90">
        <f t="shared" ca="1" si="71"/>
        <v>9.1409242322506527E-4</v>
      </c>
    </row>
    <row r="2290" spans="2:8" x14ac:dyDescent="0.3">
      <c r="B2290" s="58">
        <f>'DATA HISTORICAL'!$B2935</f>
        <v>42542</v>
      </c>
      <c r="C2290" s="60">
        <f>'DATA HISTORICAL'!$C2935</f>
        <v>3357.6</v>
      </c>
      <c r="D2290" s="53">
        <f t="shared" si="70"/>
        <v>-3.5527712536776524E-3</v>
      </c>
      <c r="E2290" s="53">
        <v>1.9481498743535697E-3</v>
      </c>
      <c r="G2290" s="90">
        <v>2282</v>
      </c>
      <c r="H2290" s="90">
        <f t="shared" ca="1" si="71"/>
        <v>5.3914528248340723E-3</v>
      </c>
    </row>
    <row r="2291" spans="2:8" x14ac:dyDescent="0.3">
      <c r="B2291" s="58">
        <f>'DATA HISTORICAL'!$B2936</f>
        <v>42541</v>
      </c>
      <c r="C2291" s="60">
        <f>'DATA HISTORICAL'!$C2936</f>
        <v>3369.55</v>
      </c>
      <c r="D2291" s="53">
        <f t="shared" si="70"/>
        <v>1.9932920243286283E-2</v>
      </c>
      <c r="E2291" s="53">
        <v>1.9470755775161917E-3</v>
      </c>
      <c r="G2291" s="90">
        <v>2283</v>
      </c>
      <c r="H2291" s="90">
        <f t="shared" ca="1" si="71"/>
        <v>8.7867782737195248E-3</v>
      </c>
    </row>
    <row r="2292" spans="2:8" x14ac:dyDescent="0.3">
      <c r="B2292" s="58">
        <f>'DATA HISTORICAL'!$B2937</f>
        <v>42538</v>
      </c>
      <c r="C2292" s="60">
        <f>'DATA HISTORICAL'!$C2937</f>
        <v>3303.05</v>
      </c>
      <c r="D2292" s="53">
        <f t="shared" si="70"/>
        <v>6.4389962633109813E-3</v>
      </c>
      <c r="E2292" s="53">
        <v>1.9335151075320486E-3</v>
      </c>
      <c r="G2292" s="90">
        <v>2284</v>
      </c>
      <c r="H2292" s="90">
        <f t="shared" ca="1" si="71"/>
        <v>-8.834894690758887E-3</v>
      </c>
    </row>
    <row r="2293" spans="2:8" x14ac:dyDescent="0.3">
      <c r="B2293" s="58">
        <f>'DATA HISTORICAL'!$B2938</f>
        <v>42537</v>
      </c>
      <c r="C2293" s="60">
        <f>'DATA HISTORICAL'!$C2938</f>
        <v>3281.85</v>
      </c>
      <c r="D2293" s="53">
        <f t="shared" si="70"/>
        <v>-2.4649135274654118E-2</v>
      </c>
      <c r="E2293" s="53">
        <v>1.9295391727962711E-3</v>
      </c>
      <c r="G2293" s="90">
        <v>2285</v>
      </c>
      <c r="H2293" s="90">
        <f t="shared" ca="1" si="71"/>
        <v>6.3461196342673876E-3</v>
      </c>
    </row>
    <row r="2294" spans="2:8" x14ac:dyDescent="0.3">
      <c r="B2294" s="58">
        <f>'DATA HISTORICAL'!$B2939</f>
        <v>42536</v>
      </c>
      <c r="C2294" s="60">
        <f>'DATA HISTORICAL'!$C2939</f>
        <v>3363.75</v>
      </c>
      <c r="D2294" s="53">
        <f t="shared" si="70"/>
        <v>1.2519514668943242E-2</v>
      </c>
      <c r="E2294" s="53">
        <v>1.9232495417455659E-3</v>
      </c>
      <c r="G2294" s="90">
        <v>2286</v>
      </c>
      <c r="H2294" s="90">
        <f t="shared" ca="1" si="71"/>
        <v>3.6727058943744333E-2</v>
      </c>
    </row>
    <row r="2295" spans="2:8" x14ac:dyDescent="0.3">
      <c r="B2295" s="58">
        <f>'DATA HISTORICAL'!$B2940</f>
        <v>42535</v>
      </c>
      <c r="C2295" s="60">
        <f>'DATA HISTORICAL'!$C2940</f>
        <v>3321.9</v>
      </c>
      <c r="D2295" s="53">
        <f t="shared" si="70"/>
        <v>-2.2620685350734318E-2</v>
      </c>
      <c r="E2295" s="53">
        <v>1.9231249300934775E-3</v>
      </c>
      <c r="G2295" s="90">
        <v>2287</v>
      </c>
      <c r="H2295" s="90">
        <f t="shared" ca="1" si="71"/>
        <v>-1.9022872459134525E-2</v>
      </c>
    </row>
    <row r="2296" spans="2:8" x14ac:dyDescent="0.3">
      <c r="B2296" s="58">
        <f>'DATA HISTORICAL'!$B2941</f>
        <v>42534</v>
      </c>
      <c r="C2296" s="60">
        <f>'DATA HISTORICAL'!$C2941</f>
        <v>3397.9</v>
      </c>
      <c r="D2296" s="53">
        <f t="shared" si="70"/>
        <v>3.907090063615953E-3</v>
      </c>
      <c r="E2296" s="53">
        <v>1.9165001738197173E-3</v>
      </c>
      <c r="G2296" s="90">
        <v>2288</v>
      </c>
      <c r="H2296" s="90">
        <f t="shared" ca="1" si="71"/>
        <v>2.3844515803956093E-2</v>
      </c>
    </row>
    <row r="2297" spans="2:8" x14ac:dyDescent="0.3">
      <c r="B2297" s="58">
        <f>'DATA HISTORICAL'!$B2942</f>
        <v>42531</v>
      </c>
      <c r="C2297" s="60">
        <f>'DATA HISTORICAL'!$C2942</f>
        <v>3384.65</v>
      </c>
      <c r="D2297" s="53">
        <f t="shared" si="70"/>
        <v>1.4635555178466651E-3</v>
      </c>
      <c r="E2297" s="53">
        <v>1.8991215222314626E-3</v>
      </c>
      <c r="G2297" s="90">
        <v>2289</v>
      </c>
      <c r="H2297" s="90">
        <f t="shared" ca="1" si="71"/>
        <v>4.1120634063749294E-2</v>
      </c>
    </row>
    <row r="2298" spans="2:8" x14ac:dyDescent="0.3">
      <c r="B2298" s="58">
        <f>'DATA HISTORICAL'!$B2943</f>
        <v>42530</v>
      </c>
      <c r="C2298" s="60">
        <f>'DATA HISTORICAL'!$C2943</f>
        <v>3379.7</v>
      </c>
      <c r="D2298" s="53">
        <f t="shared" si="70"/>
        <v>2.4736905393691676E-3</v>
      </c>
      <c r="E2298" s="53">
        <v>1.8941768676964809E-3</v>
      </c>
      <c r="G2298" s="90">
        <v>2290</v>
      </c>
      <c r="H2298" s="90">
        <f t="shared" ca="1" si="71"/>
        <v>4.0839639018317143E-2</v>
      </c>
    </row>
    <row r="2299" spans="2:8" x14ac:dyDescent="0.3">
      <c r="B2299" s="58">
        <f>'DATA HISTORICAL'!$B2944</f>
        <v>42529</v>
      </c>
      <c r="C2299" s="60">
        <f>'DATA HISTORICAL'!$C2944</f>
        <v>3371.35</v>
      </c>
      <c r="D2299" s="53">
        <f t="shared" si="70"/>
        <v>1.0855570868487364E-2</v>
      </c>
      <c r="E2299" s="53">
        <v>1.8864444182835113E-3</v>
      </c>
      <c r="G2299" s="90">
        <v>2291</v>
      </c>
      <c r="H2299" s="90">
        <f t="shared" ca="1" si="71"/>
        <v>-1.4804196028832289E-2</v>
      </c>
    </row>
    <row r="2300" spans="2:8" x14ac:dyDescent="0.3">
      <c r="B2300" s="58">
        <f>'DATA HISTORICAL'!$B2945</f>
        <v>42528</v>
      </c>
      <c r="C2300" s="60">
        <f>'DATA HISTORICAL'!$C2945</f>
        <v>3334.95</v>
      </c>
      <c r="D2300" s="53">
        <f t="shared" si="70"/>
        <v>3.2811812399932125E-2</v>
      </c>
      <c r="E2300" s="53">
        <v>1.8859262341609977E-3</v>
      </c>
      <c r="G2300" s="90">
        <v>2292</v>
      </c>
      <c r="H2300" s="90">
        <f t="shared" ca="1" si="71"/>
        <v>5.3078279563211926E-3</v>
      </c>
    </row>
    <row r="2301" spans="2:8" x14ac:dyDescent="0.3">
      <c r="B2301" s="58">
        <f>'DATA HISTORICAL'!$B2946</f>
        <v>42527</v>
      </c>
      <c r="C2301" s="60">
        <f>'DATA HISTORICAL'!$C2946</f>
        <v>3227.3</v>
      </c>
      <c r="D2301" s="53">
        <f t="shared" si="70"/>
        <v>1.1860094915255571E-2</v>
      </c>
      <c r="E2301" s="53">
        <v>1.878455292377533E-3</v>
      </c>
      <c r="G2301" s="90">
        <v>2293</v>
      </c>
      <c r="H2301" s="90">
        <f t="shared" ca="1" si="71"/>
        <v>3.7123300686773435E-2</v>
      </c>
    </row>
    <row r="2302" spans="2:8" x14ac:dyDescent="0.3">
      <c r="B2302" s="58">
        <f>'DATA HISTORICAL'!$B2947</f>
        <v>42524</v>
      </c>
      <c r="C2302" s="60">
        <f>'DATA HISTORICAL'!$C2947</f>
        <v>3189.25</v>
      </c>
      <c r="D2302" s="53">
        <f t="shared" si="70"/>
        <v>-1.3609253675532949E-2</v>
      </c>
      <c r="E2302" s="53">
        <v>1.8749648842027937E-3</v>
      </c>
      <c r="G2302" s="90">
        <v>2294</v>
      </c>
      <c r="H2302" s="90">
        <f t="shared" ca="1" si="71"/>
        <v>-1.5365493249506312E-2</v>
      </c>
    </row>
    <row r="2303" spans="2:8" x14ac:dyDescent="0.3">
      <c r="B2303" s="58">
        <f>'DATA HISTORICAL'!$B2948</f>
        <v>42523</v>
      </c>
      <c r="C2303" s="60">
        <f>'DATA HISTORICAL'!$C2948</f>
        <v>3232.95</v>
      </c>
      <c r="D2303" s="53">
        <f t="shared" si="70"/>
        <v>1.4548383671713404E-3</v>
      </c>
      <c r="E2303" s="53">
        <v>1.8472687995070214E-3</v>
      </c>
      <c r="G2303" s="90">
        <v>2295</v>
      </c>
      <c r="H2303" s="90">
        <f t="shared" ca="1" si="71"/>
        <v>-2.2467415778623491E-3</v>
      </c>
    </row>
    <row r="2304" spans="2:8" x14ac:dyDescent="0.3">
      <c r="B2304" s="58">
        <f>'DATA HISTORICAL'!$B2949</f>
        <v>42522</v>
      </c>
      <c r="C2304" s="60">
        <f>'DATA HISTORICAL'!$C2949</f>
        <v>3228.25</v>
      </c>
      <c r="D2304" s="53">
        <f t="shared" si="70"/>
        <v>4.8025159909574568E-4</v>
      </c>
      <c r="E2304" s="53">
        <v>1.8349960570025155E-3</v>
      </c>
      <c r="G2304" s="90">
        <v>2296</v>
      </c>
      <c r="H2304" s="90">
        <f t="shared" ca="1" si="71"/>
        <v>1.3252765038868049E-3</v>
      </c>
    </row>
    <row r="2305" spans="2:8" x14ac:dyDescent="0.3">
      <c r="B2305" s="58">
        <f>'DATA HISTORICAL'!$B2950</f>
        <v>42521</v>
      </c>
      <c r="C2305" s="60">
        <f>'DATA HISTORICAL'!$C2950</f>
        <v>3226.7</v>
      </c>
      <c r="D2305" s="53">
        <f t="shared" si="70"/>
        <v>4.5038824988685557E-3</v>
      </c>
      <c r="E2305" s="53">
        <v>1.8331810816609117E-3</v>
      </c>
      <c r="G2305" s="90">
        <v>2297</v>
      </c>
      <c r="H2305" s="90">
        <f t="shared" ca="1" si="71"/>
        <v>2.2488558205984169E-2</v>
      </c>
    </row>
    <row r="2306" spans="2:8" x14ac:dyDescent="0.3">
      <c r="B2306" s="58">
        <f>'DATA HISTORICAL'!$B2951</f>
        <v>42520</v>
      </c>
      <c r="C2306" s="60">
        <f>'DATA HISTORICAL'!$C2951</f>
        <v>3212.2</v>
      </c>
      <c r="D2306" s="53">
        <f t="shared" si="70"/>
        <v>-1.1175721919450798E-2</v>
      </c>
      <c r="E2306" s="53">
        <v>1.8288093699240268E-3</v>
      </c>
      <c r="G2306" s="90">
        <v>2298</v>
      </c>
      <c r="H2306" s="90">
        <f t="shared" ca="1" si="71"/>
        <v>7.3832198973523269E-3</v>
      </c>
    </row>
    <row r="2307" spans="2:8" x14ac:dyDescent="0.3">
      <c r="B2307" s="58">
        <f>'DATA HISTORICAL'!$B2952</f>
        <v>42517</v>
      </c>
      <c r="C2307" s="60">
        <f>'DATA HISTORICAL'!$C2952</f>
        <v>3248.3</v>
      </c>
      <c r="D2307" s="53">
        <f t="shared" si="70"/>
        <v>1.0724419749431044E-2</v>
      </c>
      <c r="E2307" s="53">
        <v>1.8285650863138169E-3</v>
      </c>
      <c r="G2307" s="90">
        <v>2299</v>
      </c>
      <c r="H2307" s="90">
        <f t="shared" ca="1" si="71"/>
        <v>6.936412371198933E-3</v>
      </c>
    </row>
    <row r="2308" spans="2:8" x14ac:dyDescent="0.3">
      <c r="B2308" s="58">
        <f>'DATA HISTORICAL'!$B2953</f>
        <v>42516</v>
      </c>
      <c r="C2308" s="60">
        <f>'DATA HISTORICAL'!$C2953</f>
        <v>3213.65</v>
      </c>
      <c r="D2308" s="53">
        <f t="shared" si="70"/>
        <v>1.3077799189179526E-3</v>
      </c>
      <c r="E2308" s="53">
        <v>1.8256580168526551E-3</v>
      </c>
      <c r="G2308" s="90">
        <v>2300</v>
      </c>
      <c r="H2308" s="90">
        <f t="shared" ca="1" si="71"/>
        <v>3.7472230455735068E-3</v>
      </c>
    </row>
    <row r="2309" spans="2:8" x14ac:dyDescent="0.3">
      <c r="B2309" s="58">
        <f>'DATA HISTORICAL'!$B2954</f>
        <v>42515</v>
      </c>
      <c r="C2309" s="60">
        <f>'DATA HISTORICAL'!$C2954</f>
        <v>3209.45</v>
      </c>
      <c r="D2309" s="53">
        <f t="shared" si="70"/>
        <v>1.0965193905326307E-2</v>
      </c>
      <c r="E2309" s="53">
        <v>1.8178292051879638E-3</v>
      </c>
      <c r="G2309" s="90">
        <v>2301</v>
      </c>
      <c r="H2309" s="90">
        <f t="shared" ca="1" si="71"/>
        <v>-2.6893062632424827E-2</v>
      </c>
    </row>
    <row r="2310" spans="2:8" x14ac:dyDescent="0.3">
      <c r="B2310" s="58">
        <f>'DATA HISTORICAL'!$B2955</f>
        <v>42514</v>
      </c>
      <c r="C2310" s="60">
        <f>'DATA HISTORICAL'!$C2955</f>
        <v>3174.45</v>
      </c>
      <c r="D2310" s="53">
        <f t="shared" si="70"/>
        <v>1.6532452108166961E-2</v>
      </c>
      <c r="E2310" s="53">
        <v>1.8061781066227912E-3</v>
      </c>
      <c r="G2310" s="90">
        <v>2302</v>
      </c>
      <c r="H2310" s="90">
        <f t="shared" ca="1" si="71"/>
        <v>-1.2311858476289048E-2</v>
      </c>
    </row>
    <row r="2311" spans="2:8" x14ac:dyDescent="0.3">
      <c r="B2311" s="58">
        <f>'DATA HISTORICAL'!$B2956</f>
        <v>42513</v>
      </c>
      <c r="C2311" s="60">
        <f>'DATA HISTORICAL'!$C2956</f>
        <v>3122.4</v>
      </c>
      <c r="D2311" s="53">
        <f t="shared" si="70"/>
        <v>-3.7082070495608479E-3</v>
      </c>
      <c r="E2311" s="53">
        <v>1.7787385282983792E-3</v>
      </c>
      <c r="G2311" s="90">
        <v>2303</v>
      </c>
      <c r="H2311" s="90">
        <f t="shared" ca="1" si="71"/>
        <v>-9.8218686278868893E-3</v>
      </c>
    </row>
    <row r="2312" spans="2:8" x14ac:dyDescent="0.3">
      <c r="B2312" s="58">
        <f>'DATA HISTORICAL'!$B2957</f>
        <v>42510</v>
      </c>
      <c r="C2312" s="60">
        <f>'DATA HISTORICAL'!$C2957</f>
        <v>3134</v>
      </c>
      <c r="D2312" s="53">
        <f t="shared" si="70"/>
        <v>-1.7554020766043881E-2</v>
      </c>
      <c r="E2312" s="53">
        <v>1.7758082816418071E-3</v>
      </c>
      <c r="G2312" s="90">
        <v>2304</v>
      </c>
      <c r="H2312" s="90">
        <f t="shared" ca="1" si="71"/>
        <v>1.3378527743949384E-3</v>
      </c>
    </row>
    <row r="2313" spans="2:8" x14ac:dyDescent="0.3">
      <c r="B2313" s="58">
        <f>'DATA HISTORICAL'!$B2958</f>
        <v>42509</v>
      </c>
      <c r="C2313" s="60">
        <f>'DATA HISTORICAL'!$C2958</f>
        <v>3189.5</v>
      </c>
      <c r="D2313" s="53">
        <f t="shared" ref="D2313:D2376" si="72">LN(C2313/C2314)</f>
        <v>-1.0634582768346196E-2</v>
      </c>
      <c r="E2313" s="53">
        <v>1.7554348274226093E-3</v>
      </c>
      <c r="G2313" s="90">
        <v>2305</v>
      </c>
      <c r="H2313" s="90">
        <f t="shared" ref="H2313:H2376" ca="1" si="73">_xlfn.NORM.INV(RAND(),N$10,N$11)</f>
        <v>2.0082705279248408E-2</v>
      </c>
    </row>
    <row r="2314" spans="2:8" x14ac:dyDescent="0.3">
      <c r="B2314" s="58">
        <f>'DATA HISTORICAL'!$B2959</f>
        <v>42508</v>
      </c>
      <c r="C2314" s="60">
        <f>'DATA HISTORICAL'!$C2959</f>
        <v>3223.6</v>
      </c>
      <c r="D2314" s="53">
        <f t="shared" si="72"/>
        <v>-9.0020449332291232E-3</v>
      </c>
      <c r="E2314" s="53">
        <v>1.7386947454625064E-3</v>
      </c>
      <c r="G2314" s="90">
        <v>2306</v>
      </c>
      <c r="H2314" s="90">
        <f t="shared" ca="1" si="73"/>
        <v>8.4411667757915525E-3</v>
      </c>
    </row>
    <row r="2315" spans="2:8" x14ac:dyDescent="0.3">
      <c r="B2315" s="58">
        <f>'DATA HISTORICAL'!$B2960</f>
        <v>42507</v>
      </c>
      <c r="C2315" s="60">
        <f>'DATA HISTORICAL'!$C2960</f>
        <v>3252.75</v>
      </c>
      <c r="D2315" s="53">
        <f t="shared" si="72"/>
        <v>2.5233070655179615E-2</v>
      </c>
      <c r="E2315" s="53">
        <v>1.7379871912025081E-3</v>
      </c>
      <c r="G2315" s="90">
        <v>2307</v>
      </c>
      <c r="H2315" s="90">
        <f t="shared" ca="1" si="73"/>
        <v>1.102399524135432E-2</v>
      </c>
    </row>
    <row r="2316" spans="2:8" x14ac:dyDescent="0.3">
      <c r="B2316" s="58">
        <f>'DATA HISTORICAL'!$B2961</f>
        <v>42506</v>
      </c>
      <c r="C2316" s="60">
        <f>'DATA HISTORICAL'!$C2961</f>
        <v>3171.7</v>
      </c>
      <c r="D2316" s="53">
        <f t="shared" si="72"/>
        <v>6.3415965252379613E-3</v>
      </c>
      <c r="E2316" s="53">
        <v>1.7335246498939006E-3</v>
      </c>
      <c r="G2316" s="90">
        <v>2308</v>
      </c>
      <c r="H2316" s="90">
        <f t="shared" ca="1" si="73"/>
        <v>1.923515538958042E-2</v>
      </c>
    </row>
    <row r="2317" spans="2:8" x14ac:dyDescent="0.3">
      <c r="B2317" s="58">
        <f>'DATA HISTORICAL'!$B2962</f>
        <v>42503</v>
      </c>
      <c r="C2317" s="60">
        <f>'DATA HISTORICAL'!$C2962</f>
        <v>3151.65</v>
      </c>
      <c r="D2317" s="53">
        <f t="shared" si="72"/>
        <v>-2.3812701771183661E-2</v>
      </c>
      <c r="E2317" s="53">
        <v>1.7214464397603002E-3</v>
      </c>
      <c r="G2317" s="90">
        <v>2309</v>
      </c>
      <c r="H2317" s="90">
        <f t="shared" ca="1" si="73"/>
        <v>-2.4832710484610651E-2</v>
      </c>
    </row>
    <row r="2318" spans="2:8" x14ac:dyDescent="0.3">
      <c r="B2318" s="58">
        <f>'DATA HISTORICAL'!$B2963</f>
        <v>42502</v>
      </c>
      <c r="C2318" s="60">
        <f>'DATA HISTORICAL'!$C2963</f>
        <v>3227.6</v>
      </c>
      <c r="D2318" s="53">
        <f t="shared" si="72"/>
        <v>8.8693067447321045E-3</v>
      </c>
      <c r="E2318" s="53">
        <v>1.7154961721823658E-3</v>
      </c>
      <c r="G2318" s="90">
        <v>2310</v>
      </c>
      <c r="H2318" s="90">
        <f t="shared" ca="1" si="73"/>
        <v>1.6555755488103861E-2</v>
      </c>
    </row>
    <row r="2319" spans="2:8" x14ac:dyDescent="0.3">
      <c r="B2319" s="58">
        <f>'DATA HISTORICAL'!$B2964</f>
        <v>42501</v>
      </c>
      <c r="C2319" s="60">
        <f>'DATA HISTORICAL'!$C2964</f>
        <v>3199.1</v>
      </c>
      <c r="D2319" s="53">
        <f t="shared" si="72"/>
        <v>1.0479525898901547E-2</v>
      </c>
      <c r="E2319" s="53">
        <v>1.6885812257924247E-3</v>
      </c>
      <c r="G2319" s="90">
        <v>2311</v>
      </c>
      <c r="H2319" s="90">
        <f t="shared" ca="1" si="73"/>
        <v>7.0960736218371005E-3</v>
      </c>
    </row>
    <row r="2320" spans="2:8" x14ac:dyDescent="0.3">
      <c r="B2320" s="58">
        <f>'DATA HISTORICAL'!$B2965</f>
        <v>42500</v>
      </c>
      <c r="C2320" s="60">
        <f>'DATA HISTORICAL'!$C2965</f>
        <v>3165.75</v>
      </c>
      <c r="D2320" s="53">
        <f t="shared" si="72"/>
        <v>0</v>
      </c>
      <c r="E2320" s="53">
        <v>1.6779634596597516E-3</v>
      </c>
      <c r="G2320" s="90">
        <v>2312</v>
      </c>
      <c r="H2320" s="90">
        <f t="shared" ca="1" si="73"/>
        <v>1.4512279797257104E-2</v>
      </c>
    </row>
    <row r="2321" spans="2:8" x14ac:dyDescent="0.3">
      <c r="B2321" s="58">
        <f>'DATA HISTORICAL'!$B2966</f>
        <v>42499</v>
      </c>
      <c r="C2321" s="60">
        <f>'DATA HISTORICAL'!$C2966</f>
        <v>3165.75</v>
      </c>
      <c r="D2321" s="53">
        <f t="shared" si="72"/>
        <v>2.1020141442298884E-2</v>
      </c>
      <c r="E2321" s="53">
        <v>1.6723782816024154E-3</v>
      </c>
      <c r="G2321" s="90">
        <v>2313</v>
      </c>
      <c r="H2321" s="90">
        <f t="shared" ca="1" si="73"/>
        <v>3.0926337415564359E-2</v>
      </c>
    </row>
    <row r="2322" spans="2:8" x14ac:dyDescent="0.3">
      <c r="B2322" s="58">
        <f>'DATA HISTORICAL'!$B2967</f>
        <v>42496</v>
      </c>
      <c r="C2322" s="60">
        <f>'DATA HISTORICAL'!$C2967</f>
        <v>3099.9</v>
      </c>
      <c r="D2322" s="53">
        <f t="shared" si="72"/>
        <v>-6.1425847193842861E-3</v>
      </c>
      <c r="E2322" s="53">
        <v>1.6549445233542252E-3</v>
      </c>
      <c r="G2322" s="90">
        <v>2314</v>
      </c>
      <c r="H2322" s="90">
        <f t="shared" ca="1" si="73"/>
        <v>9.4701649970546399E-3</v>
      </c>
    </row>
    <row r="2323" spans="2:8" x14ac:dyDescent="0.3">
      <c r="B2323" s="58">
        <f>'DATA HISTORICAL'!$B2968</f>
        <v>42495</v>
      </c>
      <c r="C2323" s="60">
        <f>'DATA HISTORICAL'!$C2968</f>
        <v>3119</v>
      </c>
      <c r="D2323" s="53">
        <f t="shared" si="72"/>
        <v>-2.0515899691200604E-2</v>
      </c>
      <c r="E2323" s="53">
        <v>1.6430335517485812E-3</v>
      </c>
      <c r="G2323" s="90">
        <v>2315</v>
      </c>
      <c r="H2323" s="90">
        <f t="shared" ca="1" si="73"/>
        <v>1.8998345904476785E-2</v>
      </c>
    </row>
    <row r="2324" spans="2:8" x14ac:dyDescent="0.3">
      <c r="B2324" s="58">
        <f>'DATA HISTORICAL'!$B2969</f>
        <v>42494</v>
      </c>
      <c r="C2324" s="60">
        <f>'DATA HISTORICAL'!$C2969</f>
        <v>3183.65</v>
      </c>
      <c r="D2324" s="53">
        <f t="shared" si="72"/>
        <v>-9.7990203727158585E-3</v>
      </c>
      <c r="E2324" s="53">
        <v>1.6430000175280872E-3</v>
      </c>
      <c r="G2324" s="90">
        <v>2316</v>
      </c>
      <c r="H2324" s="90">
        <f t="shared" ca="1" si="73"/>
        <v>-4.6446671962735728E-3</v>
      </c>
    </row>
    <row r="2325" spans="2:8" x14ac:dyDescent="0.3">
      <c r="B2325" s="58">
        <f>'DATA HISTORICAL'!$B2970</f>
        <v>42493</v>
      </c>
      <c r="C2325" s="60">
        <f>'DATA HISTORICAL'!$C2970</f>
        <v>3215</v>
      </c>
      <c r="D2325" s="53">
        <f t="shared" si="72"/>
        <v>1.2173328654276096E-2</v>
      </c>
      <c r="E2325" s="53">
        <v>1.6027249749544492E-3</v>
      </c>
      <c r="G2325" s="90">
        <v>2317</v>
      </c>
      <c r="H2325" s="90">
        <f t="shared" ca="1" si="73"/>
        <v>-3.3583920688444985E-2</v>
      </c>
    </row>
    <row r="2326" spans="2:8" x14ac:dyDescent="0.3">
      <c r="B2326" s="58">
        <f>'DATA HISTORICAL'!$B2971</f>
        <v>42492</v>
      </c>
      <c r="C2326" s="60">
        <f>'DATA HISTORICAL'!$C2971</f>
        <v>3176.1</v>
      </c>
      <c r="D2326" s="53">
        <f t="shared" si="72"/>
        <v>4.6232459213969316E-3</v>
      </c>
      <c r="E2326" s="53">
        <v>1.5965556500989685E-3</v>
      </c>
      <c r="G2326" s="90">
        <v>2318</v>
      </c>
      <c r="H2326" s="90">
        <f t="shared" ca="1" si="73"/>
        <v>1.6254929377486831E-2</v>
      </c>
    </row>
    <row r="2327" spans="2:8" x14ac:dyDescent="0.3">
      <c r="B2327" s="58">
        <f>'DATA HISTORICAL'!$B2972</f>
        <v>42489</v>
      </c>
      <c r="C2327" s="60">
        <f>'DATA HISTORICAL'!$C2972</f>
        <v>3161.45</v>
      </c>
      <c r="D2327" s="53">
        <f t="shared" si="72"/>
        <v>-2.4641837227891575E-3</v>
      </c>
      <c r="E2327" s="53">
        <v>1.5945636363339296E-3</v>
      </c>
      <c r="G2327" s="90">
        <v>2319</v>
      </c>
      <c r="H2327" s="90">
        <f t="shared" ca="1" si="73"/>
        <v>2.7506198190435593E-2</v>
      </c>
    </row>
    <row r="2328" spans="2:8" x14ac:dyDescent="0.3">
      <c r="B2328" s="58">
        <f>'DATA HISTORICAL'!$B2973</f>
        <v>42488</v>
      </c>
      <c r="C2328" s="60">
        <f>'DATA HISTORICAL'!$C2973</f>
        <v>3169.25</v>
      </c>
      <c r="D2328" s="53">
        <f t="shared" si="72"/>
        <v>-7.0900541462499593E-3</v>
      </c>
      <c r="E2328" s="53">
        <v>1.582696188990512E-3</v>
      </c>
      <c r="G2328" s="90">
        <v>2320</v>
      </c>
      <c r="H2328" s="90">
        <f t="shared" ca="1" si="73"/>
        <v>-5.0246140045806962E-3</v>
      </c>
    </row>
    <row r="2329" spans="2:8" x14ac:dyDescent="0.3">
      <c r="B2329" s="58">
        <f>'DATA HISTORICAL'!$B2974</f>
        <v>42487</v>
      </c>
      <c r="C2329" s="60">
        <f>'DATA HISTORICAL'!$C2974</f>
        <v>3191.8</v>
      </c>
      <c r="D2329" s="53">
        <f t="shared" si="72"/>
        <v>-2.2996282694924094E-2</v>
      </c>
      <c r="E2329" s="53">
        <v>1.5772609273519698E-3</v>
      </c>
      <c r="G2329" s="90">
        <v>2321</v>
      </c>
      <c r="H2329" s="90">
        <f t="shared" ca="1" si="73"/>
        <v>9.0047114652123325E-3</v>
      </c>
    </row>
    <row r="2330" spans="2:8" x14ac:dyDescent="0.3">
      <c r="B2330" s="58">
        <f>'DATA HISTORICAL'!$B2975</f>
        <v>42486</v>
      </c>
      <c r="C2330" s="60">
        <f>'DATA HISTORICAL'!$C2975</f>
        <v>3266.05</v>
      </c>
      <c r="D2330" s="53">
        <f t="shared" si="72"/>
        <v>-3.1029105105206665E-3</v>
      </c>
      <c r="E2330" s="53">
        <v>1.5732437737284318E-3</v>
      </c>
      <c r="G2330" s="90">
        <v>2322</v>
      </c>
      <c r="H2330" s="90">
        <f t="shared" ca="1" si="73"/>
        <v>1.5461463021936381E-3</v>
      </c>
    </row>
    <row r="2331" spans="2:8" x14ac:dyDescent="0.3">
      <c r="B2331" s="58">
        <f>'DATA HISTORICAL'!$B2976</f>
        <v>42485</v>
      </c>
      <c r="C2331" s="60">
        <f>'DATA HISTORICAL'!$C2976</f>
        <v>3276.2</v>
      </c>
      <c r="D2331" s="53">
        <f t="shared" si="72"/>
        <v>1.5578944088371323E-3</v>
      </c>
      <c r="E2331" s="53">
        <v>1.5713533489357329E-3</v>
      </c>
      <c r="G2331" s="90">
        <v>2323</v>
      </c>
      <c r="H2331" s="90">
        <f t="shared" ca="1" si="73"/>
        <v>2.5225359141756505E-2</v>
      </c>
    </row>
    <row r="2332" spans="2:8" x14ac:dyDescent="0.3">
      <c r="B2332" s="58">
        <f>'DATA HISTORICAL'!$B2977</f>
        <v>42482</v>
      </c>
      <c r="C2332" s="60">
        <f>'DATA HISTORICAL'!$C2977</f>
        <v>3271.1</v>
      </c>
      <c r="D2332" s="53">
        <f t="shared" si="72"/>
        <v>2.1728826776961836E-3</v>
      </c>
      <c r="E2332" s="53">
        <v>1.5699150475252752E-3</v>
      </c>
      <c r="G2332" s="90">
        <v>2324</v>
      </c>
      <c r="H2332" s="90">
        <f t="shared" ca="1" si="73"/>
        <v>3.3210485028657435E-2</v>
      </c>
    </row>
    <row r="2333" spans="2:8" x14ac:dyDescent="0.3">
      <c r="B2333" s="58">
        <f>'DATA HISTORICAL'!$B2978</f>
        <v>42481</v>
      </c>
      <c r="C2333" s="60">
        <f>'DATA HISTORICAL'!$C2978</f>
        <v>3264</v>
      </c>
      <c r="D2333" s="53">
        <f t="shared" si="72"/>
        <v>-3.0935044011451862E-2</v>
      </c>
      <c r="E2333" s="53">
        <v>1.5609186314444632E-3</v>
      </c>
      <c r="G2333" s="90">
        <v>2325</v>
      </c>
      <c r="H2333" s="90">
        <f t="shared" ca="1" si="73"/>
        <v>1.851420390991523E-2</v>
      </c>
    </row>
    <row r="2334" spans="2:8" x14ac:dyDescent="0.3">
      <c r="B2334" s="58">
        <f>'DATA HISTORICAL'!$B2979</f>
        <v>42480</v>
      </c>
      <c r="C2334" s="60">
        <f>'DATA HISTORICAL'!$C2979</f>
        <v>3366.55</v>
      </c>
      <c r="D2334" s="53">
        <f t="shared" si="72"/>
        <v>-1.1547336011446247E-2</v>
      </c>
      <c r="E2334" s="53">
        <v>1.558342592010526E-3</v>
      </c>
      <c r="G2334" s="90">
        <v>2326</v>
      </c>
      <c r="H2334" s="90">
        <f t="shared" ca="1" si="73"/>
        <v>-7.3567083205119269E-3</v>
      </c>
    </row>
    <row r="2335" spans="2:8" x14ac:dyDescent="0.3">
      <c r="B2335" s="58">
        <f>'DATA HISTORICAL'!$B2980</f>
        <v>42478</v>
      </c>
      <c r="C2335" s="60">
        <f>'DATA HISTORICAL'!$C2980</f>
        <v>3405.65</v>
      </c>
      <c r="D2335" s="53">
        <f t="shared" si="72"/>
        <v>3.9514973406571285E-2</v>
      </c>
      <c r="E2335" s="53">
        <v>1.5488270733453632E-3</v>
      </c>
      <c r="G2335" s="90">
        <v>2327</v>
      </c>
      <c r="H2335" s="90">
        <f t="shared" ca="1" si="73"/>
        <v>7.5679203928064372E-3</v>
      </c>
    </row>
    <row r="2336" spans="2:8" x14ac:dyDescent="0.3">
      <c r="B2336" s="58">
        <f>'DATA HISTORICAL'!$B2981</f>
        <v>42473</v>
      </c>
      <c r="C2336" s="60">
        <f>'DATA HISTORICAL'!$C2981</f>
        <v>3273.7</v>
      </c>
      <c r="D2336" s="53">
        <f t="shared" si="72"/>
        <v>3.3325547852023095E-2</v>
      </c>
      <c r="E2336" s="53">
        <v>1.5480755984886058E-3</v>
      </c>
      <c r="G2336" s="90">
        <v>2328</v>
      </c>
      <c r="H2336" s="90">
        <f t="shared" ca="1" si="73"/>
        <v>1.4304426496598258E-2</v>
      </c>
    </row>
    <row r="2337" spans="2:8" x14ac:dyDescent="0.3">
      <c r="B2337" s="58">
        <f>'DATA HISTORICAL'!$B2982</f>
        <v>42472</v>
      </c>
      <c r="C2337" s="60">
        <f>'DATA HISTORICAL'!$C2982</f>
        <v>3166.4</v>
      </c>
      <c r="D2337" s="53">
        <f t="shared" si="72"/>
        <v>4.4946741068607405E-3</v>
      </c>
      <c r="E2337" s="53">
        <v>1.5464584893937565E-3</v>
      </c>
      <c r="G2337" s="90">
        <v>2329</v>
      </c>
      <c r="H2337" s="90">
        <f t="shared" ca="1" si="73"/>
        <v>1.2718552453436468E-2</v>
      </c>
    </row>
    <row r="2338" spans="2:8" x14ac:dyDescent="0.3">
      <c r="B2338" s="58">
        <f>'DATA HISTORICAL'!$B2983</f>
        <v>42471</v>
      </c>
      <c r="C2338" s="60">
        <f>'DATA HISTORICAL'!$C2983</f>
        <v>3152.2</v>
      </c>
      <c r="D2338" s="53">
        <f t="shared" si="72"/>
        <v>-2.1074155524563941E-3</v>
      </c>
      <c r="E2338" s="53">
        <v>1.5430778886954914E-3</v>
      </c>
      <c r="G2338" s="90">
        <v>2330</v>
      </c>
      <c r="H2338" s="90">
        <f t="shared" ca="1" si="73"/>
        <v>4.558215815976375E-3</v>
      </c>
    </row>
    <row r="2339" spans="2:8" x14ac:dyDescent="0.3">
      <c r="B2339" s="58">
        <f>'DATA HISTORICAL'!$B2984</f>
        <v>42468</v>
      </c>
      <c r="C2339" s="60">
        <f>'DATA HISTORICAL'!$C2984</f>
        <v>3158.85</v>
      </c>
      <c r="D2339" s="53">
        <f t="shared" si="72"/>
        <v>6.7976692358212038E-3</v>
      </c>
      <c r="E2339" s="53">
        <v>1.5294305853496611E-3</v>
      </c>
      <c r="G2339" s="90">
        <v>2331</v>
      </c>
      <c r="H2339" s="90">
        <f t="shared" ca="1" si="73"/>
        <v>1.3979593580899584E-2</v>
      </c>
    </row>
    <row r="2340" spans="2:8" x14ac:dyDescent="0.3">
      <c r="B2340" s="58">
        <f>'DATA HISTORICAL'!$B2985</f>
        <v>42467</v>
      </c>
      <c r="C2340" s="60">
        <f>'DATA HISTORICAL'!$C2985</f>
        <v>3137.45</v>
      </c>
      <c r="D2340" s="53">
        <f t="shared" si="72"/>
        <v>-1.6171580915189165E-2</v>
      </c>
      <c r="E2340" s="53">
        <v>1.5225609393688527E-3</v>
      </c>
      <c r="G2340" s="90">
        <v>2332</v>
      </c>
      <c r="H2340" s="90">
        <f t="shared" ca="1" si="73"/>
        <v>7.0103669386026128E-4</v>
      </c>
    </row>
    <row r="2341" spans="2:8" x14ac:dyDescent="0.3">
      <c r="B2341" s="58">
        <f>'DATA HISTORICAL'!$B2986</f>
        <v>42466</v>
      </c>
      <c r="C2341" s="60">
        <f>'DATA HISTORICAL'!$C2986</f>
        <v>3188.6</v>
      </c>
      <c r="D2341" s="53">
        <f t="shared" si="72"/>
        <v>2.8050813565908488E-2</v>
      </c>
      <c r="E2341" s="53">
        <v>1.5185154046973629E-3</v>
      </c>
      <c r="G2341" s="90">
        <v>2333</v>
      </c>
      <c r="H2341" s="90">
        <f t="shared" ca="1" si="73"/>
        <v>-1.2207128385196338E-2</v>
      </c>
    </row>
    <row r="2342" spans="2:8" x14ac:dyDescent="0.3">
      <c r="B2342" s="58">
        <f>'DATA HISTORICAL'!$B2987</f>
        <v>42465</v>
      </c>
      <c r="C2342" s="60">
        <f>'DATA HISTORICAL'!$C2987</f>
        <v>3100.4</v>
      </c>
      <c r="D2342" s="53">
        <f t="shared" si="72"/>
        <v>-2.2468555322448278E-2</v>
      </c>
      <c r="E2342" s="53">
        <v>1.5144892561071532E-3</v>
      </c>
      <c r="G2342" s="90">
        <v>2334</v>
      </c>
      <c r="H2342" s="90">
        <f t="shared" ca="1" si="73"/>
        <v>-5.8368445567197292E-3</v>
      </c>
    </row>
    <row r="2343" spans="2:8" x14ac:dyDescent="0.3">
      <c r="B2343" s="58">
        <f>'DATA HISTORICAL'!$B2988</f>
        <v>42464</v>
      </c>
      <c r="C2343" s="60">
        <f>'DATA HISTORICAL'!$C2988</f>
        <v>3170.85</v>
      </c>
      <c r="D2343" s="53">
        <f t="shared" si="72"/>
        <v>-1.030670111580448E-2</v>
      </c>
      <c r="E2343" s="53">
        <v>1.5094119120066154E-3</v>
      </c>
      <c r="G2343" s="90">
        <v>2335</v>
      </c>
      <c r="H2343" s="90">
        <f t="shared" ca="1" si="73"/>
        <v>2.1477354963272816E-2</v>
      </c>
    </row>
    <row r="2344" spans="2:8" x14ac:dyDescent="0.3">
      <c r="B2344" s="58">
        <f>'DATA HISTORICAL'!$B2989</f>
        <v>42461</v>
      </c>
      <c r="C2344" s="60">
        <f>'DATA HISTORICAL'!$C2989</f>
        <v>3203.7</v>
      </c>
      <c r="D2344" s="53">
        <f t="shared" si="72"/>
        <v>-7.7886735644411079E-3</v>
      </c>
      <c r="E2344" s="53">
        <v>1.4988527217049317E-3</v>
      </c>
      <c r="G2344" s="90">
        <v>2336</v>
      </c>
      <c r="H2344" s="90">
        <f t="shared" ca="1" si="73"/>
        <v>2.7775542033261877E-3</v>
      </c>
    </row>
    <row r="2345" spans="2:8" x14ac:dyDescent="0.3">
      <c r="B2345" s="58">
        <f>'DATA HISTORICAL'!$B2990</f>
        <v>42460</v>
      </c>
      <c r="C2345" s="60">
        <f>'DATA HISTORICAL'!$C2990</f>
        <v>3228.75</v>
      </c>
      <c r="D2345" s="53">
        <f t="shared" si="72"/>
        <v>1.3925390903791385E-2</v>
      </c>
      <c r="E2345" s="53">
        <v>1.4874314805460324E-3</v>
      </c>
      <c r="G2345" s="90">
        <v>2337</v>
      </c>
      <c r="H2345" s="90">
        <f t="shared" ca="1" si="73"/>
        <v>-1.1133962556708218E-2</v>
      </c>
    </row>
    <row r="2346" spans="2:8" x14ac:dyDescent="0.3">
      <c r="B2346" s="58">
        <f>'DATA HISTORICAL'!$B2991</f>
        <v>42459</v>
      </c>
      <c r="C2346" s="60">
        <f>'DATA HISTORICAL'!$C2991</f>
        <v>3184.1</v>
      </c>
      <c r="D2346" s="53">
        <f t="shared" si="72"/>
        <v>1.5141855825626944E-2</v>
      </c>
      <c r="E2346" s="53">
        <v>1.479851526044163E-3</v>
      </c>
      <c r="G2346" s="90">
        <v>2338</v>
      </c>
      <c r="H2346" s="90">
        <f t="shared" ca="1" si="73"/>
        <v>2.7621701750903404E-2</v>
      </c>
    </row>
    <row r="2347" spans="2:8" x14ac:dyDescent="0.3">
      <c r="B2347" s="58">
        <f>'DATA HISTORICAL'!$B2992</f>
        <v>42458</v>
      </c>
      <c r="C2347" s="60">
        <f>'DATA HISTORICAL'!$C2992</f>
        <v>3136.25</v>
      </c>
      <c r="D2347" s="53">
        <f t="shared" si="72"/>
        <v>-1.2893798347317426E-2</v>
      </c>
      <c r="E2347" s="53">
        <v>1.4726620239448437E-3</v>
      </c>
      <c r="G2347" s="90">
        <v>2339</v>
      </c>
      <c r="H2347" s="90">
        <f t="shared" ca="1" si="73"/>
        <v>1.3005333535474367E-2</v>
      </c>
    </row>
    <row r="2348" spans="2:8" x14ac:dyDescent="0.3">
      <c r="B2348" s="58">
        <f>'DATA HISTORICAL'!$B2993</f>
        <v>42457</v>
      </c>
      <c r="C2348" s="60">
        <f>'DATA HISTORICAL'!$C2993</f>
        <v>3176.95</v>
      </c>
      <c r="D2348" s="53">
        <f t="shared" si="72"/>
        <v>-6.7447004124030702E-3</v>
      </c>
      <c r="E2348" s="53">
        <v>1.4677719355152431E-3</v>
      </c>
      <c r="G2348" s="90">
        <v>2340</v>
      </c>
      <c r="H2348" s="90">
        <f t="shared" ca="1" si="73"/>
        <v>-4.1969911672144642E-3</v>
      </c>
    </row>
    <row r="2349" spans="2:8" x14ac:dyDescent="0.3">
      <c r="B2349" s="58">
        <f>'DATA HISTORICAL'!$B2994</f>
        <v>42452</v>
      </c>
      <c r="C2349" s="60">
        <f>'DATA HISTORICAL'!$C2994</f>
        <v>3198.45</v>
      </c>
      <c r="D2349" s="53">
        <f t="shared" si="72"/>
        <v>-3.729222512354411E-3</v>
      </c>
      <c r="E2349" s="53">
        <v>1.4649334244069643E-3</v>
      </c>
      <c r="G2349" s="90">
        <v>2341</v>
      </c>
      <c r="H2349" s="90">
        <f t="shared" ca="1" si="73"/>
        <v>4.3548728060687672E-2</v>
      </c>
    </row>
    <row r="2350" spans="2:8" x14ac:dyDescent="0.3">
      <c r="B2350" s="58">
        <f>'DATA HISTORICAL'!$B2995</f>
        <v>42451</v>
      </c>
      <c r="C2350" s="60">
        <f>'DATA HISTORICAL'!$C2995</f>
        <v>3210.4</v>
      </c>
      <c r="D2350" s="53">
        <f t="shared" si="72"/>
        <v>-5.9317865198204277E-3</v>
      </c>
      <c r="E2350" s="53">
        <v>1.445357709931983E-3</v>
      </c>
      <c r="G2350" s="90">
        <v>2342</v>
      </c>
      <c r="H2350" s="90">
        <f t="shared" ca="1" si="73"/>
        <v>8.1690766067070968E-3</v>
      </c>
    </row>
    <row r="2351" spans="2:8" x14ac:dyDescent="0.3">
      <c r="B2351" s="58">
        <f>'DATA HISTORICAL'!$B2996</f>
        <v>42450</v>
      </c>
      <c r="C2351" s="60">
        <f>'DATA HISTORICAL'!$C2996</f>
        <v>3229.5</v>
      </c>
      <c r="D2351" s="53">
        <f t="shared" si="72"/>
        <v>3.7495618921942642E-2</v>
      </c>
      <c r="E2351" s="53">
        <v>1.4409445277002034E-3</v>
      </c>
      <c r="G2351" s="90">
        <v>2343</v>
      </c>
      <c r="H2351" s="90">
        <f t="shared" ca="1" si="73"/>
        <v>3.5613449001795909E-2</v>
      </c>
    </row>
    <row r="2352" spans="2:8" x14ac:dyDescent="0.3">
      <c r="B2352" s="58">
        <f>'DATA HISTORICAL'!$B2997</f>
        <v>42447</v>
      </c>
      <c r="C2352" s="60">
        <f>'DATA HISTORICAL'!$C2997</f>
        <v>3110.65</v>
      </c>
      <c r="D2352" s="53">
        <f t="shared" si="72"/>
        <v>2.6599175523347385E-2</v>
      </c>
      <c r="E2352" s="53">
        <v>1.4380127309752207E-3</v>
      </c>
      <c r="G2352" s="90">
        <v>2344</v>
      </c>
      <c r="H2352" s="90">
        <f t="shared" ca="1" si="73"/>
        <v>-1.1620572928709997E-2</v>
      </c>
    </row>
    <row r="2353" spans="2:8" x14ac:dyDescent="0.3">
      <c r="B2353" s="58">
        <f>'DATA HISTORICAL'!$B2998</f>
        <v>42446</v>
      </c>
      <c r="C2353" s="60">
        <f>'DATA HISTORICAL'!$C2998</f>
        <v>3029</v>
      </c>
      <c r="D2353" s="53">
        <f t="shared" si="72"/>
        <v>2.0259978481335712E-2</v>
      </c>
      <c r="E2353" s="53">
        <v>1.4326929276097032E-3</v>
      </c>
      <c r="G2353" s="90">
        <v>2345</v>
      </c>
      <c r="H2353" s="90">
        <f t="shared" ca="1" si="73"/>
        <v>4.2973468021930495E-3</v>
      </c>
    </row>
    <row r="2354" spans="2:8" x14ac:dyDescent="0.3">
      <c r="B2354" s="58">
        <f>'DATA HISTORICAL'!$B2999</f>
        <v>42445</v>
      </c>
      <c r="C2354" s="60">
        <f>'DATA HISTORICAL'!$C2999</f>
        <v>2968.25</v>
      </c>
      <c r="D2354" s="53">
        <f t="shared" si="72"/>
        <v>-7.1670456253724547E-3</v>
      </c>
      <c r="E2354" s="53">
        <v>1.43186724010532E-3</v>
      </c>
      <c r="G2354" s="90">
        <v>2346</v>
      </c>
      <c r="H2354" s="90">
        <f t="shared" ca="1" si="73"/>
        <v>2.1806910786023394E-2</v>
      </c>
    </row>
    <row r="2355" spans="2:8" x14ac:dyDescent="0.3">
      <c r="B2355" s="58">
        <f>'DATA HISTORICAL'!$B3000</f>
        <v>42444</v>
      </c>
      <c r="C2355" s="60">
        <f>'DATA HISTORICAL'!$C3000</f>
        <v>2989.6</v>
      </c>
      <c r="D2355" s="53">
        <f t="shared" si="72"/>
        <v>-6.2355359679005682E-3</v>
      </c>
      <c r="E2355" s="53">
        <v>1.4217641110490743E-3</v>
      </c>
      <c r="G2355" s="90">
        <v>2347</v>
      </c>
      <c r="H2355" s="90">
        <f t="shared" ca="1" si="73"/>
        <v>-3.8286131958893592E-3</v>
      </c>
    </row>
    <row r="2356" spans="2:8" x14ac:dyDescent="0.3">
      <c r="B2356" s="58">
        <f>'DATA HISTORICAL'!$B3001</f>
        <v>42443</v>
      </c>
      <c r="C2356" s="60">
        <f>'DATA HISTORICAL'!$C3001</f>
        <v>3008.3</v>
      </c>
      <c r="D2356" s="53">
        <f t="shared" si="72"/>
        <v>4.6145598524024176E-3</v>
      </c>
      <c r="E2356" s="53">
        <v>1.4060647492674799E-3</v>
      </c>
      <c r="G2356" s="90">
        <v>2348</v>
      </c>
      <c r="H2356" s="90">
        <f t="shared" ca="1" si="73"/>
        <v>4.7734967028869148E-3</v>
      </c>
    </row>
    <row r="2357" spans="2:8" x14ac:dyDescent="0.3">
      <c r="B2357" s="58">
        <f>'DATA HISTORICAL'!$B3002</f>
        <v>42440</v>
      </c>
      <c r="C2357" s="60">
        <f>'DATA HISTORICAL'!$C3002</f>
        <v>2994.45</v>
      </c>
      <c r="D2357" s="53">
        <f t="shared" si="72"/>
        <v>-1.1014319727702536E-3</v>
      </c>
      <c r="E2357" s="53">
        <v>1.3962518283049208E-3</v>
      </c>
      <c r="G2357" s="90">
        <v>2349</v>
      </c>
      <c r="H2357" s="90">
        <f t="shared" ca="1" si="73"/>
        <v>3.5722194469245003E-2</v>
      </c>
    </row>
    <row r="2358" spans="2:8" x14ac:dyDescent="0.3">
      <c r="B2358" s="58">
        <f>'DATA HISTORICAL'!$B3003</f>
        <v>42439</v>
      </c>
      <c r="C2358" s="60">
        <f>'DATA HISTORICAL'!$C3003</f>
        <v>2997.75</v>
      </c>
      <c r="D2358" s="53">
        <f t="shared" si="72"/>
        <v>2.0536459420300653E-3</v>
      </c>
      <c r="E2358" s="53">
        <v>1.3911772333401002E-3</v>
      </c>
      <c r="G2358" s="90">
        <v>2350</v>
      </c>
      <c r="H2358" s="90">
        <f t="shared" ca="1" si="73"/>
        <v>3.3560872930664072E-2</v>
      </c>
    </row>
    <row r="2359" spans="2:8" x14ac:dyDescent="0.3">
      <c r="B2359" s="58">
        <f>'DATA HISTORICAL'!$B3004</f>
        <v>42438</v>
      </c>
      <c r="C2359" s="60">
        <f>'DATA HISTORICAL'!$C3004</f>
        <v>2991.6</v>
      </c>
      <c r="D2359" s="53">
        <f t="shared" si="72"/>
        <v>1.4003190983646913E-2</v>
      </c>
      <c r="E2359" s="53">
        <v>1.3886308102091485E-3</v>
      </c>
      <c r="G2359" s="90">
        <v>2351</v>
      </c>
      <c r="H2359" s="90">
        <f t="shared" ca="1" si="73"/>
        <v>1.5819237828968179E-2</v>
      </c>
    </row>
    <row r="2360" spans="2:8" x14ac:dyDescent="0.3">
      <c r="B2360" s="58">
        <f>'DATA HISTORICAL'!$B3005</f>
        <v>42437</v>
      </c>
      <c r="C2360" s="60">
        <f>'DATA HISTORICAL'!$C3005</f>
        <v>2950</v>
      </c>
      <c r="D2360" s="53">
        <f t="shared" si="72"/>
        <v>1.4717949091475916E-2</v>
      </c>
      <c r="E2360" s="53">
        <v>1.384737712192576E-3</v>
      </c>
      <c r="G2360" s="90">
        <v>2352</v>
      </c>
      <c r="H2360" s="90">
        <f t="shared" ca="1" si="73"/>
        <v>3.4956356288563875E-3</v>
      </c>
    </row>
    <row r="2361" spans="2:8" x14ac:dyDescent="0.3">
      <c r="B2361" s="58">
        <f>'DATA HISTORICAL'!$B3006</f>
        <v>42433</v>
      </c>
      <c r="C2361" s="60">
        <f>'DATA HISTORICAL'!$C3006</f>
        <v>2906.9</v>
      </c>
      <c r="D2361" s="53">
        <f t="shared" si="72"/>
        <v>-1.2766894479268178E-2</v>
      </c>
      <c r="E2361" s="53">
        <v>1.382211223764998E-3</v>
      </c>
      <c r="G2361" s="90">
        <v>2353</v>
      </c>
      <c r="H2361" s="90">
        <f t="shared" ca="1" si="73"/>
        <v>-3.9592392974169719E-3</v>
      </c>
    </row>
    <row r="2362" spans="2:8" x14ac:dyDescent="0.3">
      <c r="B2362" s="58">
        <f>'DATA HISTORICAL'!$B3007</f>
        <v>42432</v>
      </c>
      <c r="C2362" s="60">
        <f>'DATA HISTORICAL'!$C3007</f>
        <v>2944.25</v>
      </c>
      <c r="D2362" s="53">
        <f t="shared" si="72"/>
        <v>-9.7174282764397723E-3</v>
      </c>
      <c r="E2362" s="53">
        <v>1.3646569664919003E-3</v>
      </c>
      <c r="G2362" s="90">
        <v>2354</v>
      </c>
      <c r="H2362" s="90">
        <f t="shared" ca="1" si="73"/>
        <v>3.3129620537856133E-2</v>
      </c>
    </row>
    <row r="2363" spans="2:8" x14ac:dyDescent="0.3">
      <c r="B2363" s="58">
        <f>'DATA HISTORICAL'!$B3008</f>
        <v>42431</v>
      </c>
      <c r="C2363" s="60">
        <f>'DATA HISTORICAL'!$C3008</f>
        <v>2973</v>
      </c>
      <c r="D2363" s="53">
        <f t="shared" si="72"/>
        <v>2.9942663326899186E-2</v>
      </c>
      <c r="E2363" s="53">
        <v>1.3626089872692234E-3</v>
      </c>
      <c r="G2363" s="90">
        <v>2355</v>
      </c>
      <c r="H2363" s="90">
        <f t="shared" ca="1" si="73"/>
        <v>5.346147947680486E-3</v>
      </c>
    </row>
    <row r="2364" spans="2:8" x14ac:dyDescent="0.3">
      <c r="B2364" s="58">
        <f>'DATA HISTORICAL'!$B3009</f>
        <v>42430</v>
      </c>
      <c r="C2364" s="60">
        <f>'DATA HISTORICAL'!$C3009</f>
        <v>2885.3</v>
      </c>
      <c r="D2364" s="53">
        <f t="shared" si="72"/>
        <v>4.1287103417564135E-2</v>
      </c>
      <c r="E2364" s="53">
        <v>1.3503318307434655E-3</v>
      </c>
      <c r="G2364" s="90">
        <v>2356</v>
      </c>
      <c r="H2364" s="90">
        <f t="shared" ca="1" si="73"/>
        <v>-2.3558166020676608E-2</v>
      </c>
    </row>
    <row r="2365" spans="2:8" x14ac:dyDescent="0.3">
      <c r="B2365" s="58">
        <f>'DATA HISTORICAL'!$B3010</f>
        <v>42429</v>
      </c>
      <c r="C2365" s="60">
        <f>'DATA HISTORICAL'!$C3010</f>
        <v>2768.6</v>
      </c>
      <c r="D2365" s="53">
        <f t="shared" si="72"/>
        <v>-8.4844441912149474E-4</v>
      </c>
      <c r="E2365" s="53">
        <v>1.3430860323415492E-3</v>
      </c>
      <c r="G2365" s="90">
        <v>2357</v>
      </c>
      <c r="H2365" s="90">
        <f t="shared" ca="1" si="73"/>
        <v>1.2802300016787459E-3</v>
      </c>
    </row>
    <row r="2366" spans="2:8" x14ac:dyDescent="0.3">
      <c r="B2366" s="58">
        <f>'DATA HISTORICAL'!$B3011</f>
        <v>42426</v>
      </c>
      <c r="C2366" s="60">
        <f>'DATA HISTORICAL'!$C3011</f>
        <v>2770.95</v>
      </c>
      <c r="D2366" s="53">
        <f t="shared" si="72"/>
        <v>-2.9369125892995756E-3</v>
      </c>
      <c r="E2366" s="53">
        <v>1.3427614330914198E-3</v>
      </c>
      <c r="G2366" s="90">
        <v>2358</v>
      </c>
      <c r="H2366" s="90">
        <f t="shared" ca="1" si="73"/>
        <v>-7.0173840197672475E-3</v>
      </c>
    </row>
    <row r="2367" spans="2:8" x14ac:dyDescent="0.3">
      <c r="B2367" s="58">
        <f>'DATA HISTORICAL'!$B3012</f>
        <v>42425</v>
      </c>
      <c r="C2367" s="60">
        <f>'DATA HISTORICAL'!$C3012</f>
        <v>2779.1</v>
      </c>
      <c r="D2367" s="53">
        <f t="shared" si="72"/>
        <v>-6.5454061835093788E-3</v>
      </c>
      <c r="E2367" s="53">
        <v>1.3380016714145077E-3</v>
      </c>
      <c r="G2367" s="90">
        <v>2359</v>
      </c>
      <c r="H2367" s="90">
        <f t="shared" ca="1" si="73"/>
        <v>-2.3250292420212183E-4</v>
      </c>
    </row>
    <row r="2368" spans="2:8" x14ac:dyDescent="0.3">
      <c r="B2368" s="58">
        <f>'DATA HISTORICAL'!$B3013</f>
        <v>42424</v>
      </c>
      <c r="C2368" s="60">
        <f>'DATA HISTORICAL'!$C3013</f>
        <v>2797.35</v>
      </c>
      <c r="D2368" s="53">
        <f t="shared" si="72"/>
        <v>-6.769179881761362E-3</v>
      </c>
      <c r="E2368" s="53">
        <v>1.3378591297575813E-3</v>
      </c>
      <c r="G2368" s="90">
        <v>2360</v>
      </c>
      <c r="H2368" s="90">
        <f t="shared" ca="1" si="73"/>
        <v>6.7195825485220186E-3</v>
      </c>
    </row>
    <row r="2369" spans="2:8" x14ac:dyDescent="0.3">
      <c r="B2369" s="58">
        <f>'DATA HISTORICAL'!$B3014</f>
        <v>42423</v>
      </c>
      <c r="C2369" s="60">
        <f>'DATA HISTORICAL'!$C3014</f>
        <v>2816.35</v>
      </c>
      <c r="D2369" s="53">
        <f t="shared" si="72"/>
        <v>-3.7202976625338446E-2</v>
      </c>
      <c r="E2369" s="53">
        <v>1.3377928416599535E-3</v>
      </c>
      <c r="G2369" s="90">
        <v>2361</v>
      </c>
      <c r="H2369" s="90">
        <f t="shared" ca="1" si="73"/>
        <v>3.4626629574341365E-2</v>
      </c>
    </row>
    <row r="2370" spans="2:8" x14ac:dyDescent="0.3">
      <c r="B2370" s="58">
        <f>'DATA HISTORICAL'!$B3015</f>
        <v>42422</v>
      </c>
      <c r="C2370" s="60">
        <f>'DATA HISTORICAL'!$C3015</f>
        <v>2923.1</v>
      </c>
      <c r="D2370" s="53">
        <f t="shared" si="72"/>
        <v>2.718708310693858E-2</v>
      </c>
      <c r="E2370" s="53">
        <v>1.3367124438775201E-3</v>
      </c>
      <c r="G2370" s="90">
        <v>2362</v>
      </c>
      <c r="H2370" s="90">
        <f t="shared" ca="1" si="73"/>
        <v>-2.1497268783871948E-3</v>
      </c>
    </row>
    <row r="2371" spans="2:8" x14ac:dyDescent="0.3">
      <c r="B2371" s="58">
        <f>'DATA HISTORICAL'!$B3016</f>
        <v>42419</v>
      </c>
      <c r="C2371" s="60">
        <f>'DATA HISTORICAL'!$C3016</f>
        <v>2844.7</v>
      </c>
      <c r="D2371" s="53">
        <f t="shared" si="72"/>
        <v>1.758972972123754E-2</v>
      </c>
      <c r="E2371" s="53">
        <v>1.3337089453453221E-3</v>
      </c>
      <c r="G2371" s="90">
        <v>2363</v>
      </c>
      <c r="H2371" s="90">
        <f t="shared" ca="1" si="73"/>
        <v>3.5115229318656509E-2</v>
      </c>
    </row>
    <row r="2372" spans="2:8" x14ac:dyDescent="0.3">
      <c r="B2372" s="58">
        <f>'DATA HISTORICAL'!$B3017</f>
        <v>42418</v>
      </c>
      <c r="C2372" s="60">
        <f>'DATA HISTORICAL'!$C3017</f>
        <v>2795.1</v>
      </c>
      <c r="D2372" s="53">
        <f t="shared" si="72"/>
        <v>6.658734321163518E-3</v>
      </c>
      <c r="E2372" s="53">
        <v>1.3164453617772664E-3</v>
      </c>
      <c r="G2372" s="90">
        <v>2364</v>
      </c>
      <c r="H2372" s="90">
        <f t="shared" ca="1" si="73"/>
        <v>1.03741016184698E-2</v>
      </c>
    </row>
    <row r="2373" spans="2:8" x14ac:dyDescent="0.3">
      <c r="B2373" s="58">
        <f>'DATA HISTORICAL'!$B3018</f>
        <v>42417</v>
      </c>
      <c r="C2373" s="60">
        <f>'DATA HISTORICAL'!$C3018</f>
        <v>2776.55</v>
      </c>
      <c r="D2373" s="53">
        <f t="shared" si="72"/>
        <v>-3.9718607610384465E-3</v>
      </c>
      <c r="E2373" s="53">
        <v>1.3004482143410539E-3</v>
      </c>
      <c r="G2373" s="90">
        <v>2365</v>
      </c>
      <c r="H2373" s="90">
        <f t="shared" ca="1" si="73"/>
        <v>3.4310783462822098E-2</v>
      </c>
    </row>
    <row r="2374" spans="2:8" x14ac:dyDescent="0.3">
      <c r="B2374" s="58">
        <f>'DATA HISTORICAL'!$B3019</f>
        <v>42416</v>
      </c>
      <c r="C2374" s="60">
        <f>'DATA HISTORICAL'!$C3019</f>
        <v>2787.6</v>
      </c>
      <c r="D2374" s="53">
        <f t="shared" si="72"/>
        <v>-5.2773403099025734E-3</v>
      </c>
      <c r="E2374" s="53">
        <v>1.2796169038030809E-3</v>
      </c>
      <c r="G2374" s="90">
        <v>2366</v>
      </c>
      <c r="H2374" s="90">
        <f t="shared" ca="1" si="73"/>
        <v>3.7070210199263397E-2</v>
      </c>
    </row>
    <row r="2375" spans="2:8" x14ac:dyDescent="0.3">
      <c r="B2375" s="58">
        <f>'DATA HISTORICAL'!$B3020</f>
        <v>42415</v>
      </c>
      <c r="C2375" s="60">
        <f>'DATA HISTORICAL'!$C3020</f>
        <v>2802.35</v>
      </c>
      <c r="D2375" s="53">
        <f t="shared" si="72"/>
        <v>1.2423635134690188E-2</v>
      </c>
      <c r="E2375" s="53">
        <v>1.2636521222990167E-3</v>
      </c>
      <c r="G2375" s="90">
        <v>2367</v>
      </c>
      <c r="H2375" s="90">
        <f t="shared" ca="1" si="73"/>
        <v>1.4499793460428775E-2</v>
      </c>
    </row>
    <row r="2376" spans="2:8" x14ac:dyDescent="0.3">
      <c r="B2376" s="58">
        <f>'DATA HISTORICAL'!$B3021</f>
        <v>42412</v>
      </c>
      <c r="C2376" s="60">
        <f>'DATA HISTORICAL'!$C3021</f>
        <v>2767.75</v>
      </c>
      <c r="D2376" s="53">
        <f t="shared" si="72"/>
        <v>1.8175192463966452E-2</v>
      </c>
      <c r="E2376" s="53">
        <v>1.2606030012607642E-3</v>
      </c>
      <c r="G2376" s="90">
        <v>2368</v>
      </c>
      <c r="H2376" s="90">
        <f t="shared" ca="1" si="73"/>
        <v>1.3701773298048059E-2</v>
      </c>
    </row>
    <row r="2377" spans="2:8" x14ac:dyDescent="0.3">
      <c r="B2377" s="58">
        <f>'DATA HISTORICAL'!$B3022</f>
        <v>42411</v>
      </c>
      <c r="C2377" s="60">
        <f>'DATA HISTORICAL'!$C3022</f>
        <v>2717.9</v>
      </c>
      <c r="D2377" s="53">
        <f t="shared" ref="D2377:D2440" si="74">LN(C2377/C2378)</f>
        <v>-2.9009612496981498E-2</v>
      </c>
      <c r="E2377" s="53">
        <v>1.2549077497048457E-3</v>
      </c>
      <c r="G2377" s="90">
        <v>2369</v>
      </c>
      <c r="H2377" s="90">
        <f t="shared" ref="H2377:H2440" ca="1" si="75">_xlfn.NORM.INV(RAND(),N$10,N$11)</f>
        <v>6.171184156610195E-3</v>
      </c>
    </row>
    <row r="2378" spans="2:8" x14ac:dyDescent="0.3">
      <c r="B2378" s="58">
        <f>'DATA HISTORICAL'!$B3023</f>
        <v>42410</v>
      </c>
      <c r="C2378" s="60">
        <f>'DATA HISTORICAL'!$C3023</f>
        <v>2797.9</v>
      </c>
      <c r="D2378" s="53">
        <f t="shared" si="74"/>
        <v>1.1376523407331715E-2</v>
      </c>
      <c r="E2378" s="53">
        <v>1.2496009845641941E-3</v>
      </c>
      <c r="G2378" s="90">
        <v>2370</v>
      </c>
      <c r="H2378" s="90">
        <f t="shared" ca="1" si="75"/>
        <v>-1.1688345202047905E-2</v>
      </c>
    </row>
    <row r="2379" spans="2:8" x14ac:dyDescent="0.3">
      <c r="B2379" s="58">
        <f>'DATA HISTORICAL'!$B3024</f>
        <v>42409</v>
      </c>
      <c r="C2379" s="60">
        <f>'DATA HISTORICAL'!$C3024</f>
        <v>2766.25</v>
      </c>
      <c r="D2379" s="53">
        <f t="shared" si="74"/>
        <v>-1.9793766957271784E-2</v>
      </c>
      <c r="E2379" s="53">
        <v>1.2430579822615168E-3</v>
      </c>
      <c r="G2379" s="90">
        <v>2371</v>
      </c>
      <c r="H2379" s="90">
        <f t="shared" ca="1" si="75"/>
        <v>-6.2750389970237302E-3</v>
      </c>
    </row>
    <row r="2380" spans="2:8" x14ac:dyDescent="0.3">
      <c r="B2380" s="58">
        <f>'DATA HISTORICAL'!$B3025</f>
        <v>42408</v>
      </c>
      <c r="C2380" s="60">
        <f>'DATA HISTORICAL'!$C3025</f>
        <v>2821.55</v>
      </c>
      <c r="D2380" s="53">
        <f t="shared" si="74"/>
        <v>-7.4855141823010549E-3</v>
      </c>
      <c r="E2380" s="53">
        <v>1.2334598888091462E-3</v>
      </c>
      <c r="G2380" s="90">
        <v>2372</v>
      </c>
      <c r="H2380" s="90">
        <f t="shared" ca="1" si="75"/>
        <v>-1.3006034351463719E-2</v>
      </c>
    </row>
    <row r="2381" spans="2:8" x14ac:dyDescent="0.3">
      <c r="B2381" s="58">
        <f>'DATA HISTORICAL'!$B3026</f>
        <v>42405</v>
      </c>
      <c r="C2381" s="60">
        <f>'DATA HISTORICAL'!$C3026</f>
        <v>2842.75</v>
      </c>
      <c r="D2381" s="53">
        <f t="shared" si="74"/>
        <v>2.6087041394316512E-2</v>
      </c>
      <c r="E2381" s="53">
        <v>1.2247815636468715E-3</v>
      </c>
      <c r="G2381" s="90">
        <v>2373</v>
      </c>
      <c r="H2381" s="90">
        <f t="shared" ca="1" si="75"/>
        <v>8.3367168089522308E-3</v>
      </c>
    </row>
    <row r="2382" spans="2:8" x14ac:dyDescent="0.3">
      <c r="B2382" s="58">
        <f>'DATA HISTORICAL'!$B3027</f>
        <v>42404</v>
      </c>
      <c r="C2382" s="60">
        <f>'DATA HISTORICAL'!$C3027</f>
        <v>2769.55</v>
      </c>
      <c r="D2382" s="53">
        <f t="shared" si="74"/>
        <v>1.8055104226987894E-4</v>
      </c>
      <c r="E2382" s="53">
        <v>1.2140562205243412E-3</v>
      </c>
      <c r="G2382" s="90">
        <v>2374</v>
      </c>
      <c r="H2382" s="90">
        <f t="shared" ca="1" si="75"/>
        <v>1.1302954564107225E-2</v>
      </c>
    </row>
    <row r="2383" spans="2:8" x14ac:dyDescent="0.3">
      <c r="B2383" s="58">
        <f>'DATA HISTORICAL'!$B3028</f>
        <v>42403</v>
      </c>
      <c r="C2383" s="60">
        <f>'DATA HISTORICAL'!$C3028</f>
        <v>2769.05</v>
      </c>
      <c r="D2383" s="53">
        <f t="shared" si="74"/>
        <v>-1.2078937184529199E-2</v>
      </c>
      <c r="E2383" s="53">
        <v>1.207851994493782E-3</v>
      </c>
      <c r="G2383" s="90">
        <v>2375</v>
      </c>
      <c r="H2383" s="90">
        <f t="shared" ca="1" si="75"/>
        <v>1.386647967735187E-2</v>
      </c>
    </row>
    <row r="2384" spans="2:8" x14ac:dyDescent="0.3">
      <c r="B2384" s="58">
        <f>'DATA HISTORICAL'!$B3029</f>
        <v>42402</v>
      </c>
      <c r="C2384" s="60">
        <f>'DATA HISTORICAL'!$C3029</f>
        <v>2802.7</v>
      </c>
      <c r="D2384" s="53">
        <f t="shared" si="74"/>
        <v>-5.9053889156210583E-3</v>
      </c>
      <c r="E2384" s="53">
        <v>1.1941318375647001E-3</v>
      </c>
      <c r="G2384" s="90">
        <v>2376</v>
      </c>
      <c r="H2384" s="90">
        <f t="shared" ca="1" si="75"/>
        <v>-2.8568158385104344E-2</v>
      </c>
    </row>
    <row r="2385" spans="2:8" x14ac:dyDescent="0.3">
      <c r="B2385" s="58">
        <f>'DATA HISTORICAL'!$B3030</f>
        <v>42401</v>
      </c>
      <c r="C2385" s="60">
        <f>'DATA HISTORICAL'!$C3030</f>
        <v>2819.3</v>
      </c>
      <c r="D2385" s="53">
        <f t="shared" si="74"/>
        <v>-7.3506356345591165E-3</v>
      </c>
      <c r="E2385" s="53">
        <v>1.1862767913182724E-3</v>
      </c>
      <c r="G2385" s="90">
        <v>2377</v>
      </c>
      <c r="H2385" s="90">
        <f t="shared" ca="1" si="75"/>
        <v>6.19653334610512E-3</v>
      </c>
    </row>
    <row r="2386" spans="2:8" x14ac:dyDescent="0.3">
      <c r="B2386" s="58">
        <f>'DATA HISTORICAL'!$B3031</f>
        <v>42398</v>
      </c>
      <c r="C2386" s="60">
        <f>'DATA HISTORICAL'!$C3031</f>
        <v>2840.1</v>
      </c>
      <c r="D2386" s="53">
        <f t="shared" si="74"/>
        <v>3.4167483449355968E-2</v>
      </c>
      <c r="E2386" s="53">
        <v>1.1860990597033266E-3</v>
      </c>
      <c r="G2386" s="90">
        <v>2378</v>
      </c>
      <c r="H2386" s="90">
        <f t="shared" ca="1" si="75"/>
        <v>-5.8452525560838643E-3</v>
      </c>
    </row>
    <row r="2387" spans="2:8" x14ac:dyDescent="0.3">
      <c r="B2387" s="58">
        <f>'DATA HISTORICAL'!$B3032</f>
        <v>42397</v>
      </c>
      <c r="C2387" s="60">
        <f>'DATA HISTORICAL'!$C3032</f>
        <v>2744.7</v>
      </c>
      <c r="D2387" s="53">
        <f t="shared" si="74"/>
        <v>-2.4926098873402002E-3</v>
      </c>
      <c r="E2387" s="53">
        <v>1.1819187855267889E-3</v>
      </c>
      <c r="G2387" s="90">
        <v>2379</v>
      </c>
      <c r="H2387" s="90">
        <f t="shared" ca="1" si="75"/>
        <v>-1.4588341031469224E-2</v>
      </c>
    </row>
    <row r="2388" spans="2:8" x14ac:dyDescent="0.3">
      <c r="B2388" s="58">
        <f>'DATA HISTORICAL'!$B3033</f>
        <v>42396</v>
      </c>
      <c r="C2388" s="60">
        <f>'DATA HISTORICAL'!$C3033</f>
        <v>2751.55</v>
      </c>
      <c r="D2388" s="53">
        <f t="shared" si="74"/>
        <v>3.9985460365546925E-4</v>
      </c>
      <c r="E2388" s="53">
        <v>1.1787489787846508E-3</v>
      </c>
      <c r="G2388" s="90">
        <v>2380</v>
      </c>
      <c r="H2388" s="90">
        <f t="shared" ca="1" si="75"/>
        <v>-9.6516338216284352E-3</v>
      </c>
    </row>
    <row r="2389" spans="2:8" x14ac:dyDescent="0.3">
      <c r="B2389" s="58">
        <f>'DATA HISTORICAL'!$B3034</f>
        <v>42394</v>
      </c>
      <c r="C2389" s="60">
        <f>'DATA HISTORICAL'!$C3034</f>
        <v>2750.45</v>
      </c>
      <c r="D2389" s="53">
        <f t="shared" si="74"/>
        <v>1.3562073586075753E-2</v>
      </c>
      <c r="E2389" s="53">
        <v>1.1726161026354911E-3</v>
      </c>
      <c r="G2389" s="90">
        <v>2381</v>
      </c>
      <c r="H2389" s="90">
        <f t="shared" ca="1" si="75"/>
        <v>-1.362767773303305E-3</v>
      </c>
    </row>
    <row r="2390" spans="2:8" x14ac:dyDescent="0.3">
      <c r="B2390" s="58">
        <f>'DATA HISTORICAL'!$B3035</f>
        <v>42391</v>
      </c>
      <c r="C2390" s="60">
        <f>'DATA HISTORICAL'!$C3035</f>
        <v>2713.4</v>
      </c>
      <c r="D2390" s="53">
        <f t="shared" si="74"/>
        <v>6.7857040045172998E-3</v>
      </c>
      <c r="E2390" s="53">
        <v>1.1713771910269132E-3</v>
      </c>
      <c r="G2390" s="90">
        <v>2382</v>
      </c>
      <c r="H2390" s="90">
        <f t="shared" ca="1" si="75"/>
        <v>1.5501968047813626E-2</v>
      </c>
    </row>
    <row r="2391" spans="2:8" x14ac:dyDescent="0.3">
      <c r="B2391" s="58">
        <f>'DATA HISTORICAL'!$B3036</f>
        <v>42390</v>
      </c>
      <c r="C2391" s="60">
        <f>'DATA HISTORICAL'!$C3036</f>
        <v>2695.05</v>
      </c>
      <c r="D2391" s="53">
        <f t="shared" si="74"/>
        <v>2.9139788353700923E-2</v>
      </c>
      <c r="E2391" s="53">
        <v>1.1661808901826157E-3</v>
      </c>
      <c r="G2391" s="90">
        <v>2383</v>
      </c>
      <c r="H2391" s="90">
        <f t="shared" ca="1" si="75"/>
        <v>-4.5600988628130687E-3</v>
      </c>
    </row>
    <row r="2392" spans="2:8" x14ac:dyDescent="0.3">
      <c r="B2392" s="58">
        <f>'DATA HISTORICAL'!$B3037</f>
        <v>42389</v>
      </c>
      <c r="C2392" s="60">
        <f>'DATA HISTORICAL'!$C3037</f>
        <v>2617.65</v>
      </c>
      <c r="D2392" s="53">
        <f t="shared" si="74"/>
        <v>-8.0094029243143756E-3</v>
      </c>
      <c r="E2392" s="53">
        <v>1.1660969469644738E-3</v>
      </c>
      <c r="G2392" s="90">
        <v>2384</v>
      </c>
      <c r="H2392" s="90">
        <f t="shared" ca="1" si="75"/>
        <v>1.3994517810974556E-2</v>
      </c>
    </row>
    <row r="2393" spans="2:8" x14ac:dyDescent="0.3">
      <c r="B2393" s="58">
        <f>'DATA HISTORICAL'!$B3038</f>
        <v>42388</v>
      </c>
      <c r="C2393" s="60">
        <f>'DATA HISTORICAL'!$C3038</f>
        <v>2638.7</v>
      </c>
      <c r="D2393" s="53">
        <f t="shared" si="74"/>
        <v>-9.0912540827376299E-4</v>
      </c>
      <c r="E2393" s="53">
        <v>1.1652315420119621E-3</v>
      </c>
      <c r="G2393" s="90">
        <v>2385</v>
      </c>
      <c r="H2393" s="90">
        <f t="shared" ca="1" si="75"/>
        <v>3.4098328874782773E-3</v>
      </c>
    </row>
    <row r="2394" spans="2:8" x14ac:dyDescent="0.3">
      <c r="B2394" s="58">
        <f>'DATA HISTORICAL'!$B3039</f>
        <v>42387</v>
      </c>
      <c r="C2394" s="60">
        <f>'DATA HISTORICAL'!$C3039</f>
        <v>2641.1</v>
      </c>
      <c r="D2394" s="53">
        <f t="shared" si="74"/>
        <v>8.7084382795794904E-3</v>
      </c>
      <c r="E2394" s="53">
        <v>1.1555556841407963E-3</v>
      </c>
      <c r="G2394" s="90">
        <v>2386</v>
      </c>
      <c r="H2394" s="90">
        <f t="shared" ca="1" si="75"/>
        <v>-4.8359888822615799E-2</v>
      </c>
    </row>
    <row r="2395" spans="2:8" x14ac:dyDescent="0.3">
      <c r="B2395" s="58">
        <f>'DATA HISTORICAL'!$B3040</f>
        <v>42384</v>
      </c>
      <c r="C2395" s="60">
        <f>'DATA HISTORICAL'!$C3040</f>
        <v>2618.1999999999998</v>
      </c>
      <c r="D2395" s="53">
        <f t="shared" si="74"/>
        <v>-3.2793165708190778E-3</v>
      </c>
      <c r="E2395" s="53">
        <v>1.1452771890136223E-3</v>
      </c>
      <c r="G2395" s="90">
        <v>2387</v>
      </c>
      <c r="H2395" s="90">
        <f t="shared" ca="1" si="75"/>
        <v>1.9182732933027254E-2</v>
      </c>
    </row>
    <row r="2396" spans="2:8" x14ac:dyDescent="0.3">
      <c r="B2396" s="58">
        <f>'DATA HISTORICAL'!$B3041</f>
        <v>42383</v>
      </c>
      <c r="C2396" s="60">
        <f>'DATA HISTORICAL'!$C3041</f>
        <v>2626.8</v>
      </c>
      <c r="D2396" s="53">
        <f t="shared" si="74"/>
        <v>-2.167223765760359E-2</v>
      </c>
      <c r="E2396" s="53">
        <v>1.1397868204538603E-3</v>
      </c>
      <c r="G2396" s="90">
        <v>2388</v>
      </c>
      <c r="H2396" s="90">
        <f t="shared" ca="1" si="75"/>
        <v>-2.6764314788934523E-2</v>
      </c>
    </row>
    <row r="2397" spans="2:8" x14ac:dyDescent="0.3">
      <c r="B2397" s="58">
        <f>'DATA HISTORICAL'!$B3042</f>
        <v>42382</v>
      </c>
      <c r="C2397" s="60">
        <f>'DATA HISTORICAL'!$C3042</f>
        <v>2684.35</v>
      </c>
      <c r="D2397" s="53">
        <f t="shared" si="74"/>
        <v>5.3414141637060392E-3</v>
      </c>
      <c r="E2397" s="53">
        <v>1.1341727426511302E-3</v>
      </c>
      <c r="G2397" s="90">
        <v>2389</v>
      </c>
      <c r="H2397" s="90">
        <f t="shared" ca="1" si="75"/>
        <v>5.6894945863468372E-3</v>
      </c>
    </row>
    <row r="2398" spans="2:8" x14ac:dyDescent="0.3">
      <c r="B2398" s="58">
        <f>'DATA HISTORICAL'!$B3043</f>
        <v>42381</v>
      </c>
      <c r="C2398" s="60">
        <f>'DATA HISTORICAL'!$C3043</f>
        <v>2670.05</v>
      </c>
      <c r="D2398" s="53">
        <f t="shared" si="74"/>
        <v>-2.1031561677915062E-2</v>
      </c>
      <c r="E2398" s="53">
        <v>1.1315709467902781E-3</v>
      </c>
      <c r="G2398" s="90">
        <v>2390</v>
      </c>
      <c r="H2398" s="90">
        <f t="shared" ca="1" si="75"/>
        <v>2.7895840118523859E-2</v>
      </c>
    </row>
    <row r="2399" spans="2:8" x14ac:dyDescent="0.3">
      <c r="B2399" s="58">
        <f>'DATA HISTORICAL'!$B3044</f>
        <v>42380</v>
      </c>
      <c r="C2399" s="60">
        <f>'DATA HISTORICAL'!$C3044</f>
        <v>2726.8</v>
      </c>
      <c r="D2399" s="53">
        <f t="shared" si="74"/>
        <v>7.9529137878454215E-3</v>
      </c>
      <c r="E2399" s="53">
        <v>1.1283331561137767E-3</v>
      </c>
      <c r="G2399" s="90">
        <v>2391</v>
      </c>
      <c r="H2399" s="90">
        <f t="shared" ca="1" si="75"/>
        <v>1.6565441505230594E-2</v>
      </c>
    </row>
    <row r="2400" spans="2:8" x14ac:dyDescent="0.3">
      <c r="B2400" s="58">
        <f>'DATA HISTORICAL'!$B3045</f>
        <v>42377</v>
      </c>
      <c r="C2400" s="60">
        <f>'DATA HISTORICAL'!$C3045</f>
        <v>2705.2</v>
      </c>
      <c r="D2400" s="53">
        <f t="shared" si="74"/>
        <v>1.395916876565702E-2</v>
      </c>
      <c r="E2400" s="53">
        <v>1.1222351374188641E-3</v>
      </c>
      <c r="G2400" s="90">
        <v>2392</v>
      </c>
      <c r="H2400" s="90">
        <f t="shared" ca="1" si="75"/>
        <v>8.3181324299798822E-3</v>
      </c>
    </row>
    <row r="2401" spans="2:8" x14ac:dyDescent="0.3">
      <c r="B2401" s="58">
        <f>'DATA HISTORICAL'!$B3046</f>
        <v>42376</v>
      </c>
      <c r="C2401" s="60">
        <f>'DATA HISTORICAL'!$C3046</f>
        <v>2667.7</v>
      </c>
      <c r="D2401" s="53">
        <f t="shared" si="74"/>
        <v>-2.5024441119425939E-2</v>
      </c>
      <c r="E2401" s="53">
        <v>1.1091538946182873E-3</v>
      </c>
      <c r="G2401" s="90">
        <v>2393</v>
      </c>
      <c r="H2401" s="90">
        <f t="shared" ca="1" si="75"/>
        <v>1.0676883195828962E-2</v>
      </c>
    </row>
    <row r="2402" spans="2:8" x14ac:dyDescent="0.3">
      <c r="B2402" s="58">
        <f>'DATA HISTORICAL'!$B3047</f>
        <v>42375</v>
      </c>
      <c r="C2402" s="60">
        <f>'DATA HISTORICAL'!$C3047</f>
        <v>2735.3</v>
      </c>
      <c r="D2402" s="53">
        <f t="shared" si="74"/>
        <v>8.2291737982162906E-4</v>
      </c>
      <c r="E2402" s="53">
        <v>1.1079105941600739E-3</v>
      </c>
      <c r="G2402" s="90">
        <v>2394</v>
      </c>
      <c r="H2402" s="90">
        <f t="shared" ca="1" si="75"/>
        <v>1.0729514840080768E-2</v>
      </c>
    </row>
    <row r="2403" spans="2:8" x14ac:dyDescent="0.3">
      <c r="B2403" s="58">
        <f>'DATA HISTORICAL'!$B3048</f>
        <v>42374</v>
      </c>
      <c r="C2403" s="60">
        <f>'DATA HISTORICAL'!$C3048</f>
        <v>2733.05</v>
      </c>
      <c r="D2403" s="53">
        <f t="shared" si="74"/>
        <v>-5.8735712983535226E-3</v>
      </c>
      <c r="E2403" s="53">
        <v>1.0798554043236752E-3</v>
      </c>
      <c r="G2403" s="90">
        <v>2395</v>
      </c>
      <c r="H2403" s="90">
        <f t="shared" ca="1" si="75"/>
        <v>-1.7514986515710641E-2</v>
      </c>
    </row>
    <row r="2404" spans="2:8" x14ac:dyDescent="0.3">
      <c r="B2404" s="58">
        <f>'DATA HISTORICAL'!$B3049</f>
        <v>42373</v>
      </c>
      <c r="C2404" s="60">
        <f>'DATA HISTORICAL'!$C3049</f>
        <v>2749.15</v>
      </c>
      <c r="D2404" s="53">
        <f t="shared" si="74"/>
        <v>-2.6862546640047173E-2</v>
      </c>
      <c r="E2404" s="53">
        <v>1.0781515118625333E-3</v>
      </c>
      <c r="G2404" s="90">
        <v>2396</v>
      </c>
      <c r="H2404" s="90">
        <f t="shared" ca="1" si="75"/>
        <v>7.2048184050299462E-3</v>
      </c>
    </row>
    <row r="2405" spans="2:8" x14ac:dyDescent="0.3">
      <c r="B2405" s="58">
        <f>'DATA HISTORICAL'!$B3050</f>
        <v>42370</v>
      </c>
      <c r="C2405" s="60">
        <f>'DATA HISTORICAL'!$C3050</f>
        <v>2824</v>
      </c>
      <c r="D2405" s="53">
        <f t="shared" si="74"/>
        <v>1.550556976992476E-2</v>
      </c>
      <c r="E2405" s="53">
        <v>1.057327656725291E-3</v>
      </c>
      <c r="G2405" s="90">
        <v>2397</v>
      </c>
      <c r="H2405" s="90">
        <f t="shared" ca="1" si="75"/>
        <v>-3.4122109122079566E-2</v>
      </c>
    </row>
    <row r="2406" spans="2:8" x14ac:dyDescent="0.3">
      <c r="B2406" s="58">
        <f>'DATA HISTORICAL'!$B3051</f>
        <v>42369</v>
      </c>
      <c r="C2406" s="60">
        <f>'DATA HISTORICAL'!$C3051</f>
        <v>2780.55</v>
      </c>
      <c r="D2406" s="53">
        <f t="shared" si="74"/>
        <v>-1.4195741865153438E-3</v>
      </c>
      <c r="E2406" s="53">
        <v>1.0478686360110888E-3</v>
      </c>
      <c r="G2406" s="90">
        <v>2398</v>
      </c>
      <c r="H2406" s="90">
        <f t="shared" ca="1" si="75"/>
        <v>1.6800020028437022E-2</v>
      </c>
    </row>
    <row r="2407" spans="2:8" x14ac:dyDescent="0.3">
      <c r="B2407" s="58">
        <f>'DATA HISTORICAL'!$B3052</f>
        <v>42368</v>
      </c>
      <c r="C2407" s="60">
        <f>'DATA HISTORICAL'!$C3052</f>
        <v>2784.5</v>
      </c>
      <c r="D2407" s="53">
        <f t="shared" si="74"/>
        <v>-1.2101023997304637E-2</v>
      </c>
      <c r="E2407" s="53">
        <v>1.0398508445315813E-3</v>
      </c>
      <c r="G2407" s="90">
        <v>2399</v>
      </c>
      <c r="H2407" s="90">
        <f t="shared" ca="1" si="75"/>
        <v>2.8437588432598082E-2</v>
      </c>
    </row>
    <row r="2408" spans="2:8" x14ac:dyDescent="0.3">
      <c r="B2408" s="58">
        <f>'DATA HISTORICAL'!$B3053</f>
        <v>42367</v>
      </c>
      <c r="C2408" s="60">
        <f>'DATA HISTORICAL'!$C3053</f>
        <v>2818.4</v>
      </c>
      <c r="D2408" s="53">
        <f t="shared" si="74"/>
        <v>2.3800654207907957E-3</v>
      </c>
      <c r="E2408" s="53">
        <v>1.036291895239563E-3</v>
      </c>
      <c r="G2408" s="90">
        <v>2400</v>
      </c>
      <c r="H2408" s="90">
        <f t="shared" ca="1" si="75"/>
        <v>3.7284497749399827E-2</v>
      </c>
    </row>
    <row r="2409" spans="2:8" x14ac:dyDescent="0.3">
      <c r="B2409" s="58">
        <f>'DATA HISTORICAL'!$B3054</f>
        <v>42366</v>
      </c>
      <c r="C2409" s="60">
        <f>'DATA HISTORICAL'!$C3054</f>
        <v>2811.7</v>
      </c>
      <c r="D2409" s="53">
        <f t="shared" si="74"/>
        <v>-5.5111602386933624E-4</v>
      </c>
      <c r="E2409" s="53">
        <v>1.0346970754560921E-3</v>
      </c>
      <c r="G2409" s="90">
        <v>2401</v>
      </c>
      <c r="H2409" s="90">
        <f t="shared" ca="1" si="75"/>
        <v>-9.000218642106636E-3</v>
      </c>
    </row>
    <row r="2410" spans="2:8" x14ac:dyDescent="0.3">
      <c r="B2410" s="58">
        <f>'DATA HISTORICAL'!$B3055</f>
        <v>42362</v>
      </c>
      <c r="C2410" s="60">
        <f>'DATA HISTORICAL'!$C3055</f>
        <v>2813.25</v>
      </c>
      <c r="D2410" s="53">
        <f t="shared" si="74"/>
        <v>-1.988601710001751E-3</v>
      </c>
      <c r="E2410" s="53">
        <v>1.0250345861033635E-3</v>
      </c>
      <c r="G2410" s="90">
        <v>2402</v>
      </c>
      <c r="H2410" s="90">
        <f t="shared" ca="1" si="75"/>
        <v>7.4575609033000851E-3</v>
      </c>
    </row>
    <row r="2411" spans="2:8" x14ac:dyDescent="0.3">
      <c r="B2411" s="58">
        <f>'DATA HISTORICAL'!$B3056</f>
        <v>42361</v>
      </c>
      <c r="C2411" s="60">
        <f>'DATA HISTORICAL'!$C3056</f>
        <v>2818.85</v>
      </c>
      <c r="D2411" s="53">
        <f t="shared" si="74"/>
        <v>7.1382464683664212E-3</v>
      </c>
      <c r="E2411" s="53">
        <v>1.0226876042733998E-3</v>
      </c>
      <c r="G2411" s="90">
        <v>2403</v>
      </c>
      <c r="H2411" s="90">
        <f t="shared" ca="1" si="75"/>
        <v>5.2271143828537224E-3</v>
      </c>
    </row>
    <row r="2412" spans="2:8" x14ac:dyDescent="0.3">
      <c r="B2412" s="58">
        <f>'DATA HISTORICAL'!$B3057</f>
        <v>42360</v>
      </c>
      <c r="C2412" s="60">
        <f>'DATA HISTORICAL'!$C3057</f>
        <v>2798.8</v>
      </c>
      <c r="D2412" s="53">
        <f t="shared" si="74"/>
        <v>-2.2662595910969609E-3</v>
      </c>
      <c r="E2412" s="53">
        <v>1.0122406997739451E-3</v>
      </c>
      <c r="G2412" s="90">
        <v>2404</v>
      </c>
      <c r="H2412" s="90">
        <f t="shared" ca="1" si="75"/>
        <v>-1.7341329695420776E-2</v>
      </c>
    </row>
    <row r="2413" spans="2:8" x14ac:dyDescent="0.3">
      <c r="B2413" s="58">
        <f>'DATA HISTORICAL'!$B3058</f>
        <v>42359</v>
      </c>
      <c r="C2413" s="60">
        <f>'DATA HISTORICAL'!$C3058</f>
        <v>2805.15</v>
      </c>
      <c r="D2413" s="53">
        <f t="shared" si="74"/>
        <v>-3.5407714586760228E-3</v>
      </c>
      <c r="E2413" s="53">
        <v>9.8593408801647404E-4</v>
      </c>
      <c r="G2413" s="90">
        <v>2405</v>
      </c>
      <c r="H2413" s="90">
        <f t="shared" ca="1" si="75"/>
        <v>8.287728901863264E-3</v>
      </c>
    </row>
    <row r="2414" spans="2:8" x14ac:dyDescent="0.3">
      <c r="B2414" s="58">
        <f>'DATA HISTORICAL'!$B3059</f>
        <v>42356</v>
      </c>
      <c r="C2414" s="60">
        <f>'DATA HISTORICAL'!$C3059</f>
        <v>2815.1</v>
      </c>
      <c r="D2414" s="53">
        <f t="shared" si="74"/>
        <v>-2.897129778515789E-2</v>
      </c>
      <c r="E2414" s="53">
        <v>9.8295986531808264E-4</v>
      </c>
      <c r="G2414" s="90">
        <v>2406</v>
      </c>
      <c r="H2414" s="90">
        <f t="shared" ca="1" si="75"/>
        <v>-8.975784840921975E-3</v>
      </c>
    </row>
    <row r="2415" spans="2:8" x14ac:dyDescent="0.3">
      <c r="B2415" s="58">
        <f>'DATA HISTORICAL'!$B3060</f>
        <v>42355</v>
      </c>
      <c r="C2415" s="60">
        <f>'DATA HISTORICAL'!$C3060</f>
        <v>2897.85</v>
      </c>
      <c r="D2415" s="53">
        <f t="shared" si="74"/>
        <v>1.7422316359778308E-2</v>
      </c>
      <c r="E2415" s="53">
        <v>9.6944395071797858E-4</v>
      </c>
      <c r="G2415" s="90">
        <v>2407</v>
      </c>
      <c r="H2415" s="90">
        <f t="shared" ca="1" si="75"/>
        <v>2.9890239507441303E-2</v>
      </c>
    </row>
    <row r="2416" spans="2:8" x14ac:dyDescent="0.3">
      <c r="B2416" s="58">
        <f>'DATA HISTORICAL'!$B3061</f>
        <v>42354</v>
      </c>
      <c r="C2416" s="60">
        <f>'DATA HISTORICAL'!$C3061</f>
        <v>2847.8</v>
      </c>
      <c r="D2416" s="53">
        <f t="shared" si="74"/>
        <v>-5.4280394519959649E-3</v>
      </c>
      <c r="E2416" s="53">
        <v>9.6752063528612279E-4</v>
      </c>
      <c r="G2416" s="90">
        <v>2408</v>
      </c>
      <c r="H2416" s="90">
        <f t="shared" ca="1" si="75"/>
        <v>-8.7111278681839092E-3</v>
      </c>
    </row>
    <row r="2417" spans="2:8" x14ac:dyDescent="0.3">
      <c r="B2417" s="58">
        <f>'DATA HISTORICAL'!$B3062</f>
        <v>42353</v>
      </c>
      <c r="C2417" s="60">
        <f>'DATA HISTORICAL'!$C3062</f>
        <v>2863.3</v>
      </c>
      <c r="D2417" s="53">
        <f t="shared" si="74"/>
        <v>1.1486102499151709E-2</v>
      </c>
      <c r="E2417" s="53">
        <v>9.4822046455878028E-4</v>
      </c>
      <c r="G2417" s="90">
        <v>2409</v>
      </c>
      <c r="H2417" s="90">
        <f t="shared" ca="1" si="75"/>
        <v>1.5556999958153041E-2</v>
      </c>
    </row>
    <row r="2418" spans="2:8" x14ac:dyDescent="0.3">
      <c r="B2418" s="58">
        <f>'DATA HISTORICAL'!$B3063</f>
        <v>42352</v>
      </c>
      <c r="C2418" s="60">
        <f>'DATA HISTORICAL'!$C3063</f>
        <v>2830.6</v>
      </c>
      <c r="D2418" s="53">
        <f t="shared" si="74"/>
        <v>1.6815501313985452E-2</v>
      </c>
      <c r="E2418" s="53">
        <v>9.4234750029861185E-4</v>
      </c>
      <c r="G2418" s="90">
        <v>2410</v>
      </c>
      <c r="H2418" s="90">
        <f t="shared" ca="1" si="75"/>
        <v>-1.4372884944219282E-2</v>
      </c>
    </row>
    <row r="2419" spans="2:8" x14ac:dyDescent="0.3">
      <c r="B2419" s="58">
        <f>'DATA HISTORICAL'!$B3064</f>
        <v>42349</v>
      </c>
      <c r="C2419" s="60">
        <f>'DATA HISTORICAL'!$C3064</f>
        <v>2783.4</v>
      </c>
      <c r="D2419" s="53">
        <f t="shared" si="74"/>
        <v>-1.0631649935974907E-2</v>
      </c>
      <c r="E2419" s="53">
        <v>9.3173082383688432E-4</v>
      </c>
      <c r="G2419" s="90">
        <v>2411</v>
      </c>
      <c r="H2419" s="90">
        <f t="shared" ca="1" si="75"/>
        <v>1.8193523975007734E-2</v>
      </c>
    </row>
    <row r="2420" spans="2:8" x14ac:dyDescent="0.3">
      <c r="B2420" s="58">
        <f>'DATA HISTORICAL'!$B3065</f>
        <v>42348</v>
      </c>
      <c r="C2420" s="60">
        <f>'DATA HISTORICAL'!$C3065</f>
        <v>2813.15</v>
      </c>
      <c r="D2420" s="53">
        <f t="shared" si="74"/>
        <v>1.0452029652769592E-2</v>
      </c>
      <c r="E2420" s="53">
        <v>9.2781598787971327E-4</v>
      </c>
      <c r="G2420" s="90">
        <v>2412</v>
      </c>
      <c r="H2420" s="90">
        <f t="shared" ca="1" si="75"/>
        <v>-9.0658921590415498E-3</v>
      </c>
    </row>
    <row r="2421" spans="2:8" x14ac:dyDescent="0.3">
      <c r="B2421" s="58">
        <f>'DATA HISTORICAL'!$B3066</f>
        <v>42347</v>
      </c>
      <c r="C2421" s="60">
        <f>'DATA HISTORICAL'!$C3066</f>
        <v>2783.9</v>
      </c>
      <c r="D2421" s="53">
        <f t="shared" si="74"/>
        <v>-2.7353343984018123E-2</v>
      </c>
      <c r="E2421" s="53">
        <v>9.2681480269765247E-4</v>
      </c>
      <c r="G2421" s="90">
        <v>2413</v>
      </c>
      <c r="H2421" s="90">
        <f t="shared" ca="1" si="75"/>
        <v>3.1354614233807601E-2</v>
      </c>
    </row>
    <row r="2422" spans="2:8" x14ac:dyDescent="0.3">
      <c r="B2422" s="58">
        <f>'DATA HISTORICAL'!$B3067</f>
        <v>42346</v>
      </c>
      <c r="C2422" s="60">
        <f>'DATA HISTORICAL'!$C3067</f>
        <v>2861.1</v>
      </c>
      <c r="D2422" s="53">
        <f t="shared" si="74"/>
        <v>-1.2400123843628224E-3</v>
      </c>
      <c r="E2422" s="53">
        <v>9.2440740144729742E-4</v>
      </c>
      <c r="G2422" s="90">
        <v>2414</v>
      </c>
      <c r="H2422" s="90">
        <f t="shared" ca="1" si="75"/>
        <v>1.682204112178576E-3</v>
      </c>
    </row>
    <row r="2423" spans="2:8" x14ac:dyDescent="0.3">
      <c r="B2423" s="58">
        <f>'DATA HISTORICAL'!$B3068</f>
        <v>42345</v>
      </c>
      <c r="C2423" s="60">
        <f>'DATA HISTORICAL'!$C3068</f>
        <v>2864.65</v>
      </c>
      <c r="D2423" s="53">
        <f t="shared" si="74"/>
        <v>-8.5488730290448744E-4</v>
      </c>
      <c r="E2423" s="53">
        <v>9.2261061395855915E-4</v>
      </c>
      <c r="G2423" s="90">
        <v>2415</v>
      </c>
      <c r="H2423" s="90">
        <f t="shared" ca="1" si="75"/>
        <v>-1.812024647724738E-2</v>
      </c>
    </row>
    <row r="2424" spans="2:8" x14ac:dyDescent="0.3">
      <c r="B2424" s="58">
        <f>'DATA HISTORICAL'!$B3069</f>
        <v>42342</v>
      </c>
      <c r="C2424" s="60">
        <f>'DATA HISTORICAL'!$C3069</f>
        <v>2867.1</v>
      </c>
      <c r="D2424" s="53">
        <f t="shared" si="74"/>
        <v>2.7067396839781039E-3</v>
      </c>
      <c r="E2424" s="53">
        <v>9.0976117202923789E-4</v>
      </c>
      <c r="G2424" s="90">
        <v>2416</v>
      </c>
      <c r="H2424" s="90">
        <f t="shared" ca="1" si="75"/>
        <v>1.8187963226307158E-2</v>
      </c>
    </row>
    <row r="2425" spans="2:8" x14ac:dyDescent="0.3">
      <c r="B2425" s="58">
        <f>'DATA HISTORICAL'!$B3070</f>
        <v>42341</v>
      </c>
      <c r="C2425" s="60">
        <f>'DATA HISTORICAL'!$C3070</f>
        <v>2859.35</v>
      </c>
      <c r="D2425" s="53">
        <f t="shared" si="74"/>
        <v>3.7666807557797661E-3</v>
      </c>
      <c r="E2425" s="53">
        <v>8.9777602438970898E-4</v>
      </c>
      <c r="G2425" s="90">
        <v>2417</v>
      </c>
      <c r="H2425" s="90">
        <f t="shared" ca="1" si="75"/>
        <v>1.1623298390745967E-2</v>
      </c>
    </row>
    <row r="2426" spans="2:8" x14ac:dyDescent="0.3">
      <c r="B2426" s="58">
        <f>'DATA HISTORICAL'!$B3071</f>
        <v>42340</v>
      </c>
      <c r="C2426" s="60">
        <f>'DATA HISTORICAL'!$C3071</f>
        <v>2848.6</v>
      </c>
      <c r="D2426" s="53">
        <f t="shared" si="74"/>
        <v>-5.443976510240635E-3</v>
      </c>
      <c r="E2426" s="53">
        <v>8.9756168451156923E-4</v>
      </c>
      <c r="G2426" s="90">
        <v>2418</v>
      </c>
      <c r="H2426" s="90">
        <f t="shared" ca="1" si="75"/>
        <v>-9.3442625702779662E-3</v>
      </c>
    </row>
    <row r="2427" spans="2:8" x14ac:dyDescent="0.3">
      <c r="B2427" s="58">
        <f>'DATA HISTORICAL'!$B3072</f>
        <v>42339</v>
      </c>
      <c r="C2427" s="60">
        <f>'DATA HISTORICAL'!$C3072</f>
        <v>2864.15</v>
      </c>
      <c r="D2427" s="53">
        <f t="shared" si="74"/>
        <v>2.2277275142357764E-2</v>
      </c>
      <c r="E2427" s="53">
        <v>8.9489339420982398E-4</v>
      </c>
      <c r="G2427" s="90">
        <v>2419</v>
      </c>
      <c r="H2427" s="90">
        <f t="shared" ca="1" si="75"/>
        <v>-1.447989534779958E-2</v>
      </c>
    </row>
    <row r="2428" spans="2:8" x14ac:dyDescent="0.3">
      <c r="B2428" s="58">
        <f>'DATA HISTORICAL'!$B3073</f>
        <v>42338</v>
      </c>
      <c r="C2428" s="60">
        <f>'DATA HISTORICAL'!$C3073</f>
        <v>2801.05</v>
      </c>
      <c r="D2428" s="53">
        <f t="shared" si="74"/>
        <v>-1.0617997483889441E-2</v>
      </c>
      <c r="E2428" s="53">
        <v>8.8974310090597891E-4</v>
      </c>
      <c r="G2428" s="90">
        <v>2420</v>
      </c>
      <c r="H2428" s="90">
        <f t="shared" ca="1" si="75"/>
        <v>1.3309148939359524E-2</v>
      </c>
    </row>
    <row r="2429" spans="2:8" x14ac:dyDescent="0.3">
      <c r="B2429" s="58">
        <f>'DATA HISTORICAL'!$B3074</f>
        <v>42335</v>
      </c>
      <c r="C2429" s="60">
        <f>'DATA HISTORICAL'!$C3074</f>
        <v>2830.95</v>
      </c>
      <c r="D2429" s="53">
        <f t="shared" si="74"/>
        <v>9.9220721874697E-3</v>
      </c>
      <c r="E2429" s="53">
        <v>8.8474049698557733E-4</v>
      </c>
      <c r="G2429" s="90">
        <v>2421</v>
      </c>
      <c r="H2429" s="90">
        <f t="shared" ca="1" si="75"/>
        <v>1.1205914025836417E-2</v>
      </c>
    </row>
    <row r="2430" spans="2:8" x14ac:dyDescent="0.3">
      <c r="B2430" s="58">
        <f>'DATA HISTORICAL'!$B3075</f>
        <v>42334</v>
      </c>
      <c r="C2430" s="60">
        <f>'DATA HISTORICAL'!$C3075</f>
        <v>2803</v>
      </c>
      <c r="D2430" s="53">
        <f t="shared" si="74"/>
        <v>8.7970539279465937E-3</v>
      </c>
      <c r="E2430" s="53">
        <v>8.7936831850778845E-4</v>
      </c>
      <c r="G2430" s="90">
        <v>2422</v>
      </c>
      <c r="H2430" s="90">
        <f t="shared" ca="1" si="75"/>
        <v>5.5289090406966234E-3</v>
      </c>
    </row>
    <row r="2431" spans="2:8" x14ac:dyDescent="0.3">
      <c r="B2431" s="58">
        <f>'DATA HISTORICAL'!$B3076</f>
        <v>42332</v>
      </c>
      <c r="C2431" s="60">
        <f>'DATA HISTORICAL'!$C3076</f>
        <v>2778.45</v>
      </c>
      <c r="D2431" s="53">
        <f t="shared" si="74"/>
        <v>-7.7619125744279871E-3</v>
      </c>
      <c r="E2431" s="53">
        <v>8.7648244014317119E-4</v>
      </c>
      <c r="G2431" s="90">
        <v>2423</v>
      </c>
      <c r="H2431" s="90">
        <f t="shared" ca="1" si="75"/>
        <v>-6.9148020461294738E-3</v>
      </c>
    </row>
    <row r="2432" spans="2:8" x14ac:dyDescent="0.3">
      <c r="B2432" s="58">
        <f>'DATA HISTORICAL'!$B3077</f>
        <v>42331</v>
      </c>
      <c r="C2432" s="60">
        <f>'DATA HISTORICAL'!$C3077</f>
        <v>2800.1</v>
      </c>
      <c r="D2432" s="53">
        <f t="shared" si="74"/>
        <v>8.4819975755694756E-3</v>
      </c>
      <c r="E2432" s="53">
        <v>8.6875587220143773E-4</v>
      </c>
      <c r="G2432" s="90">
        <v>2424</v>
      </c>
      <c r="H2432" s="90">
        <f t="shared" ca="1" si="75"/>
        <v>1.122943696116005E-2</v>
      </c>
    </row>
    <row r="2433" spans="2:8" x14ac:dyDescent="0.3">
      <c r="B2433" s="58">
        <f>'DATA HISTORICAL'!$B3078</f>
        <v>42328</v>
      </c>
      <c r="C2433" s="60">
        <f>'DATA HISTORICAL'!$C3078</f>
        <v>2776.45</v>
      </c>
      <c r="D2433" s="53">
        <f t="shared" si="74"/>
        <v>8.0461139426748138E-3</v>
      </c>
      <c r="E2433" s="53">
        <v>8.6658246982953581E-4</v>
      </c>
      <c r="G2433" s="90">
        <v>2425</v>
      </c>
      <c r="H2433" s="90">
        <f t="shared" ca="1" si="75"/>
        <v>-4.323202578536421E-3</v>
      </c>
    </row>
    <row r="2434" spans="2:8" x14ac:dyDescent="0.3">
      <c r="B2434" s="58">
        <f>'DATA HISTORICAL'!$B3079</f>
        <v>42327</v>
      </c>
      <c r="C2434" s="60">
        <f>'DATA HISTORICAL'!$C3079</f>
        <v>2754.2</v>
      </c>
      <c r="D2434" s="53">
        <f t="shared" si="74"/>
        <v>7.0138651397021875E-3</v>
      </c>
      <c r="E2434" s="53">
        <v>8.5611208066289327E-4</v>
      </c>
      <c r="G2434" s="90">
        <v>2426</v>
      </c>
      <c r="H2434" s="90">
        <f t="shared" ca="1" si="75"/>
        <v>-5.0931312645024181E-3</v>
      </c>
    </row>
    <row r="2435" spans="2:8" x14ac:dyDescent="0.3">
      <c r="B2435" s="58">
        <f>'DATA HISTORICAL'!$B3080</f>
        <v>42326</v>
      </c>
      <c r="C2435" s="60">
        <f>'DATA HISTORICAL'!$C3080</f>
        <v>2734.95</v>
      </c>
      <c r="D2435" s="53">
        <f t="shared" si="74"/>
        <v>-1.589259137080967E-3</v>
      </c>
      <c r="E2435" s="53">
        <v>8.556291040977789E-4</v>
      </c>
      <c r="G2435" s="90">
        <v>2427</v>
      </c>
      <c r="H2435" s="90">
        <f t="shared" ca="1" si="75"/>
        <v>1.4213214276710098E-2</v>
      </c>
    </row>
    <row r="2436" spans="2:8" x14ac:dyDescent="0.3">
      <c r="B2436" s="58">
        <f>'DATA HISTORICAL'!$B3081</f>
        <v>42325</v>
      </c>
      <c r="C2436" s="60">
        <f>'DATA HISTORICAL'!$C3081</f>
        <v>2739.3</v>
      </c>
      <c r="D2436" s="53">
        <f t="shared" si="74"/>
        <v>1.4064571476863248E-3</v>
      </c>
      <c r="E2436" s="53">
        <v>8.5398277941050628E-4</v>
      </c>
      <c r="G2436" s="90">
        <v>2428</v>
      </c>
      <c r="H2436" s="90">
        <f t="shared" ca="1" si="75"/>
        <v>-5.8696554975269455E-3</v>
      </c>
    </row>
    <row r="2437" spans="2:8" x14ac:dyDescent="0.3">
      <c r="B2437" s="58">
        <f>'DATA HISTORICAL'!$B3082</f>
        <v>42324</v>
      </c>
      <c r="C2437" s="60">
        <f>'DATA HISTORICAL'!$C3082</f>
        <v>2735.45</v>
      </c>
      <c r="D2437" s="53">
        <f t="shared" si="74"/>
        <v>2.0218001713186967E-2</v>
      </c>
      <c r="E2437" s="53">
        <v>8.5070188031282853E-4</v>
      </c>
      <c r="G2437" s="90">
        <v>2429</v>
      </c>
      <c r="H2437" s="90">
        <f t="shared" ca="1" si="75"/>
        <v>-5.6495333904370481E-3</v>
      </c>
    </row>
    <row r="2438" spans="2:8" x14ac:dyDescent="0.3">
      <c r="B2438" s="58">
        <f>'DATA HISTORICAL'!$B3083</f>
        <v>42321</v>
      </c>
      <c r="C2438" s="60">
        <f>'DATA HISTORICAL'!$C3083</f>
        <v>2680.7</v>
      </c>
      <c r="D2438" s="53">
        <f t="shared" si="74"/>
        <v>-1.2603495595666174E-2</v>
      </c>
      <c r="E2438" s="53">
        <v>8.4912018687762945E-4</v>
      </c>
      <c r="G2438" s="90">
        <v>2430</v>
      </c>
      <c r="H2438" s="90">
        <f t="shared" ca="1" si="75"/>
        <v>-1.2728850373680267E-2</v>
      </c>
    </row>
    <row r="2439" spans="2:8" x14ac:dyDescent="0.3">
      <c r="B2439" s="58">
        <f>'DATA HISTORICAL'!$B3084</f>
        <v>42319</v>
      </c>
      <c r="C2439" s="60">
        <f>'DATA HISTORICAL'!$C3084</f>
        <v>2714.7</v>
      </c>
      <c r="D2439" s="53">
        <f t="shared" si="74"/>
        <v>4.3931773471776181E-3</v>
      </c>
      <c r="E2439" s="53">
        <v>8.3577104739615711E-4</v>
      </c>
      <c r="G2439" s="90">
        <v>2431</v>
      </c>
      <c r="H2439" s="90">
        <f t="shared" ca="1" si="75"/>
        <v>4.6692617579953809E-3</v>
      </c>
    </row>
    <row r="2440" spans="2:8" x14ac:dyDescent="0.3">
      <c r="B2440" s="58">
        <f>'DATA HISTORICAL'!$B3085</f>
        <v>42318</v>
      </c>
      <c r="C2440" s="60">
        <f>'DATA HISTORICAL'!$C3085</f>
        <v>2702.8</v>
      </c>
      <c r="D2440" s="53">
        <f t="shared" si="74"/>
        <v>-1.9274349932479066E-2</v>
      </c>
      <c r="E2440" s="53">
        <v>8.3509424968813202E-4</v>
      </c>
      <c r="G2440" s="90">
        <v>2432</v>
      </c>
      <c r="H2440" s="90">
        <f t="shared" ca="1" si="75"/>
        <v>-1.5228163171659748E-2</v>
      </c>
    </row>
    <row r="2441" spans="2:8" x14ac:dyDescent="0.3">
      <c r="B2441" s="58">
        <f>'DATA HISTORICAL'!$B3086</f>
        <v>42317</v>
      </c>
      <c r="C2441" s="60">
        <f>'DATA HISTORICAL'!$C3086</f>
        <v>2755.4</v>
      </c>
      <c r="D2441" s="53">
        <f t="shared" ref="D2441:D2504" si="76">LN(C2441/C2442)</f>
        <v>-1.3678969766832498E-2</v>
      </c>
      <c r="E2441" s="53">
        <v>8.3256416457851081E-4</v>
      </c>
      <c r="G2441" s="90">
        <v>2433</v>
      </c>
      <c r="H2441" s="90">
        <f t="shared" ref="H2441:H2504" ca="1" si="77">_xlfn.NORM.INV(RAND(),N$10,N$11)</f>
        <v>-2.7553904128837107E-3</v>
      </c>
    </row>
    <row r="2442" spans="2:8" x14ac:dyDescent="0.3">
      <c r="B2442" s="58">
        <f>'DATA HISTORICAL'!$B3087</f>
        <v>42314</v>
      </c>
      <c r="C2442" s="60">
        <f>'DATA HISTORICAL'!$C3087</f>
        <v>2793.35</v>
      </c>
      <c r="D2442" s="53">
        <f t="shared" si="76"/>
        <v>-1.4765070793794702E-2</v>
      </c>
      <c r="E2442" s="53">
        <v>8.2371157711514428E-4</v>
      </c>
      <c r="G2442" s="90">
        <v>2434</v>
      </c>
      <c r="H2442" s="90">
        <f t="shared" ca="1" si="77"/>
        <v>1.233215181031525E-3</v>
      </c>
    </row>
    <row r="2443" spans="2:8" x14ac:dyDescent="0.3">
      <c r="B2443" s="58">
        <f>'DATA HISTORICAL'!$B3088</f>
        <v>42313</v>
      </c>
      <c r="C2443" s="60">
        <f>'DATA HISTORICAL'!$C3088</f>
        <v>2834.9</v>
      </c>
      <c r="D2443" s="53">
        <f t="shared" si="76"/>
        <v>-1.9872482422900097E-2</v>
      </c>
      <c r="E2443" s="53">
        <v>8.2317268554121749E-4</v>
      </c>
      <c r="G2443" s="90">
        <v>2435</v>
      </c>
      <c r="H2443" s="90">
        <f t="shared" ca="1" si="77"/>
        <v>4.0914025604441226E-2</v>
      </c>
    </row>
    <row r="2444" spans="2:8" x14ac:dyDescent="0.3">
      <c r="B2444" s="58">
        <f>'DATA HISTORICAL'!$B3089</f>
        <v>42312</v>
      </c>
      <c r="C2444" s="60">
        <f>'DATA HISTORICAL'!$C3089</f>
        <v>2891.8</v>
      </c>
      <c r="D2444" s="53">
        <f t="shared" si="76"/>
        <v>-1.1586260634264815E-2</v>
      </c>
      <c r="E2444" s="53">
        <v>8.2167022781775504E-4</v>
      </c>
      <c r="G2444" s="90">
        <v>2436</v>
      </c>
      <c r="H2444" s="90">
        <f t="shared" ca="1" si="77"/>
        <v>1.2902132586899977E-2</v>
      </c>
    </row>
    <row r="2445" spans="2:8" x14ac:dyDescent="0.3">
      <c r="B2445" s="58">
        <f>'DATA HISTORICAL'!$B3090</f>
        <v>42311</v>
      </c>
      <c r="C2445" s="60">
        <f>'DATA HISTORICAL'!$C3090</f>
        <v>2925.5</v>
      </c>
      <c r="D2445" s="53">
        <f t="shared" si="76"/>
        <v>-7.5172558723427094E-4</v>
      </c>
      <c r="E2445" s="53">
        <v>8.2058019621127228E-4</v>
      </c>
      <c r="G2445" s="90">
        <v>2437</v>
      </c>
      <c r="H2445" s="90">
        <f t="shared" ca="1" si="77"/>
        <v>-1.5717724356812606E-2</v>
      </c>
    </row>
    <row r="2446" spans="2:8" x14ac:dyDescent="0.3">
      <c r="B2446" s="58">
        <f>'DATA HISTORICAL'!$B3091</f>
        <v>42310</v>
      </c>
      <c r="C2446" s="60">
        <f>'DATA HISTORICAL'!$C3091</f>
        <v>2927.7</v>
      </c>
      <c r="D2446" s="53">
        <f t="shared" si="76"/>
        <v>1.4311022047357576E-2</v>
      </c>
      <c r="E2446" s="53">
        <v>8.1853065310533721E-4</v>
      </c>
      <c r="G2446" s="90">
        <v>2438</v>
      </c>
      <c r="H2446" s="90">
        <f t="shared" ca="1" si="77"/>
        <v>9.6567195244825973E-3</v>
      </c>
    </row>
    <row r="2447" spans="2:8" x14ac:dyDescent="0.3">
      <c r="B2447" s="58">
        <f>'DATA HISTORICAL'!$B3092</f>
        <v>42307</v>
      </c>
      <c r="C2447" s="60">
        <f>'DATA HISTORICAL'!$C3092</f>
        <v>2886.1</v>
      </c>
      <c r="D2447" s="53">
        <f t="shared" si="76"/>
        <v>-9.8950970279595724E-3</v>
      </c>
      <c r="E2447" s="53">
        <v>8.146402940995823E-4</v>
      </c>
      <c r="G2447" s="90">
        <v>2439</v>
      </c>
      <c r="H2447" s="90">
        <f t="shared" ca="1" si="77"/>
        <v>9.9828518293112768E-3</v>
      </c>
    </row>
    <row r="2448" spans="2:8" x14ac:dyDescent="0.3">
      <c r="B2448" s="58">
        <f>'DATA HISTORICAL'!$B3093</f>
        <v>42306</v>
      </c>
      <c r="C2448" s="60">
        <f>'DATA HISTORICAL'!$C3093</f>
        <v>2914.8</v>
      </c>
      <c r="D2448" s="53">
        <f t="shared" si="76"/>
        <v>7.9047710825396137E-3</v>
      </c>
      <c r="E2448" s="53">
        <v>8.1438565191429971E-4</v>
      </c>
      <c r="G2448" s="90">
        <v>2440</v>
      </c>
      <c r="H2448" s="90">
        <f t="shared" ca="1" si="77"/>
        <v>-1.8800750153334982E-2</v>
      </c>
    </row>
    <row r="2449" spans="2:8" x14ac:dyDescent="0.3">
      <c r="B2449" s="58">
        <f>'DATA HISTORICAL'!$B3094</f>
        <v>42305</v>
      </c>
      <c r="C2449" s="60">
        <f>'DATA HISTORICAL'!$C3094</f>
        <v>2891.85</v>
      </c>
      <c r="D2449" s="53">
        <f t="shared" si="76"/>
        <v>-6.1363633042539247E-3</v>
      </c>
      <c r="E2449" s="53">
        <v>8.0644502029463396E-4</v>
      </c>
      <c r="G2449" s="90">
        <v>2441</v>
      </c>
      <c r="H2449" s="90">
        <f t="shared" ca="1" si="77"/>
        <v>7.5558117697817982E-3</v>
      </c>
    </row>
    <row r="2450" spans="2:8" x14ac:dyDescent="0.3">
      <c r="B2450" s="58">
        <f>'DATA HISTORICAL'!$B3095</f>
        <v>42304</v>
      </c>
      <c r="C2450" s="60">
        <f>'DATA HISTORICAL'!$C3095</f>
        <v>2909.65</v>
      </c>
      <c r="D2450" s="53">
        <f t="shared" si="76"/>
        <v>2.2434582690249585E-2</v>
      </c>
      <c r="E2450" s="53">
        <v>8.0314447531205186E-4</v>
      </c>
      <c r="G2450" s="90">
        <v>2442</v>
      </c>
      <c r="H2450" s="90">
        <f t="shared" ca="1" si="77"/>
        <v>3.5475417233250747E-2</v>
      </c>
    </row>
    <row r="2451" spans="2:8" x14ac:dyDescent="0.3">
      <c r="B2451" s="58">
        <f>'DATA HISTORICAL'!$B3096</f>
        <v>42303</v>
      </c>
      <c r="C2451" s="60">
        <f>'DATA HISTORICAL'!$C3096</f>
        <v>2845.1</v>
      </c>
      <c r="D2451" s="53">
        <f t="shared" si="76"/>
        <v>-1.9457288793812106E-2</v>
      </c>
      <c r="E2451" s="53">
        <v>7.9261373871741282E-4</v>
      </c>
      <c r="G2451" s="90">
        <v>2443</v>
      </c>
      <c r="H2451" s="90">
        <f t="shared" ca="1" si="77"/>
        <v>1.457935914266012E-2</v>
      </c>
    </row>
    <row r="2452" spans="2:8" x14ac:dyDescent="0.3">
      <c r="B2452" s="58">
        <f>'DATA HISTORICAL'!$B3097</f>
        <v>42300</v>
      </c>
      <c r="C2452" s="60">
        <f>'DATA HISTORICAL'!$C3097</f>
        <v>2901</v>
      </c>
      <c r="D2452" s="53">
        <f t="shared" si="76"/>
        <v>1.466086244232332E-3</v>
      </c>
      <c r="E2452" s="53">
        <v>7.8079980170975272E-4</v>
      </c>
      <c r="G2452" s="90">
        <v>2444</v>
      </c>
      <c r="H2452" s="90">
        <f t="shared" ca="1" si="77"/>
        <v>1.9996575626580089E-2</v>
      </c>
    </row>
    <row r="2453" spans="2:8" x14ac:dyDescent="0.3">
      <c r="B2453" s="58">
        <f>'DATA HISTORICAL'!$B3098</f>
        <v>42298</v>
      </c>
      <c r="C2453" s="60">
        <f>'DATA HISTORICAL'!$C3098</f>
        <v>2896.75</v>
      </c>
      <c r="D2453" s="53">
        <f t="shared" si="76"/>
        <v>-7.6859306977801849E-3</v>
      </c>
      <c r="E2453" s="53">
        <v>7.7848883686277269E-4</v>
      </c>
      <c r="G2453" s="90">
        <v>2445</v>
      </c>
      <c r="H2453" s="90">
        <f t="shared" ca="1" si="77"/>
        <v>-2.2656347442640223E-2</v>
      </c>
    </row>
    <row r="2454" spans="2:8" x14ac:dyDescent="0.3">
      <c r="B2454" s="58">
        <f>'DATA HISTORICAL'!$B3099</f>
        <v>42297</v>
      </c>
      <c r="C2454" s="60">
        <f>'DATA HISTORICAL'!$C3099</f>
        <v>2919.1</v>
      </c>
      <c r="D2454" s="53">
        <f t="shared" si="76"/>
        <v>6.9439949015793348E-3</v>
      </c>
      <c r="E2454" s="53">
        <v>7.7793497558360227E-4</v>
      </c>
      <c r="G2454" s="90">
        <v>2446</v>
      </c>
      <c r="H2454" s="90">
        <f t="shared" ca="1" si="77"/>
        <v>7.5777899009325149E-3</v>
      </c>
    </row>
    <row r="2455" spans="2:8" x14ac:dyDescent="0.3">
      <c r="B2455" s="58">
        <f>'DATA HISTORICAL'!$B3100</f>
        <v>42296</v>
      </c>
      <c r="C2455" s="60">
        <f>'DATA HISTORICAL'!$C3100</f>
        <v>2898.9</v>
      </c>
      <c r="D2455" s="53">
        <f t="shared" si="76"/>
        <v>-1.9048845835449652E-2</v>
      </c>
      <c r="E2455" s="53">
        <v>7.7175384883953156E-4</v>
      </c>
      <c r="G2455" s="90">
        <v>2447</v>
      </c>
      <c r="H2455" s="90">
        <f t="shared" ca="1" si="77"/>
        <v>-1.4328954317333852E-3</v>
      </c>
    </row>
    <row r="2456" spans="2:8" x14ac:dyDescent="0.3">
      <c r="B2456" s="58">
        <f>'DATA HISTORICAL'!$B3101</f>
        <v>42293</v>
      </c>
      <c r="C2456" s="60">
        <f>'DATA HISTORICAL'!$C3101</f>
        <v>2954.65</v>
      </c>
      <c r="D2456" s="53">
        <f t="shared" si="76"/>
        <v>2.6943003920308632E-3</v>
      </c>
      <c r="E2456" s="53">
        <v>7.714447167741429E-4</v>
      </c>
      <c r="G2456" s="90">
        <v>2448</v>
      </c>
      <c r="H2456" s="90">
        <f t="shared" ca="1" si="77"/>
        <v>-1.288860424697974E-2</v>
      </c>
    </row>
    <row r="2457" spans="2:8" x14ac:dyDescent="0.3">
      <c r="B2457" s="58">
        <f>'DATA HISTORICAL'!$B3102</f>
        <v>42292</v>
      </c>
      <c r="C2457" s="60">
        <f>'DATA HISTORICAL'!$C3102</f>
        <v>2946.7</v>
      </c>
      <c r="D2457" s="53">
        <f t="shared" si="76"/>
        <v>1.3701886924721221E-2</v>
      </c>
      <c r="E2457" s="53">
        <v>7.6002481547491544E-4</v>
      </c>
      <c r="G2457" s="90">
        <v>2449</v>
      </c>
      <c r="H2457" s="90">
        <f t="shared" ca="1" si="77"/>
        <v>-9.9697395962267329E-3</v>
      </c>
    </row>
    <row r="2458" spans="2:8" x14ac:dyDescent="0.3">
      <c r="B2458" s="58">
        <f>'DATA HISTORICAL'!$B3103</f>
        <v>42291</v>
      </c>
      <c r="C2458" s="60">
        <f>'DATA HISTORICAL'!$C3103</f>
        <v>2906.6</v>
      </c>
      <c r="D2458" s="53">
        <f t="shared" si="76"/>
        <v>-1.3760836680586403E-4</v>
      </c>
      <c r="E2458" s="53">
        <v>7.581066077141605E-4</v>
      </c>
      <c r="G2458" s="90">
        <v>2450</v>
      </c>
      <c r="H2458" s="90">
        <f t="shared" ca="1" si="77"/>
        <v>-6.6195863524181947E-3</v>
      </c>
    </row>
    <row r="2459" spans="2:8" x14ac:dyDescent="0.3">
      <c r="B2459" s="58">
        <f>'DATA HISTORICAL'!$B3104</f>
        <v>42290</v>
      </c>
      <c r="C2459" s="60">
        <f>'DATA HISTORICAL'!$C3104</f>
        <v>2907</v>
      </c>
      <c r="D2459" s="53">
        <f t="shared" si="76"/>
        <v>2.1646431321757961E-2</v>
      </c>
      <c r="E2459" s="53">
        <v>7.5271336365106815E-4</v>
      </c>
      <c r="G2459" s="90">
        <v>2451</v>
      </c>
      <c r="H2459" s="90">
        <f t="shared" ca="1" si="77"/>
        <v>1.1519275413437183E-2</v>
      </c>
    </row>
    <row r="2460" spans="2:8" x14ac:dyDescent="0.3">
      <c r="B2460" s="58">
        <f>'DATA HISTORICAL'!$B3105</f>
        <v>42289</v>
      </c>
      <c r="C2460" s="60">
        <f>'DATA HISTORICAL'!$C3105</f>
        <v>2844.75</v>
      </c>
      <c r="D2460" s="53">
        <f t="shared" si="76"/>
        <v>9.1816659861295793E-3</v>
      </c>
      <c r="E2460" s="53">
        <v>7.4126874384988707E-4</v>
      </c>
      <c r="G2460" s="90">
        <v>2452</v>
      </c>
      <c r="H2460" s="90">
        <f t="shared" ca="1" si="77"/>
        <v>-1.975333734361677E-2</v>
      </c>
    </row>
    <row r="2461" spans="2:8" x14ac:dyDescent="0.3">
      <c r="B2461" s="58">
        <f>'DATA HISTORICAL'!$B3106</f>
        <v>42286</v>
      </c>
      <c r="C2461" s="60">
        <f>'DATA HISTORICAL'!$C3106</f>
        <v>2818.75</v>
      </c>
      <c r="D2461" s="53">
        <f t="shared" si="76"/>
        <v>3.9032006740671843E-4</v>
      </c>
      <c r="E2461" s="53">
        <v>7.4071464710785771E-4</v>
      </c>
      <c r="G2461" s="90">
        <v>2453</v>
      </c>
      <c r="H2461" s="90">
        <f t="shared" ca="1" si="77"/>
        <v>-2.6066227097580044E-3</v>
      </c>
    </row>
    <row r="2462" spans="2:8" x14ac:dyDescent="0.3">
      <c r="B2462" s="58">
        <f>'DATA HISTORICAL'!$B3107</f>
        <v>42285</v>
      </c>
      <c r="C2462" s="60">
        <f>'DATA HISTORICAL'!$C3107</f>
        <v>2817.65</v>
      </c>
      <c r="D2462" s="53">
        <f t="shared" si="76"/>
        <v>2.3030374481045609E-2</v>
      </c>
      <c r="E2462" s="53">
        <v>7.337319466277489E-4</v>
      </c>
      <c r="G2462" s="90">
        <v>2454</v>
      </c>
      <c r="H2462" s="90">
        <f t="shared" ca="1" si="77"/>
        <v>1.7438415392028062E-2</v>
      </c>
    </row>
    <row r="2463" spans="2:8" x14ac:dyDescent="0.3">
      <c r="B2463" s="58">
        <f>'DATA HISTORICAL'!$B3108</f>
        <v>42284</v>
      </c>
      <c r="C2463" s="60">
        <f>'DATA HISTORICAL'!$C3108</f>
        <v>2753.5</v>
      </c>
      <c r="D2463" s="53">
        <f t="shared" si="76"/>
        <v>-5.1799510892937368E-3</v>
      </c>
      <c r="E2463" s="53">
        <v>7.2477169167549133E-4</v>
      </c>
      <c r="G2463" s="90">
        <v>2455</v>
      </c>
      <c r="H2463" s="90">
        <f t="shared" ca="1" si="77"/>
        <v>-3.2715227859292095E-2</v>
      </c>
    </row>
    <row r="2464" spans="2:8" x14ac:dyDescent="0.3">
      <c r="B2464" s="58">
        <f>'DATA HISTORICAL'!$B3109</f>
        <v>42283</v>
      </c>
      <c r="C2464" s="60">
        <f>'DATA HISTORICAL'!$C3109</f>
        <v>2767.8</v>
      </c>
      <c r="D2464" s="53">
        <f t="shared" si="76"/>
        <v>-1.7424445855625203E-2</v>
      </c>
      <c r="E2464" s="53">
        <v>7.0480054989869581E-4</v>
      </c>
      <c r="G2464" s="90">
        <v>2456</v>
      </c>
      <c r="H2464" s="90">
        <f t="shared" ca="1" si="77"/>
        <v>-8.656342276443036E-3</v>
      </c>
    </row>
    <row r="2465" spans="2:8" x14ac:dyDescent="0.3">
      <c r="B2465" s="58">
        <f>'DATA HISTORICAL'!$B3110</f>
        <v>42282</v>
      </c>
      <c r="C2465" s="60">
        <f>'DATA HISTORICAL'!$C3110</f>
        <v>2816.45</v>
      </c>
      <c r="D2465" s="53">
        <f t="shared" si="76"/>
        <v>1.538519407742257E-2</v>
      </c>
      <c r="E2465" s="53">
        <v>6.9759333139400115E-4</v>
      </c>
      <c r="G2465" s="90">
        <v>2457</v>
      </c>
      <c r="H2465" s="90">
        <f t="shared" ca="1" si="77"/>
        <v>-7.456951898679543E-3</v>
      </c>
    </row>
    <row r="2466" spans="2:8" x14ac:dyDescent="0.3">
      <c r="B2466" s="58">
        <f>'DATA HISTORICAL'!$B3111</f>
        <v>42278</v>
      </c>
      <c r="C2466" s="60">
        <f>'DATA HISTORICAL'!$C3111</f>
        <v>2773.45</v>
      </c>
      <c r="D2466" s="53">
        <f t="shared" si="76"/>
        <v>3.6740962032659717E-2</v>
      </c>
      <c r="E2466" s="53">
        <v>6.9408297077617836E-4</v>
      </c>
      <c r="G2466" s="90">
        <v>2458</v>
      </c>
      <c r="H2466" s="90">
        <f t="shared" ca="1" si="77"/>
        <v>1.3605961033735254E-2</v>
      </c>
    </row>
    <row r="2467" spans="2:8" x14ac:dyDescent="0.3">
      <c r="B2467" s="58">
        <f>'DATA HISTORICAL'!$B3112</f>
        <v>42277</v>
      </c>
      <c r="C2467" s="60">
        <f>'DATA HISTORICAL'!$C3112</f>
        <v>2673.4</v>
      </c>
      <c r="D2467" s="53">
        <f t="shared" si="76"/>
        <v>-1.3763602211839409E-2</v>
      </c>
      <c r="E2467" s="53">
        <v>6.8838576263452239E-4</v>
      </c>
      <c r="G2467" s="90">
        <v>2459</v>
      </c>
      <c r="H2467" s="90">
        <f t="shared" ca="1" si="77"/>
        <v>1.8297928758807803E-2</v>
      </c>
    </row>
    <row r="2468" spans="2:8" x14ac:dyDescent="0.3">
      <c r="B2468" s="58">
        <f>'DATA HISTORICAL'!$B3113</f>
        <v>42276</v>
      </c>
      <c r="C2468" s="60">
        <f>'DATA HISTORICAL'!$C3113</f>
        <v>2710.45</v>
      </c>
      <c r="D2468" s="53">
        <f t="shared" si="76"/>
        <v>-2.7080567371850343E-3</v>
      </c>
      <c r="E2468" s="53">
        <v>6.8634882124597361E-4</v>
      </c>
      <c r="G2468" s="90">
        <v>2460</v>
      </c>
      <c r="H2468" s="90">
        <f t="shared" ca="1" si="77"/>
        <v>5.8636244041732856E-3</v>
      </c>
    </row>
    <row r="2469" spans="2:8" x14ac:dyDescent="0.3">
      <c r="B2469" s="58">
        <f>'DATA HISTORICAL'!$B3114</f>
        <v>42275</v>
      </c>
      <c r="C2469" s="60">
        <f>'DATA HISTORICAL'!$C3114</f>
        <v>2717.8</v>
      </c>
      <c r="D2469" s="53">
        <f t="shared" si="76"/>
        <v>-3.3753136316013711E-2</v>
      </c>
      <c r="E2469" s="53">
        <v>6.613296447086968E-4</v>
      </c>
      <c r="G2469" s="90">
        <v>2461</v>
      </c>
      <c r="H2469" s="90">
        <f t="shared" ca="1" si="77"/>
        <v>2.103340206827628E-2</v>
      </c>
    </row>
    <row r="2470" spans="2:8" x14ac:dyDescent="0.3">
      <c r="B2470" s="58">
        <f>'DATA HISTORICAL'!$B3115</f>
        <v>42271</v>
      </c>
      <c r="C2470" s="60">
        <f>'DATA HISTORICAL'!$C3115</f>
        <v>2811.1</v>
      </c>
      <c r="D2470" s="53">
        <f t="shared" si="76"/>
        <v>1.0046383276520101E-2</v>
      </c>
      <c r="E2470" s="53">
        <v>6.5889417981239667E-4</v>
      </c>
      <c r="G2470" s="90">
        <v>2462</v>
      </c>
      <c r="H2470" s="90">
        <f t="shared" ca="1" si="77"/>
        <v>3.0086422271941058E-2</v>
      </c>
    </row>
    <row r="2471" spans="2:8" x14ac:dyDescent="0.3">
      <c r="B2471" s="58">
        <f>'DATA HISTORICAL'!$B3116</f>
        <v>42270</v>
      </c>
      <c r="C2471" s="60">
        <f>'DATA HISTORICAL'!$C3116</f>
        <v>2783</v>
      </c>
      <c r="D2471" s="53">
        <f t="shared" si="76"/>
        <v>-9.121050446596609E-3</v>
      </c>
      <c r="E2471" s="53">
        <v>6.5369189669912421E-4</v>
      </c>
      <c r="G2471" s="90">
        <v>2463</v>
      </c>
      <c r="H2471" s="90">
        <f t="shared" ca="1" si="77"/>
        <v>-3.8294662318772162E-2</v>
      </c>
    </row>
    <row r="2472" spans="2:8" x14ac:dyDescent="0.3">
      <c r="B2472" s="58">
        <f>'DATA HISTORICAL'!$B3117</f>
        <v>42269</v>
      </c>
      <c r="C2472" s="60">
        <f>'DATA HISTORICAL'!$C3117</f>
        <v>2808.5</v>
      </c>
      <c r="D2472" s="53">
        <f t="shared" si="76"/>
        <v>-3.4195852914108059E-2</v>
      </c>
      <c r="E2472" s="53">
        <v>6.4545875915407122E-4</v>
      </c>
      <c r="G2472" s="90">
        <v>2464</v>
      </c>
      <c r="H2472" s="90">
        <f t="shared" ca="1" si="77"/>
        <v>-3.5070362025586667E-3</v>
      </c>
    </row>
    <row r="2473" spans="2:8" x14ac:dyDescent="0.3">
      <c r="B2473" s="58">
        <f>'DATA HISTORICAL'!$B3118</f>
        <v>42268</v>
      </c>
      <c r="C2473" s="60">
        <f>'DATA HISTORICAL'!$C3118</f>
        <v>2906.2</v>
      </c>
      <c r="D2473" s="53">
        <f t="shared" si="76"/>
        <v>-1.0865673322562644E-2</v>
      </c>
      <c r="E2473" s="53">
        <v>6.4235637318994375E-4</v>
      </c>
      <c r="G2473" s="90">
        <v>2465</v>
      </c>
      <c r="H2473" s="90">
        <f t="shared" ca="1" si="77"/>
        <v>-3.3300941261302985E-3</v>
      </c>
    </row>
    <row r="2474" spans="2:8" x14ac:dyDescent="0.3">
      <c r="B2474" s="58">
        <f>'DATA HISTORICAL'!$B3119</f>
        <v>42265</v>
      </c>
      <c r="C2474" s="60">
        <f>'DATA HISTORICAL'!$C3119</f>
        <v>2937.95</v>
      </c>
      <c r="D2474" s="53">
        <f t="shared" si="76"/>
        <v>1.3794632499926993E-3</v>
      </c>
      <c r="E2474" s="53">
        <v>6.4192579937517597E-4</v>
      </c>
      <c r="G2474" s="90">
        <v>2466</v>
      </c>
      <c r="H2474" s="90">
        <f t="shared" ca="1" si="77"/>
        <v>-4.4621108194608334E-3</v>
      </c>
    </row>
    <row r="2475" spans="2:8" x14ac:dyDescent="0.3">
      <c r="B2475" s="58">
        <f>'DATA HISTORICAL'!$B3120</f>
        <v>42263</v>
      </c>
      <c r="C2475" s="60">
        <f>'DATA HISTORICAL'!$C3120</f>
        <v>2933.9</v>
      </c>
      <c r="D2475" s="53">
        <f t="shared" si="76"/>
        <v>3.5510673434401368E-3</v>
      </c>
      <c r="E2475" s="53">
        <v>6.3509347081148169E-4</v>
      </c>
      <c r="G2475" s="90">
        <v>2467</v>
      </c>
      <c r="H2475" s="90">
        <f t="shared" ca="1" si="77"/>
        <v>1.5917385098519529E-3</v>
      </c>
    </row>
    <row r="2476" spans="2:8" x14ac:dyDescent="0.3">
      <c r="B2476" s="58">
        <f>'DATA HISTORICAL'!$B3121</f>
        <v>42262</v>
      </c>
      <c r="C2476" s="60">
        <f>'DATA HISTORICAL'!$C3121</f>
        <v>2923.5</v>
      </c>
      <c r="D2476" s="53">
        <f t="shared" si="76"/>
        <v>-8.6846011995510928E-3</v>
      </c>
      <c r="E2476" s="53">
        <v>6.2676279080911058E-4</v>
      </c>
      <c r="G2476" s="90">
        <v>2468</v>
      </c>
      <c r="H2476" s="90">
        <f t="shared" ca="1" si="77"/>
        <v>6.403109687418777E-3</v>
      </c>
    </row>
    <row r="2477" spans="2:8" x14ac:dyDescent="0.3">
      <c r="B2477" s="58">
        <f>'DATA HISTORICAL'!$B3122</f>
        <v>42261</v>
      </c>
      <c r="C2477" s="60">
        <f>'DATA HISTORICAL'!$C3122</f>
        <v>2949</v>
      </c>
      <c r="D2477" s="53">
        <f t="shared" si="76"/>
        <v>2.3085289991648114E-3</v>
      </c>
      <c r="E2477" s="53">
        <v>6.2523297976384371E-4</v>
      </c>
      <c r="G2477" s="90">
        <v>2469</v>
      </c>
      <c r="H2477" s="90">
        <f t="shared" ca="1" si="77"/>
        <v>2.4580655392858156E-2</v>
      </c>
    </row>
    <row r="2478" spans="2:8" x14ac:dyDescent="0.3">
      <c r="B2478" s="58">
        <f>'DATA HISTORICAL'!$B3123</f>
        <v>42258</v>
      </c>
      <c r="C2478" s="60">
        <f>'DATA HISTORICAL'!$C3123</f>
        <v>2942.2</v>
      </c>
      <c r="D2478" s="53">
        <f t="shared" si="76"/>
        <v>-7.5170502610924202E-3</v>
      </c>
      <c r="E2478" s="53">
        <v>6.1950360889373153E-4</v>
      </c>
      <c r="G2478" s="90">
        <v>2470</v>
      </c>
      <c r="H2478" s="90">
        <f t="shared" ca="1" si="77"/>
        <v>1.0043270427668446E-2</v>
      </c>
    </row>
    <row r="2479" spans="2:8" x14ac:dyDescent="0.3">
      <c r="B2479" s="58">
        <f>'DATA HISTORICAL'!$B3124</f>
        <v>42257</v>
      </c>
      <c r="C2479" s="60">
        <f>'DATA HISTORICAL'!$C3124</f>
        <v>2964.4</v>
      </c>
      <c r="D2479" s="53">
        <f t="shared" si="76"/>
        <v>-6.9250957494986394E-3</v>
      </c>
      <c r="E2479" s="53">
        <v>6.1630245143681024E-4</v>
      </c>
      <c r="G2479" s="90">
        <v>2471</v>
      </c>
      <c r="H2479" s="90">
        <f t="shared" ca="1" si="77"/>
        <v>1.7135866547489564E-2</v>
      </c>
    </row>
    <row r="2480" spans="2:8" x14ac:dyDescent="0.3">
      <c r="B2480" s="58">
        <f>'DATA HISTORICAL'!$B3125</f>
        <v>42256</v>
      </c>
      <c r="C2480" s="60">
        <f>'DATA HISTORICAL'!$C3125</f>
        <v>2985</v>
      </c>
      <c r="D2480" s="53">
        <f t="shared" si="76"/>
        <v>3.4456202086822284E-2</v>
      </c>
      <c r="E2480" s="53">
        <v>5.9818084438176429E-4</v>
      </c>
      <c r="G2480" s="90">
        <v>2472</v>
      </c>
      <c r="H2480" s="90">
        <f t="shared" ca="1" si="77"/>
        <v>4.7651472760347115E-3</v>
      </c>
    </row>
    <row r="2481" spans="2:8" x14ac:dyDescent="0.3">
      <c r="B2481" s="58">
        <f>'DATA HISTORICAL'!$B3126</f>
        <v>42255</v>
      </c>
      <c r="C2481" s="60">
        <f>'DATA HISTORICAL'!$C3126</f>
        <v>2883.9</v>
      </c>
      <c r="D2481" s="53">
        <f t="shared" si="76"/>
        <v>1.0299398323754688E-2</v>
      </c>
      <c r="E2481" s="53">
        <v>5.9377968603855421E-4</v>
      </c>
      <c r="G2481" s="90">
        <v>2473</v>
      </c>
      <c r="H2481" s="90">
        <f t="shared" ca="1" si="77"/>
        <v>6.0409216845364018E-3</v>
      </c>
    </row>
    <row r="2482" spans="2:8" x14ac:dyDescent="0.3">
      <c r="B2482" s="58">
        <f>'DATA HISTORICAL'!$B3127</f>
        <v>42254</v>
      </c>
      <c r="C2482" s="60">
        <f>'DATA HISTORICAL'!$C3127</f>
        <v>2854.35</v>
      </c>
      <c r="D2482" s="53">
        <f t="shared" si="76"/>
        <v>-2.1059978097377464E-2</v>
      </c>
      <c r="E2482" s="53">
        <v>5.8833913563888934E-4</v>
      </c>
      <c r="G2482" s="90">
        <v>2474</v>
      </c>
      <c r="H2482" s="90">
        <f t="shared" ca="1" si="77"/>
        <v>2.6101044089913889E-2</v>
      </c>
    </row>
    <row r="2483" spans="2:8" x14ac:dyDescent="0.3">
      <c r="B2483" s="58">
        <f>'DATA HISTORICAL'!$B3128</f>
        <v>42251</v>
      </c>
      <c r="C2483" s="60">
        <f>'DATA HISTORICAL'!$C3128</f>
        <v>2915.1</v>
      </c>
      <c r="D2483" s="53">
        <f t="shared" si="76"/>
        <v>-3.0007319868363802E-2</v>
      </c>
      <c r="E2483" s="53">
        <v>5.8546868439194656E-4</v>
      </c>
      <c r="G2483" s="90">
        <v>2475</v>
      </c>
      <c r="H2483" s="90">
        <f t="shared" ca="1" si="77"/>
        <v>-1.9615542496995578E-3</v>
      </c>
    </row>
    <row r="2484" spans="2:8" x14ac:dyDescent="0.3">
      <c r="B2484" s="58">
        <f>'DATA HISTORICAL'!$B3129</f>
        <v>42250</v>
      </c>
      <c r="C2484" s="60">
        <f>'DATA HISTORICAL'!$C3129</f>
        <v>3003.9</v>
      </c>
      <c r="D2484" s="53">
        <f t="shared" si="76"/>
        <v>4.0005334613699206E-2</v>
      </c>
      <c r="E2484" s="53">
        <v>5.8116206370816253E-4</v>
      </c>
      <c r="G2484" s="90">
        <v>2476</v>
      </c>
      <c r="H2484" s="90">
        <f t="shared" ca="1" si="77"/>
        <v>1.4479521799823234E-2</v>
      </c>
    </row>
    <row r="2485" spans="2:8" x14ac:dyDescent="0.3">
      <c r="B2485" s="58">
        <f>'DATA HISTORICAL'!$B3130</f>
        <v>42249</v>
      </c>
      <c r="C2485" s="60">
        <f>'DATA HISTORICAL'!$C3130</f>
        <v>2886.1</v>
      </c>
      <c r="D2485" s="53">
        <f t="shared" si="76"/>
        <v>1.8181683324969347E-2</v>
      </c>
      <c r="E2485" s="53">
        <v>5.7768408065044224E-4</v>
      </c>
      <c r="G2485" s="90">
        <v>2477</v>
      </c>
      <c r="H2485" s="90">
        <f t="shared" ca="1" si="77"/>
        <v>-1.9169106629279939E-2</v>
      </c>
    </row>
    <row r="2486" spans="2:8" x14ac:dyDescent="0.3">
      <c r="B2486" s="58">
        <f>'DATA HISTORICAL'!$B3131</f>
        <v>42248</v>
      </c>
      <c r="C2486" s="60">
        <f>'DATA HISTORICAL'!$C3131</f>
        <v>2834.1</v>
      </c>
      <c r="D2486" s="53">
        <f t="shared" si="76"/>
        <v>-1.9462869116312589E-2</v>
      </c>
      <c r="E2486" s="53">
        <v>5.6885883841755543E-4</v>
      </c>
      <c r="G2486" s="90">
        <v>2478</v>
      </c>
      <c r="H2486" s="90">
        <f t="shared" ca="1" si="77"/>
        <v>3.1471597068240004E-4</v>
      </c>
    </row>
    <row r="2487" spans="2:8" x14ac:dyDescent="0.3">
      <c r="B2487" s="58">
        <f>'DATA HISTORICAL'!$B3132</f>
        <v>42247</v>
      </c>
      <c r="C2487" s="60">
        <f>'DATA HISTORICAL'!$C3132</f>
        <v>2889.8</v>
      </c>
      <c r="D2487" s="53">
        <f t="shared" si="76"/>
        <v>-1.9515572547167875E-2</v>
      </c>
      <c r="E2487" s="53">
        <v>5.6654015452240977E-4</v>
      </c>
      <c r="G2487" s="90">
        <v>2479</v>
      </c>
      <c r="H2487" s="90">
        <f t="shared" ca="1" si="77"/>
        <v>3.3003089916064307E-2</v>
      </c>
    </row>
    <row r="2488" spans="2:8" x14ac:dyDescent="0.3">
      <c r="B2488" s="58">
        <f>'DATA HISTORICAL'!$B3133</f>
        <v>42244</v>
      </c>
      <c r="C2488" s="60">
        <f>'DATA HISTORICAL'!$C3133</f>
        <v>2946.75</v>
      </c>
      <c r="D2488" s="53">
        <f t="shared" si="76"/>
        <v>1.5630127697746608E-2</v>
      </c>
      <c r="E2488" s="53">
        <v>5.6108477859671184E-4</v>
      </c>
      <c r="G2488" s="90">
        <v>2480</v>
      </c>
      <c r="H2488" s="90">
        <f t="shared" ca="1" si="77"/>
        <v>-1.9336381302787198E-2</v>
      </c>
    </row>
    <row r="2489" spans="2:8" x14ac:dyDescent="0.3">
      <c r="B2489" s="58">
        <f>'DATA HISTORICAL'!$B3134</f>
        <v>42243</v>
      </c>
      <c r="C2489" s="60">
        <f>'DATA HISTORICAL'!$C3134</f>
        <v>2901.05</v>
      </c>
      <c r="D2489" s="53">
        <f t="shared" si="76"/>
        <v>-1.3950726925248986E-3</v>
      </c>
      <c r="E2489" s="53">
        <v>5.6041378683550198E-4</v>
      </c>
      <c r="G2489" s="90">
        <v>2481</v>
      </c>
      <c r="H2489" s="90">
        <f t="shared" ca="1" si="77"/>
        <v>3.9642186169593953E-5</v>
      </c>
    </row>
    <row r="2490" spans="2:8" x14ac:dyDescent="0.3">
      <c r="B2490" s="58">
        <f>'DATA HISTORICAL'!$B3135</f>
        <v>42242</v>
      </c>
      <c r="C2490" s="60">
        <f>'DATA HISTORICAL'!$C3135</f>
        <v>2905.1</v>
      </c>
      <c r="D2490" s="53">
        <f t="shared" si="76"/>
        <v>4.4503549207652367E-3</v>
      </c>
      <c r="E2490" s="53">
        <v>5.5993180475661525E-4</v>
      </c>
      <c r="G2490" s="90">
        <v>2482</v>
      </c>
      <c r="H2490" s="90">
        <f t="shared" ca="1" si="77"/>
        <v>6.800497884246668E-3</v>
      </c>
    </row>
    <row r="2491" spans="2:8" x14ac:dyDescent="0.3">
      <c r="B2491" s="58">
        <f>'DATA HISTORICAL'!$B3136</f>
        <v>42241</v>
      </c>
      <c r="C2491" s="60">
        <f>'DATA HISTORICAL'!$C3136</f>
        <v>2892.2</v>
      </c>
      <c r="D2491" s="53">
        <f t="shared" si="76"/>
        <v>1.7456650183864195E-2</v>
      </c>
      <c r="E2491" s="53">
        <v>5.3681416218189816E-4</v>
      </c>
      <c r="G2491" s="90">
        <v>2483</v>
      </c>
      <c r="H2491" s="90">
        <f t="shared" ca="1" si="77"/>
        <v>2.1477166144854166E-3</v>
      </c>
    </row>
    <row r="2492" spans="2:8" x14ac:dyDescent="0.3">
      <c r="B2492" s="58">
        <f>'DATA HISTORICAL'!$B3137</f>
        <v>42240</v>
      </c>
      <c r="C2492" s="60">
        <f>'DATA HISTORICAL'!$C3137</f>
        <v>2842.15</v>
      </c>
      <c r="D2492" s="53">
        <f t="shared" si="76"/>
        <v>-4.4977099377711167E-2</v>
      </c>
      <c r="E2492" s="53">
        <v>5.2562419081387277E-4</v>
      </c>
      <c r="G2492" s="90">
        <v>2484</v>
      </c>
      <c r="H2492" s="90">
        <f t="shared" ca="1" si="77"/>
        <v>-5.4922922323109363E-3</v>
      </c>
    </row>
    <row r="2493" spans="2:8" x14ac:dyDescent="0.3">
      <c r="B2493" s="58">
        <f>'DATA HISTORICAL'!$B3138</f>
        <v>42237</v>
      </c>
      <c r="C2493" s="60">
        <f>'DATA HISTORICAL'!$C3138</f>
        <v>2972.9</v>
      </c>
      <c r="D2493" s="53">
        <f t="shared" si="76"/>
        <v>-2.3979413995893949E-2</v>
      </c>
      <c r="E2493" s="53">
        <v>5.2482274626222474E-4</v>
      </c>
      <c r="G2493" s="90">
        <v>2485</v>
      </c>
      <c r="H2493" s="90">
        <f t="shared" ca="1" si="77"/>
        <v>1.8372938966151785E-2</v>
      </c>
    </row>
    <row r="2494" spans="2:8" x14ac:dyDescent="0.3">
      <c r="B2494" s="58">
        <f>'DATA HISTORICAL'!$B3139</f>
        <v>42236</v>
      </c>
      <c r="C2494" s="60">
        <f>'DATA HISTORICAL'!$C3139</f>
        <v>3045.05</v>
      </c>
      <c r="D2494" s="53">
        <f t="shared" si="76"/>
        <v>-3.7466014016934245E-2</v>
      </c>
      <c r="E2494" s="53">
        <v>5.2376992293306742E-4</v>
      </c>
      <c r="G2494" s="90">
        <v>2486</v>
      </c>
      <c r="H2494" s="90">
        <f t="shared" ca="1" si="77"/>
        <v>1.8421270802505146E-2</v>
      </c>
    </row>
    <row r="2495" spans="2:8" x14ac:dyDescent="0.3">
      <c r="B2495" s="58">
        <f>'DATA HISTORICAL'!$B3140</f>
        <v>42235</v>
      </c>
      <c r="C2495" s="60">
        <f>'DATA HISTORICAL'!$C3140</f>
        <v>3161.3</v>
      </c>
      <c r="D2495" s="53">
        <f t="shared" si="76"/>
        <v>1.0445661176711906E-2</v>
      </c>
      <c r="E2495" s="53">
        <v>5.0887708889620943E-4</v>
      </c>
      <c r="G2495" s="90">
        <v>2487</v>
      </c>
      <c r="H2495" s="90">
        <f t="shared" ca="1" si="77"/>
        <v>6.0118341336630448E-3</v>
      </c>
    </row>
    <row r="2496" spans="2:8" x14ac:dyDescent="0.3">
      <c r="B2496" s="58">
        <f>'DATA HISTORICAL'!$B3141</f>
        <v>42234</v>
      </c>
      <c r="C2496" s="60">
        <f>'DATA HISTORICAL'!$C3141</f>
        <v>3128.45</v>
      </c>
      <c r="D2496" s="53">
        <f t="shared" si="76"/>
        <v>1.5023832362901902E-2</v>
      </c>
      <c r="E2496" s="53">
        <v>5.0830481442469869E-4</v>
      </c>
      <c r="G2496" s="90">
        <v>2488</v>
      </c>
      <c r="H2496" s="90">
        <f t="shared" ca="1" si="77"/>
        <v>-3.8436136262541901E-4</v>
      </c>
    </row>
    <row r="2497" spans="2:8" x14ac:dyDescent="0.3">
      <c r="B2497" s="58">
        <f>'DATA HISTORICAL'!$B3142</f>
        <v>42233</v>
      </c>
      <c r="C2497" s="60">
        <f>'DATA HISTORICAL'!$C3142</f>
        <v>3081.8</v>
      </c>
      <c r="D2497" s="53">
        <f t="shared" si="76"/>
        <v>-7.1455434415485519E-3</v>
      </c>
      <c r="E2497" s="53">
        <v>5.0732958819581816E-4</v>
      </c>
      <c r="G2497" s="90">
        <v>2489</v>
      </c>
      <c r="H2497" s="90">
        <f t="shared" ca="1" si="77"/>
        <v>2.7928774297651306E-3</v>
      </c>
    </row>
    <row r="2498" spans="2:8" x14ac:dyDescent="0.3">
      <c r="B2498" s="58">
        <f>'DATA HISTORICAL'!$B3143</f>
        <v>42230</v>
      </c>
      <c r="C2498" s="60">
        <f>'DATA HISTORICAL'!$C3143</f>
        <v>3103.9</v>
      </c>
      <c r="D2498" s="53">
        <f t="shared" si="76"/>
        <v>1.1030684836597651E-2</v>
      </c>
      <c r="E2498" s="53">
        <v>5.060444302537122E-4</v>
      </c>
      <c r="G2498" s="90">
        <v>2490</v>
      </c>
      <c r="H2498" s="90">
        <f t="shared" ca="1" si="77"/>
        <v>4.5732644885323422E-2</v>
      </c>
    </row>
    <row r="2499" spans="2:8" x14ac:dyDescent="0.3">
      <c r="B2499" s="58">
        <f>'DATA HISTORICAL'!$B3144</f>
        <v>42229</v>
      </c>
      <c r="C2499" s="60">
        <f>'DATA HISTORICAL'!$C3144</f>
        <v>3069.85</v>
      </c>
      <c r="D2499" s="53">
        <f t="shared" si="76"/>
        <v>1.9727248741080684E-3</v>
      </c>
      <c r="E2499" s="53">
        <v>4.9632863813232442E-4</v>
      </c>
      <c r="G2499" s="90">
        <v>2491</v>
      </c>
      <c r="H2499" s="90">
        <f t="shared" ca="1" si="77"/>
        <v>-1.8189484896384113E-3</v>
      </c>
    </row>
    <row r="2500" spans="2:8" x14ac:dyDescent="0.3">
      <c r="B2500" s="58">
        <f>'DATA HISTORICAL'!$B3145</f>
        <v>42228</v>
      </c>
      <c r="C2500" s="60">
        <f>'DATA HISTORICAL'!$C3145</f>
        <v>3063.8</v>
      </c>
      <c r="D2500" s="53">
        <f t="shared" si="76"/>
        <v>-2.9459295244757676E-2</v>
      </c>
      <c r="E2500" s="53">
        <v>4.9628912115204685E-4</v>
      </c>
      <c r="G2500" s="90">
        <v>2492</v>
      </c>
      <c r="H2500" s="90">
        <f t="shared" ca="1" si="77"/>
        <v>1.2018805596936905E-2</v>
      </c>
    </row>
    <row r="2501" spans="2:8" x14ac:dyDescent="0.3">
      <c r="B2501" s="58">
        <f>'DATA HISTORICAL'!$B3146</f>
        <v>42227</v>
      </c>
      <c r="C2501" s="60">
        <f>'DATA HISTORICAL'!$C3146</f>
        <v>3155.4</v>
      </c>
      <c r="D2501" s="53">
        <f t="shared" si="76"/>
        <v>-6.0506191750047018E-3</v>
      </c>
      <c r="E2501" s="53">
        <v>4.8531910683251094E-4</v>
      </c>
      <c r="G2501" s="90">
        <v>2493</v>
      </c>
      <c r="H2501" s="90">
        <f t="shared" ca="1" si="77"/>
        <v>1.8774759719503587E-2</v>
      </c>
    </row>
    <row r="2502" spans="2:8" x14ac:dyDescent="0.3">
      <c r="B2502" s="58">
        <f>'DATA HISTORICAL'!$B3147</f>
        <v>42226</v>
      </c>
      <c r="C2502" s="60">
        <f>'DATA HISTORICAL'!$C3147</f>
        <v>3174.55</v>
      </c>
      <c r="D2502" s="53">
        <f t="shared" si="76"/>
        <v>-8.7502518481518028E-3</v>
      </c>
      <c r="E2502" s="53">
        <v>4.6761749741510052E-4</v>
      </c>
      <c r="G2502" s="90">
        <v>2494</v>
      </c>
      <c r="H2502" s="90">
        <f t="shared" ca="1" si="77"/>
        <v>7.6382088128885885E-3</v>
      </c>
    </row>
    <row r="2503" spans="2:8" x14ac:dyDescent="0.3">
      <c r="B2503" s="58">
        <f>'DATA HISTORICAL'!$B3148</f>
        <v>42223</v>
      </c>
      <c r="C2503" s="60">
        <f>'DATA HISTORICAL'!$C3148</f>
        <v>3202.45</v>
      </c>
      <c r="D2503" s="53">
        <f t="shared" si="76"/>
        <v>-7.2183384624090324E-3</v>
      </c>
      <c r="E2503" s="53">
        <v>4.6088668321551691E-4</v>
      </c>
      <c r="G2503" s="90">
        <v>2495</v>
      </c>
      <c r="H2503" s="90">
        <f t="shared" ca="1" si="77"/>
        <v>4.2576893739567169E-2</v>
      </c>
    </row>
    <row r="2504" spans="2:8" x14ac:dyDescent="0.3">
      <c r="B2504" s="58">
        <f>'DATA HISTORICAL'!$B3149</f>
        <v>42222</v>
      </c>
      <c r="C2504" s="60">
        <f>'DATA HISTORICAL'!$C3149</f>
        <v>3225.65</v>
      </c>
      <c r="D2504" s="53">
        <f t="shared" si="76"/>
        <v>2.871758634925242E-3</v>
      </c>
      <c r="E2504" s="53">
        <v>4.5746701317038219E-4</v>
      </c>
      <c r="G2504" s="90">
        <v>2496</v>
      </c>
      <c r="H2504" s="90">
        <f t="shared" ca="1" si="77"/>
        <v>5.151838020896621E-3</v>
      </c>
    </row>
    <row r="2505" spans="2:8" x14ac:dyDescent="0.3">
      <c r="B2505" s="58">
        <f>'DATA HISTORICAL'!$B3150</f>
        <v>42221</v>
      </c>
      <c r="C2505" s="60">
        <f>'DATA HISTORICAL'!$C3150</f>
        <v>3216.4</v>
      </c>
      <c r="D2505" s="53">
        <f t="shared" ref="D2505:D2568" si="78">LN(C2505/C2506)</f>
        <v>2.2432933414636522E-2</v>
      </c>
      <c r="E2505" s="53">
        <v>4.5411291864206417E-4</v>
      </c>
      <c r="G2505" s="90">
        <v>2497</v>
      </c>
      <c r="H2505" s="90">
        <f t="shared" ref="H2505:H2568" ca="1" si="79">_xlfn.NORM.INV(RAND(),N$10,N$11)</f>
        <v>1.2018359009303052E-3</v>
      </c>
    </row>
    <row r="2506" spans="2:8" x14ac:dyDescent="0.3">
      <c r="B2506" s="58">
        <f>'DATA HISTORICAL'!$B3151</f>
        <v>42220</v>
      </c>
      <c r="C2506" s="60">
        <f>'DATA HISTORICAL'!$C3151</f>
        <v>3145.05</v>
      </c>
      <c r="D2506" s="53">
        <f t="shared" si="78"/>
        <v>-5.8492213275815174E-3</v>
      </c>
      <c r="E2506" s="53">
        <v>4.5357645808702726E-4</v>
      </c>
      <c r="G2506" s="90">
        <v>2498</v>
      </c>
      <c r="H2506" s="90">
        <f t="shared" ca="1" si="79"/>
        <v>-1.6845157984089448E-2</v>
      </c>
    </row>
    <row r="2507" spans="2:8" x14ac:dyDescent="0.3">
      <c r="B2507" s="58">
        <f>'DATA HISTORICAL'!$B3152</f>
        <v>42219</v>
      </c>
      <c r="C2507" s="60">
        <f>'DATA HISTORICAL'!$C3152</f>
        <v>3163.5</v>
      </c>
      <c r="D2507" s="53">
        <f t="shared" si="78"/>
        <v>4.5464344508077776E-3</v>
      </c>
      <c r="E2507" s="53">
        <v>4.5139825012374999E-4</v>
      </c>
      <c r="G2507" s="90">
        <v>2499</v>
      </c>
      <c r="H2507" s="90">
        <f t="shared" ca="1" si="79"/>
        <v>2.8299117940013612E-3</v>
      </c>
    </row>
    <row r="2508" spans="2:8" x14ac:dyDescent="0.3">
      <c r="B2508" s="58">
        <f>'DATA HISTORICAL'!$B3153</f>
        <v>42216</v>
      </c>
      <c r="C2508" s="60">
        <f>'DATA HISTORICAL'!$C3153</f>
        <v>3149.15</v>
      </c>
      <c r="D2508" s="53">
        <f t="shared" si="78"/>
        <v>-3.5502058051175281E-3</v>
      </c>
      <c r="E2508" s="53">
        <v>4.3402778459122361E-4</v>
      </c>
      <c r="G2508" s="90">
        <v>2500</v>
      </c>
      <c r="H2508" s="90">
        <f t="shared" ca="1" si="79"/>
        <v>1.0726693169844839E-4</v>
      </c>
    </row>
    <row r="2509" spans="2:8" x14ac:dyDescent="0.3">
      <c r="B2509" s="58">
        <f>'DATA HISTORICAL'!$B3154</f>
        <v>42215</v>
      </c>
      <c r="C2509" s="60">
        <f>'DATA HISTORICAL'!$C3154</f>
        <v>3160.35</v>
      </c>
      <c r="D2509" s="53">
        <f t="shared" si="78"/>
        <v>7.5752524044508567E-3</v>
      </c>
      <c r="E2509" s="53">
        <v>4.1699679516730092E-4</v>
      </c>
      <c r="G2509" s="90">
        <v>2501</v>
      </c>
      <c r="H2509" s="90">
        <f t="shared" ca="1" si="79"/>
        <v>-1.31056207297045E-2</v>
      </c>
    </row>
    <row r="2510" spans="2:8" x14ac:dyDescent="0.3">
      <c r="B2510" s="58">
        <f>'DATA HISTORICAL'!$B3155</f>
        <v>42214</v>
      </c>
      <c r="C2510" s="60">
        <f>'DATA HISTORICAL'!$C3155</f>
        <v>3136.5</v>
      </c>
      <c r="D2510" s="53">
        <f t="shared" si="78"/>
        <v>2.8096183994444166E-3</v>
      </c>
      <c r="E2510" s="53">
        <v>3.9419223951739937E-4</v>
      </c>
      <c r="G2510" s="90">
        <v>2502</v>
      </c>
      <c r="H2510" s="90">
        <f t="shared" ca="1" si="79"/>
        <v>4.4799845151314178E-3</v>
      </c>
    </row>
    <row r="2511" spans="2:8" x14ac:dyDescent="0.3">
      <c r="B2511" s="58">
        <f>'DATA HISTORICAL'!$B3156</f>
        <v>42213</v>
      </c>
      <c r="C2511" s="60">
        <f>'DATA HISTORICAL'!$C3156</f>
        <v>3127.7</v>
      </c>
      <c r="D2511" s="53">
        <f t="shared" si="78"/>
        <v>-2.0441413742184581E-3</v>
      </c>
      <c r="E2511" s="53">
        <v>3.9276163916836899E-4</v>
      </c>
      <c r="G2511" s="90">
        <v>2503</v>
      </c>
      <c r="H2511" s="90">
        <f t="shared" ca="1" si="79"/>
        <v>-8.1539563779111594E-4</v>
      </c>
    </row>
    <row r="2512" spans="2:8" x14ac:dyDescent="0.3">
      <c r="B2512" s="58">
        <f>'DATA HISTORICAL'!$B3157</f>
        <v>42212</v>
      </c>
      <c r="C2512" s="60">
        <f>'DATA HISTORICAL'!$C3157</f>
        <v>3134.1</v>
      </c>
      <c r="D2512" s="53">
        <f t="shared" si="78"/>
        <v>-2.2182813829389844E-2</v>
      </c>
      <c r="E2512" s="53">
        <v>3.8944782355094983E-4</v>
      </c>
      <c r="G2512" s="90">
        <v>2504</v>
      </c>
      <c r="H2512" s="90">
        <f t="shared" ca="1" si="79"/>
        <v>2.8456807629710958E-2</v>
      </c>
    </row>
    <row r="2513" spans="2:8" x14ac:dyDescent="0.3">
      <c r="B2513" s="58">
        <f>'DATA HISTORICAL'!$B3158</f>
        <v>42209</v>
      </c>
      <c r="C2513" s="60">
        <f>'DATA HISTORICAL'!$C3158</f>
        <v>3204.4</v>
      </c>
      <c r="D2513" s="53">
        <f t="shared" si="78"/>
        <v>-1.0786084347753465E-2</v>
      </c>
      <c r="E2513" s="53">
        <v>3.8764120813219722E-4</v>
      </c>
      <c r="G2513" s="90">
        <v>2505</v>
      </c>
      <c r="H2513" s="90">
        <f t="shared" ca="1" si="79"/>
        <v>8.0730947569704909E-3</v>
      </c>
    </row>
    <row r="2514" spans="2:8" x14ac:dyDescent="0.3">
      <c r="B2514" s="58">
        <f>'DATA HISTORICAL'!$B3159</f>
        <v>42208</v>
      </c>
      <c r="C2514" s="60">
        <f>'DATA HISTORICAL'!$C3159</f>
        <v>3239.15</v>
      </c>
      <c r="D2514" s="53">
        <f t="shared" si="78"/>
        <v>-5.8485999290969733E-3</v>
      </c>
      <c r="E2514" s="53">
        <v>3.8297756401974698E-4</v>
      </c>
      <c r="G2514" s="90">
        <v>2506</v>
      </c>
      <c r="H2514" s="90">
        <f t="shared" ca="1" si="79"/>
        <v>1.1397843108058615E-2</v>
      </c>
    </row>
    <row r="2515" spans="2:8" x14ac:dyDescent="0.3">
      <c r="B2515" s="58">
        <f>'DATA HISTORICAL'!$B3160</f>
        <v>42207</v>
      </c>
      <c r="C2515" s="60">
        <f>'DATA HISTORICAL'!$C3160</f>
        <v>3258.15</v>
      </c>
      <c r="D2515" s="53">
        <f t="shared" si="78"/>
        <v>1.0567742842068848E-2</v>
      </c>
      <c r="E2515" s="53">
        <v>3.7951864840864109E-4</v>
      </c>
      <c r="G2515" s="90">
        <v>2507</v>
      </c>
      <c r="H2515" s="90">
        <f t="shared" ca="1" si="79"/>
        <v>-7.3763276562770269E-3</v>
      </c>
    </row>
    <row r="2516" spans="2:8" x14ac:dyDescent="0.3">
      <c r="B2516" s="58">
        <f>'DATA HISTORICAL'!$B3161</f>
        <v>42206</v>
      </c>
      <c r="C2516" s="60">
        <f>'DATA HISTORICAL'!$C3161</f>
        <v>3223.9</v>
      </c>
      <c r="D2516" s="53">
        <f t="shared" si="78"/>
        <v>-3.9517132888178902E-2</v>
      </c>
      <c r="E2516" s="53">
        <v>3.7788567690434589E-4</v>
      </c>
      <c r="G2516" s="90">
        <v>2508</v>
      </c>
      <c r="H2516" s="90">
        <f t="shared" ca="1" si="79"/>
        <v>8.3758855013723425E-3</v>
      </c>
    </row>
    <row r="2517" spans="2:8" x14ac:dyDescent="0.3">
      <c r="B2517" s="58">
        <f>'DATA HISTORICAL'!$B3162</f>
        <v>42205</v>
      </c>
      <c r="C2517" s="60">
        <f>'DATA HISTORICAL'!$C3162</f>
        <v>3353.85</v>
      </c>
      <c r="D2517" s="53">
        <f t="shared" si="78"/>
        <v>3.9610192213566035E-2</v>
      </c>
      <c r="E2517" s="53">
        <v>3.7599168248033879E-4</v>
      </c>
      <c r="G2517" s="90">
        <v>2509</v>
      </c>
      <c r="H2517" s="90">
        <f t="shared" ca="1" si="79"/>
        <v>3.2877740662945458E-2</v>
      </c>
    </row>
    <row r="2518" spans="2:8" x14ac:dyDescent="0.3">
      <c r="B2518" s="58">
        <f>'DATA HISTORICAL'!$B3163</f>
        <v>42202</v>
      </c>
      <c r="C2518" s="60">
        <f>'DATA HISTORICAL'!$C3163</f>
        <v>3223.6</v>
      </c>
      <c r="D2518" s="53">
        <f t="shared" si="78"/>
        <v>1.5175367216067019E-2</v>
      </c>
      <c r="E2518" s="53">
        <v>3.6167183196760076E-4</v>
      </c>
      <c r="G2518" s="90">
        <v>2510</v>
      </c>
      <c r="H2518" s="90">
        <f t="shared" ca="1" si="79"/>
        <v>-9.8930945007854772E-3</v>
      </c>
    </row>
    <row r="2519" spans="2:8" x14ac:dyDescent="0.3">
      <c r="B2519" s="58">
        <f>'DATA HISTORICAL'!$B3164</f>
        <v>42201</v>
      </c>
      <c r="C2519" s="60">
        <f>'DATA HISTORICAL'!$C3164</f>
        <v>3175.05</v>
      </c>
      <c r="D2519" s="53">
        <f t="shared" si="78"/>
        <v>-7.8430544314597554E-3</v>
      </c>
      <c r="E2519" s="53">
        <v>3.5049993964559906E-4</v>
      </c>
      <c r="G2519" s="90">
        <v>2511</v>
      </c>
      <c r="H2519" s="90">
        <f t="shared" ca="1" si="79"/>
        <v>3.2517206811595242E-2</v>
      </c>
    </row>
    <row r="2520" spans="2:8" x14ac:dyDescent="0.3">
      <c r="B2520" s="58">
        <f>'DATA HISTORICAL'!$B3165</f>
        <v>42200</v>
      </c>
      <c r="C2520" s="60">
        <f>'DATA HISTORICAL'!$C3165</f>
        <v>3200.05</v>
      </c>
      <c r="D2520" s="53">
        <f t="shared" si="78"/>
        <v>1.9580780372771105E-2</v>
      </c>
      <c r="E2520" s="53">
        <v>3.4653883580968559E-4</v>
      </c>
      <c r="G2520" s="90">
        <v>2512</v>
      </c>
      <c r="H2520" s="90">
        <f t="shared" ca="1" si="79"/>
        <v>-1.2283405775181108E-2</v>
      </c>
    </row>
    <row r="2521" spans="2:8" x14ac:dyDescent="0.3">
      <c r="B2521" s="58">
        <f>'DATA HISTORICAL'!$B3166</f>
        <v>42199</v>
      </c>
      <c r="C2521" s="60">
        <f>'DATA HISTORICAL'!$C3166</f>
        <v>3138</v>
      </c>
      <c r="D2521" s="53">
        <f t="shared" si="78"/>
        <v>-8.1881824715012846E-3</v>
      </c>
      <c r="E2521" s="53">
        <v>3.4404064606142142E-4</v>
      </c>
      <c r="G2521" s="90">
        <v>2513</v>
      </c>
      <c r="H2521" s="90">
        <f t="shared" ca="1" si="79"/>
        <v>1.8025873598213144E-2</v>
      </c>
    </row>
    <row r="2522" spans="2:8" x14ac:dyDescent="0.3">
      <c r="B2522" s="58">
        <f>'DATA HISTORICAL'!$B3167</f>
        <v>42198</v>
      </c>
      <c r="C2522" s="60">
        <f>'DATA HISTORICAL'!$C3167</f>
        <v>3163.8</v>
      </c>
      <c r="D2522" s="53">
        <f t="shared" si="78"/>
        <v>1.0804732035407522E-2</v>
      </c>
      <c r="E2522" s="53">
        <v>3.372870907235776E-4</v>
      </c>
      <c r="G2522" s="90">
        <v>2514</v>
      </c>
      <c r="H2522" s="90">
        <f t="shared" ca="1" si="79"/>
        <v>-2.0848865255783181E-2</v>
      </c>
    </row>
    <row r="2523" spans="2:8" x14ac:dyDescent="0.3">
      <c r="B2523" s="58">
        <f>'DATA HISTORICAL'!$B3168</f>
        <v>42195</v>
      </c>
      <c r="C2523" s="60">
        <f>'DATA HISTORICAL'!$C3168</f>
        <v>3129.8</v>
      </c>
      <c r="D2523" s="53">
        <f t="shared" si="78"/>
        <v>8.5836059719035934E-3</v>
      </c>
      <c r="E2523" s="53">
        <v>3.2996494421878809E-4</v>
      </c>
      <c r="G2523" s="90">
        <v>2515</v>
      </c>
      <c r="H2523" s="90">
        <f t="shared" ca="1" si="79"/>
        <v>1.4151471871903704E-2</v>
      </c>
    </row>
    <row r="2524" spans="2:8" x14ac:dyDescent="0.3">
      <c r="B2524" s="58">
        <f>'DATA HISTORICAL'!$B3169</f>
        <v>42194</v>
      </c>
      <c r="C2524" s="60">
        <f>'DATA HISTORICAL'!$C3169</f>
        <v>3103.05</v>
      </c>
      <c r="D2524" s="53">
        <f t="shared" si="78"/>
        <v>-3.9239070658089311E-3</v>
      </c>
      <c r="E2524" s="53">
        <v>3.2513199938660184E-4</v>
      </c>
      <c r="G2524" s="90">
        <v>2516</v>
      </c>
      <c r="H2524" s="90">
        <f t="shared" ca="1" si="79"/>
        <v>1.8473322982547263E-2</v>
      </c>
    </row>
    <row r="2525" spans="2:8" x14ac:dyDescent="0.3">
      <c r="B2525" s="58">
        <f>'DATA HISTORICAL'!$B3170</f>
        <v>42193</v>
      </c>
      <c r="C2525" s="60">
        <f>'DATA HISTORICAL'!$C3170</f>
        <v>3115.25</v>
      </c>
      <c r="D2525" s="53">
        <f t="shared" si="78"/>
        <v>-1.4737192675690895E-2</v>
      </c>
      <c r="E2525" s="53">
        <v>3.1847134027132665E-4</v>
      </c>
      <c r="G2525" s="90">
        <v>2517</v>
      </c>
      <c r="H2525" s="90">
        <f t="shared" ca="1" si="79"/>
        <v>5.6002828566020183E-4</v>
      </c>
    </row>
    <row r="2526" spans="2:8" x14ac:dyDescent="0.3">
      <c r="B2526" s="58">
        <f>'DATA HISTORICAL'!$B3171</f>
        <v>42192</v>
      </c>
      <c r="C2526" s="60">
        <f>'DATA HISTORICAL'!$C3171</f>
        <v>3161.5</v>
      </c>
      <c r="D2526" s="53">
        <f t="shared" si="78"/>
        <v>1.8918943843938982E-2</v>
      </c>
      <c r="E2526" s="53">
        <v>3.0997667800748983E-4</v>
      </c>
      <c r="G2526" s="90">
        <v>2518</v>
      </c>
      <c r="H2526" s="90">
        <f t="shared" ca="1" si="79"/>
        <v>1.3535987702107949E-2</v>
      </c>
    </row>
    <row r="2527" spans="2:8" x14ac:dyDescent="0.3">
      <c r="B2527" s="58">
        <f>'DATA HISTORICAL'!$B3172</f>
        <v>42191</v>
      </c>
      <c r="C2527" s="60">
        <f>'DATA HISTORICAL'!$C3172</f>
        <v>3102.25</v>
      </c>
      <c r="D2527" s="53">
        <f t="shared" si="78"/>
        <v>1.2194284300798346E-2</v>
      </c>
      <c r="E2527" s="53">
        <v>2.8206961470534698E-4</v>
      </c>
      <c r="G2527" s="90">
        <v>2519</v>
      </c>
      <c r="H2527" s="90">
        <f t="shared" ca="1" si="79"/>
        <v>1.6611073712421633E-2</v>
      </c>
    </row>
    <row r="2528" spans="2:8" x14ac:dyDescent="0.3">
      <c r="B2528" s="58">
        <f>'DATA HISTORICAL'!$B3173</f>
        <v>42188</v>
      </c>
      <c r="C2528" s="60">
        <f>'DATA HISTORICAL'!$C3173</f>
        <v>3064.65</v>
      </c>
      <c r="D2528" s="53">
        <f t="shared" si="78"/>
        <v>2.2703710128833799E-3</v>
      </c>
      <c r="E2528" s="53">
        <v>2.8047606320675519E-4</v>
      </c>
      <c r="G2528" s="90">
        <v>2520</v>
      </c>
      <c r="H2528" s="90">
        <f t="shared" ca="1" si="79"/>
        <v>2.0861156759462807E-3</v>
      </c>
    </row>
    <row r="2529" spans="2:8" x14ac:dyDescent="0.3">
      <c r="B2529" s="58">
        <f>'DATA HISTORICAL'!$B3174</f>
        <v>42187</v>
      </c>
      <c r="C2529" s="60">
        <f>'DATA HISTORICAL'!$C3174</f>
        <v>3057.7</v>
      </c>
      <c r="D2529" s="53">
        <f t="shared" si="78"/>
        <v>-8.175745836964081E-5</v>
      </c>
      <c r="E2529" s="53">
        <v>2.5423097459175141E-4</v>
      </c>
      <c r="G2529" s="90">
        <v>2521</v>
      </c>
      <c r="H2529" s="90">
        <f t="shared" ca="1" si="79"/>
        <v>1.728952757653859E-2</v>
      </c>
    </row>
    <row r="2530" spans="2:8" x14ac:dyDescent="0.3">
      <c r="B2530" s="58">
        <f>'DATA HISTORICAL'!$B3175</f>
        <v>42186</v>
      </c>
      <c r="C2530" s="60">
        <f>'DATA HISTORICAL'!$C3175</f>
        <v>3057.95</v>
      </c>
      <c r="D2530" s="53">
        <f t="shared" si="78"/>
        <v>2.1318188429692811E-2</v>
      </c>
      <c r="E2530" s="53">
        <v>2.4423503673001663E-4</v>
      </c>
      <c r="G2530" s="90">
        <v>2522</v>
      </c>
      <c r="H2530" s="90">
        <f t="shared" ca="1" si="79"/>
        <v>1.8797215143606473E-2</v>
      </c>
    </row>
    <row r="2531" spans="2:8" x14ac:dyDescent="0.3">
      <c r="B2531" s="58">
        <f>'DATA HISTORICAL'!$B3176</f>
        <v>42185</v>
      </c>
      <c r="C2531" s="60">
        <f>'DATA HISTORICAL'!$C3176</f>
        <v>2993.45</v>
      </c>
      <c r="D2531" s="53">
        <f t="shared" si="78"/>
        <v>3.0027602084128874E-2</v>
      </c>
      <c r="E2531" s="53">
        <v>2.4406041555095388E-4</v>
      </c>
      <c r="G2531" s="90">
        <v>2523</v>
      </c>
      <c r="H2531" s="90">
        <f t="shared" ca="1" si="79"/>
        <v>-1.5651083346758968E-2</v>
      </c>
    </row>
    <row r="2532" spans="2:8" x14ac:dyDescent="0.3">
      <c r="B2532" s="58">
        <f>'DATA HISTORICAL'!$B3177</f>
        <v>42184</v>
      </c>
      <c r="C2532" s="60">
        <f>'DATA HISTORICAL'!$C3177</f>
        <v>2904.9</v>
      </c>
      <c r="D2532" s="53">
        <f t="shared" si="78"/>
        <v>-3.3679322508149909E-3</v>
      </c>
      <c r="E2532" s="53">
        <v>2.1719771593381036E-4</v>
      </c>
      <c r="G2532" s="90">
        <v>2524</v>
      </c>
      <c r="H2532" s="90">
        <f t="shared" ca="1" si="79"/>
        <v>1.0104225023642964E-2</v>
      </c>
    </row>
    <row r="2533" spans="2:8" x14ac:dyDescent="0.3">
      <c r="B2533" s="58">
        <f>'DATA HISTORICAL'!$B3178</f>
        <v>42181</v>
      </c>
      <c r="C2533" s="60">
        <f>'DATA HISTORICAL'!$C3178</f>
        <v>2914.7</v>
      </c>
      <c r="D2533" s="53">
        <f t="shared" si="78"/>
        <v>1.8246217420013967E-2</v>
      </c>
      <c r="E2533" s="53">
        <v>2.1002988229606073E-4</v>
      </c>
      <c r="G2533" s="90">
        <v>2525</v>
      </c>
      <c r="H2533" s="90">
        <f t="shared" ca="1" si="79"/>
        <v>-1.5410822015306334E-2</v>
      </c>
    </row>
    <row r="2534" spans="2:8" x14ac:dyDescent="0.3">
      <c r="B2534" s="58">
        <f>'DATA HISTORICAL'!$B3179</f>
        <v>42180</v>
      </c>
      <c r="C2534" s="60">
        <f>'DATA HISTORICAL'!$C3179</f>
        <v>2862</v>
      </c>
      <c r="D2534" s="53">
        <f t="shared" si="78"/>
        <v>3.3774652141872353E-3</v>
      </c>
      <c r="E2534" s="53">
        <v>2.061278883606657E-4</v>
      </c>
      <c r="G2534" s="90">
        <v>2526</v>
      </c>
      <c r="H2534" s="90">
        <f t="shared" ca="1" si="79"/>
        <v>1.7433423200317551E-2</v>
      </c>
    </row>
    <row r="2535" spans="2:8" x14ac:dyDescent="0.3">
      <c r="B2535" s="58">
        <f>'DATA HISTORICAL'!$B3180</f>
        <v>42179</v>
      </c>
      <c r="C2535" s="60">
        <f>'DATA HISTORICAL'!$C3180</f>
        <v>2852.35</v>
      </c>
      <c r="D2535" s="53">
        <f t="shared" si="78"/>
        <v>-1.5152727620470277E-2</v>
      </c>
      <c r="E2535" s="53">
        <v>2.0091214179652076E-4</v>
      </c>
      <c r="G2535" s="90">
        <v>2527</v>
      </c>
      <c r="H2535" s="90">
        <f t="shared" ca="1" si="79"/>
        <v>-1.2482924631433488E-2</v>
      </c>
    </row>
    <row r="2536" spans="2:8" x14ac:dyDescent="0.3">
      <c r="B2536" s="58">
        <f>'DATA HISTORICAL'!$B3181</f>
        <v>42178</v>
      </c>
      <c r="C2536" s="60">
        <f>'DATA HISTORICAL'!$C3181</f>
        <v>2895.9</v>
      </c>
      <c r="D2536" s="53">
        <f t="shared" si="78"/>
        <v>3.2248974368198499E-2</v>
      </c>
      <c r="E2536" s="53">
        <v>1.9427486966237044E-4</v>
      </c>
      <c r="G2536" s="90">
        <v>2528</v>
      </c>
      <c r="H2536" s="90">
        <f t="shared" ca="1" si="79"/>
        <v>-1.1877091642955129E-2</v>
      </c>
    </row>
    <row r="2537" spans="2:8" x14ac:dyDescent="0.3">
      <c r="B2537" s="58">
        <f>'DATA HISTORICAL'!$B3182</f>
        <v>42177</v>
      </c>
      <c r="C2537" s="60">
        <f>'DATA HISTORICAL'!$C3182</f>
        <v>2804</v>
      </c>
      <c r="D2537" s="53">
        <f t="shared" si="78"/>
        <v>4.4589112077779192E-4</v>
      </c>
      <c r="E2537" s="53">
        <v>1.8387845685855403E-4</v>
      </c>
      <c r="G2537" s="90">
        <v>2529</v>
      </c>
      <c r="H2537" s="90">
        <f t="shared" ca="1" si="79"/>
        <v>2.186409326384824E-2</v>
      </c>
    </row>
    <row r="2538" spans="2:8" x14ac:dyDescent="0.3">
      <c r="B2538" s="58">
        <f>'DATA HISTORICAL'!$B3183</f>
        <v>42174</v>
      </c>
      <c r="C2538" s="60">
        <f>'DATA HISTORICAL'!$C3183</f>
        <v>2802.75</v>
      </c>
      <c r="D2538" s="53">
        <f t="shared" si="78"/>
        <v>1.4460543986779708E-3</v>
      </c>
      <c r="E2538" s="53">
        <v>1.7146566442069792E-4</v>
      </c>
      <c r="G2538" s="90">
        <v>2530</v>
      </c>
      <c r="H2538" s="90">
        <f t="shared" ca="1" si="79"/>
        <v>-3.2086714900829002E-3</v>
      </c>
    </row>
    <row r="2539" spans="2:8" x14ac:dyDescent="0.3">
      <c r="B2539" s="58">
        <f>'DATA HISTORICAL'!$B3184</f>
        <v>42173</v>
      </c>
      <c r="C2539" s="60">
        <f>'DATA HISTORICAL'!$C3184</f>
        <v>2798.7</v>
      </c>
      <c r="D2539" s="53">
        <f t="shared" si="78"/>
        <v>7.6850904099609618E-4</v>
      </c>
      <c r="E2539" s="53">
        <v>1.4971180505542292E-4</v>
      </c>
      <c r="G2539" s="90">
        <v>2531</v>
      </c>
      <c r="H2539" s="90">
        <f t="shared" ca="1" si="79"/>
        <v>-9.9735869288148753E-3</v>
      </c>
    </row>
    <row r="2540" spans="2:8" x14ac:dyDescent="0.3">
      <c r="B2540" s="58">
        <f>'DATA HISTORICAL'!$B3185</f>
        <v>42172</v>
      </c>
      <c r="C2540" s="60">
        <f>'DATA HISTORICAL'!$C3185</f>
        <v>2796.55</v>
      </c>
      <c r="D2540" s="53">
        <f t="shared" si="78"/>
        <v>1.8696518479187151E-2</v>
      </c>
      <c r="E2540" s="53">
        <v>1.3407798201777585E-4</v>
      </c>
      <c r="G2540" s="90">
        <v>2532</v>
      </c>
      <c r="H2540" s="90">
        <f t="shared" ca="1" si="79"/>
        <v>5.7033089419411178E-3</v>
      </c>
    </row>
    <row r="2541" spans="2:8" x14ac:dyDescent="0.3">
      <c r="B2541" s="58">
        <f>'DATA HISTORICAL'!$B3186</f>
        <v>42171</v>
      </c>
      <c r="C2541" s="60">
        <f>'DATA HISTORICAL'!$C3186</f>
        <v>2744.75</v>
      </c>
      <c r="D2541" s="53">
        <f t="shared" si="78"/>
        <v>1.2446201852883889E-2</v>
      </c>
      <c r="E2541" s="53">
        <v>1.3173494947266645E-4</v>
      </c>
      <c r="G2541" s="90">
        <v>2533</v>
      </c>
      <c r="H2541" s="90">
        <f t="shared" ca="1" si="79"/>
        <v>-6.1677869875226884E-4</v>
      </c>
    </row>
    <row r="2542" spans="2:8" x14ac:dyDescent="0.3">
      <c r="B2542" s="58">
        <f>'DATA HISTORICAL'!$B3187</f>
        <v>42170</v>
      </c>
      <c r="C2542" s="60">
        <f>'DATA HISTORICAL'!$C3187</f>
        <v>2710.8</v>
      </c>
      <c r="D2542" s="53">
        <f t="shared" si="78"/>
        <v>-1.3811514038757071E-2</v>
      </c>
      <c r="E2542" s="53">
        <v>1.2414649302106289E-4</v>
      </c>
      <c r="G2542" s="90">
        <v>2534</v>
      </c>
      <c r="H2542" s="90">
        <f t="shared" ca="1" si="79"/>
        <v>2.5601138981864941E-3</v>
      </c>
    </row>
    <row r="2543" spans="2:8" x14ac:dyDescent="0.3">
      <c r="B2543" s="58">
        <f>'DATA HISTORICAL'!$B3188</f>
        <v>42167</v>
      </c>
      <c r="C2543" s="60">
        <f>'DATA HISTORICAL'!$C3188</f>
        <v>2748.5</v>
      </c>
      <c r="D2543" s="53">
        <f t="shared" si="78"/>
        <v>1.7192610849538853E-2</v>
      </c>
      <c r="E2543" s="53">
        <v>1.2404254675264063E-4</v>
      </c>
      <c r="G2543" s="90">
        <v>2535</v>
      </c>
      <c r="H2543" s="90">
        <f t="shared" ca="1" si="79"/>
        <v>2.3809582015056466E-2</v>
      </c>
    </row>
    <row r="2544" spans="2:8" x14ac:dyDescent="0.3">
      <c r="B2544" s="58">
        <f>'DATA HISTORICAL'!$B3189</f>
        <v>42166</v>
      </c>
      <c r="C2544" s="60">
        <f>'DATA HISTORICAL'!$C3189</f>
        <v>2701.65</v>
      </c>
      <c r="D2544" s="53">
        <f t="shared" si="78"/>
        <v>-3.7380400828216712E-2</v>
      </c>
      <c r="E2544" s="53">
        <v>1.0960705880417162E-4</v>
      </c>
      <c r="G2544" s="90">
        <v>2536</v>
      </c>
      <c r="H2544" s="90">
        <f t="shared" ca="1" si="79"/>
        <v>-2.080218049471335E-2</v>
      </c>
    </row>
    <row r="2545" spans="2:8" x14ac:dyDescent="0.3">
      <c r="B2545" s="58">
        <f>'DATA HISTORICAL'!$B3190</f>
        <v>42165</v>
      </c>
      <c r="C2545" s="60">
        <f>'DATA HISTORICAL'!$C3190</f>
        <v>2804.55</v>
      </c>
      <c r="D2545" s="53">
        <f t="shared" si="78"/>
        <v>-2.0659324521908858E-3</v>
      </c>
      <c r="E2545" s="53">
        <v>1.0589935033074529E-4</v>
      </c>
      <c r="G2545" s="90">
        <v>2537</v>
      </c>
      <c r="H2545" s="90">
        <f t="shared" ca="1" si="79"/>
        <v>-2.6084669743287586E-2</v>
      </c>
    </row>
    <row r="2546" spans="2:8" x14ac:dyDescent="0.3">
      <c r="B2546" s="58">
        <f>'DATA HISTORICAL'!$B3191</f>
        <v>42164</v>
      </c>
      <c r="C2546" s="60">
        <f>'DATA HISTORICAL'!$C3191</f>
        <v>2810.35</v>
      </c>
      <c r="D2546" s="53">
        <f t="shared" si="78"/>
        <v>1.7792961151529449E-4</v>
      </c>
      <c r="E2546" s="53">
        <v>1.0495198456363036E-4</v>
      </c>
      <c r="G2546" s="90">
        <v>2538</v>
      </c>
      <c r="H2546" s="90">
        <f t="shared" ca="1" si="79"/>
        <v>-9.0132358427872129E-3</v>
      </c>
    </row>
    <row r="2547" spans="2:8" x14ac:dyDescent="0.3">
      <c r="B2547" s="58">
        <f>'DATA HISTORICAL'!$B3192</f>
        <v>42163</v>
      </c>
      <c r="C2547" s="60">
        <f>'DATA HISTORICAL'!$C3192</f>
        <v>2809.85</v>
      </c>
      <c r="D2547" s="53">
        <f t="shared" si="78"/>
        <v>1.282028629504115E-3</v>
      </c>
      <c r="E2547" s="53">
        <v>9.680385932295653E-5</v>
      </c>
      <c r="G2547" s="90">
        <v>2539</v>
      </c>
      <c r="H2547" s="90">
        <f t="shared" ca="1" si="79"/>
        <v>2.1951326734662928E-2</v>
      </c>
    </row>
    <row r="2548" spans="2:8" x14ac:dyDescent="0.3">
      <c r="B2548" s="58">
        <f>'DATA HISTORICAL'!$B3193</f>
        <v>42160</v>
      </c>
      <c r="C2548" s="60">
        <f>'DATA HISTORICAL'!$C3193</f>
        <v>2806.25</v>
      </c>
      <c r="D2548" s="53">
        <f t="shared" si="78"/>
        <v>-2.1783283828723934E-2</v>
      </c>
      <c r="E2548" s="53">
        <v>8.0337417195213055E-5</v>
      </c>
      <c r="G2548" s="90">
        <v>2540</v>
      </c>
      <c r="H2548" s="90">
        <f t="shared" ca="1" si="79"/>
        <v>-3.7706181862749384E-2</v>
      </c>
    </row>
    <row r="2549" spans="2:8" x14ac:dyDescent="0.3">
      <c r="B2549" s="58">
        <f>'DATA HISTORICAL'!$B3194</f>
        <v>42159</v>
      </c>
      <c r="C2549" s="60">
        <f>'DATA HISTORICAL'!$C3194</f>
        <v>2868.05</v>
      </c>
      <c r="D2549" s="53">
        <f t="shared" si="78"/>
        <v>1.2967027623891405E-2</v>
      </c>
      <c r="E2549" s="53">
        <v>7.6105238360247952E-5</v>
      </c>
      <c r="G2549" s="90">
        <v>2541</v>
      </c>
      <c r="H2549" s="90">
        <f t="shared" ca="1" si="79"/>
        <v>5.4114970980314314E-3</v>
      </c>
    </row>
    <row r="2550" spans="2:8" x14ac:dyDescent="0.3">
      <c r="B2550" s="58">
        <f>'DATA HISTORICAL'!$B3195</f>
        <v>42158</v>
      </c>
      <c r="C2550" s="60">
        <f>'DATA HISTORICAL'!$C3195</f>
        <v>2831.1</v>
      </c>
      <c r="D2550" s="53">
        <f t="shared" si="78"/>
        <v>-2.7573659432953375E-2</v>
      </c>
      <c r="E2550" s="53">
        <v>4.5964331686595408E-5</v>
      </c>
      <c r="G2550" s="90">
        <v>2542</v>
      </c>
      <c r="H2550" s="90">
        <f t="shared" ca="1" si="79"/>
        <v>1.6619483259807076E-2</v>
      </c>
    </row>
    <row r="2551" spans="2:8" x14ac:dyDescent="0.3">
      <c r="B2551" s="58">
        <f>'DATA HISTORICAL'!$B3196</f>
        <v>42157</v>
      </c>
      <c r="C2551" s="60">
        <f>'DATA HISTORICAL'!$C3196</f>
        <v>2910.25</v>
      </c>
      <c r="D2551" s="53">
        <f t="shared" si="78"/>
        <v>-3.21716824632758E-2</v>
      </c>
      <c r="E2551" s="53">
        <v>4.2533583815506465E-5</v>
      </c>
      <c r="G2551" s="90">
        <v>2543</v>
      </c>
      <c r="H2551" s="90">
        <f t="shared" ca="1" si="79"/>
        <v>-6.7693976747462692E-4</v>
      </c>
    </row>
    <row r="2552" spans="2:8" x14ac:dyDescent="0.3">
      <c r="B2552" s="58">
        <f>'DATA HISTORICAL'!$B3197</f>
        <v>42156</v>
      </c>
      <c r="C2552" s="60">
        <f>'DATA HISTORICAL'!$C3197</f>
        <v>3005.4</v>
      </c>
      <c r="D2552" s="53">
        <f t="shared" si="78"/>
        <v>1.0065796359806308E-2</v>
      </c>
      <c r="E2552" s="53">
        <v>3.6407325157784526E-5</v>
      </c>
      <c r="G2552" s="90">
        <v>2544</v>
      </c>
      <c r="H2552" s="90">
        <f t="shared" ca="1" si="79"/>
        <v>-1.9373331085712254E-2</v>
      </c>
    </row>
    <row r="2553" spans="2:8" x14ac:dyDescent="0.3">
      <c r="B2553" s="58">
        <f>'DATA HISTORICAL'!$B3198</f>
        <v>42153</v>
      </c>
      <c r="C2553" s="60">
        <f>'DATA HISTORICAL'!$C3198</f>
        <v>2975.3</v>
      </c>
      <c r="D2553" s="53">
        <f t="shared" si="78"/>
        <v>1.9634927178548062E-2</v>
      </c>
      <c r="E2553" s="53">
        <v>0</v>
      </c>
      <c r="G2553" s="90">
        <v>2545</v>
      </c>
      <c r="H2553" s="90">
        <f t="shared" ca="1" si="79"/>
        <v>-1.9145900430863314E-2</v>
      </c>
    </row>
    <row r="2554" spans="2:8" x14ac:dyDescent="0.3">
      <c r="B2554" s="58">
        <f>'DATA HISTORICAL'!$B3199</f>
        <v>42152</v>
      </c>
      <c r="C2554" s="60">
        <f>'DATA HISTORICAL'!$C3199</f>
        <v>2917.45</v>
      </c>
      <c r="D2554" s="53">
        <f t="shared" si="78"/>
        <v>1.1133055395073459E-2</v>
      </c>
      <c r="E2554" s="53">
        <v>0</v>
      </c>
      <c r="G2554" s="90">
        <v>2546</v>
      </c>
      <c r="H2554" s="90">
        <f t="shared" ca="1" si="79"/>
        <v>1.08909069879621E-2</v>
      </c>
    </row>
    <row r="2555" spans="2:8" x14ac:dyDescent="0.3">
      <c r="B2555" s="58">
        <f>'DATA HISTORICAL'!$B3200</f>
        <v>42151</v>
      </c>
      <c r="C2555" s="60">
        <f>'DATA HISTORICAL'!$C3200</f>
        <v>2885.15</v>
      </c>
      <c r="D2555" s="53">
        <f t="shared" si="78"/>
        <v>-7.4931289821698541E-3</v>
      </c>
      <c r="E2555" s="53">
        <v>0</v>
      </c>
      <c r="G2555" s="90">
        <v>2547</v>
      </c>
      <c r="H2555" s="90">
        <f t="shared" ca="1" si="79"/>
        <v>2.6083091258576222E-2</v>
      </c>
    </row>
    <row r="2556" spans="2:8" x14ac:dyDescent="0.3">
      <c r="B2556" s="58">
        <f>'DATA HISTORICAL'!$B3201</f>
        <v>42150</v>
      </c>
      <c r="C2556" s="60">
        <f>'DATA HISTORICAL'!$C3201</f>
        <v>2906.85</v>
      </c>
      <c r="D2556" s="53">
        <f t="shared" si="78"/>
        <v>-9.6374326218287617E-3</v>
      </c>
      <c r="E2556" s="53">
        <v>0</v>
      </c>
      <c r="G2556" s="90">
        <v>2548</v>
      </c>
      <c r="H2556" s="90">
        <f t="shared" ca="1" si="79"/>
        <v>2.0169088755975086E-2</v>
      </c>
    </row>
    <row r="2557" spans="2:8" x14ac:dyDescent="0.3">
      <c r="B2557" s="58">
        <f>'DATA HISTORICAL'!$B3202</f>
        <v>42149</v>
      </c>
      <c r="C2557" s="60">
        <f>'DATA HISTORICAL'!$C3202</f>
        <v>2935</v>
      </c>
      <c r="D2557" s="53">
        <f t="shared" si="78"/>
        <v>-1.3671030460946339E-2</v>
      </c>
      <c r="E2557" s="53">
        <v>0</v>
      </c>
      <c r="G2557" s="90">
        <v>2549</v>
      </c>
      <c r="H2557" s="90">
        <f t="shared" ca="1" si="79"/>
        <v>1.7174237598451294E-2</v>
      </c>
    </row>
    <row r="2558" spans="2:8" x14ac:dyDescent="0.3">
      <c r="B2558" s="58">
        <f>'DATA HISTORICAL'!$B3203</f>
        <v>42146</v>
      </c>
      <c r="C2558" s="60">
        <f>'DATA HISTORICAL'!$C3203</f>
        <v>2975.4</v>
      </c>
      <c r="D2558" s="53">
        <f t="shared" si="78"/>
        <v>-2.953857142093267E-2</v>
      </c>
      <c r="E2558" s="53">
        <v>0</v>
      </c>
      <c r="G2558" s="90">
        <v>2550</v>
      </c>
      <c r="H2558" s="90">
        <f t="shared" ca="1" si="79"/>
        <v>1.2988795606825993E-2</v>
      </c>
    </row>
    <row r="2559" spans="2:8" x14ac:dyDescent="0.3">
      <c r="B2559" s="58">
        <f>'DATA HISTORICAL'!$B3204</f>
        <v>42145</v>
      </c>
      <c r="C2559" s="60">
        <f>'DATA HISTORICAL'!$C3204</f>
        <v>3064.6</v>
      </c>
      <c r="D2559" s="53">
        <f t="shared" si="78"/>
        <v>1.0612136955085949E-2</v>
      </c>
      <c r="E2559" s="53">
        <v>-1.902497027409174E-5</v>
      </c>
      <c r="G2559" s="90">
        <v>2551</v>
      </c>
      <c r="H2559" s="90">
        <f t="shared" ca="1" si="79"/>
        <v>1.2187690256719492E-2</v>
      </c>
    </row>
    <row r="2560" spans="2:8" x14ac:dyDescent="0.3">
      <c r="B2560" s="58">
        <f>'DATA HISTORICAL'!$B3205</f>
        <v>42144</v>
      </c>
      <c r="C2560" s="60">
        <f>'DATA HISTORICAL'!$C3205</f>
        <v>3032.25</v>
      </c>
      <c r="D2560" s="53">
        <f t="shared" si="78"/>
        <v>2.0271695985737317E-2</v>
      </c>
      <c r="E2560" s="53">
        <v>-2.4901328487157489E-5</v>
      </c>
      <c r="G2560" s="90">
        <v>2552</v>
      </c>
      <c r="H2560" s="90">
        <f t="shared" ca="1" si="79"/>
        <v>6.45582695820525E-3</v>
      </c>
    </row>
    <row r="2561" spans="2:8" x14ac:dyDescent="0.3">
      <c r="B2561" s="58">
        <f>'DATA HISTORICAL'!$B3206</f>
        <v>42143</v>
      </c>
      <c r="C2561" s="60">
        <f>'DATA HISTORICAL'!$C3206</f>
        <v>2971.4</v>
      </c>
      <c r="D2561" s="53">
        <f t="shared" si="78"/>
        <v>2.4288003064583098E-2</v>
      </c>
      <c r="E2561" s="53">
        <v>-2.9754377614957898E-5</v>
      </c>
      <c r="G2561" s="90">
        <v>2553</v>
      </c>
      <c r="H2561" s="90">
        <f t="shared" ca="1" si="79"/>
        <v>1.5896140241576904E-2</v>
      </c>
    </row>
    <row r="2562" spans="2:8" x14ac:dyDescent="0.3">
      <c r="B2562" s="58">
        <f>'DATA HISTORICAL'!$B3207</f>
        <v>42142</v>
      </c>
      <c r="C2562" s="60">
        <f>'DATA HISTORICAL'!$C3207</f>
        <v>2900.1</v>
      </c>
      <c r="D2562" s="53">
        <f t="shared" si="78"/>
        <v>3.3199087853098309E-2</v>
      </c>
      <c r="E2562" s="53">
        <v>-3.7500234380869188E-5</v>
      </c>
      <c r="G2562" s="90">
        <v>2554</v>
      </c>
      <c r="H2562" s="90">
        <f t="shared" ca="1" si="79"/>
        <v>1.4747543521100484E-2</v>
      </c>
    </row>
    <row r="2563" spans="2:8" x14ac:dyDescent="0.3">
      <c r="B2563" s="58">
        <f>'DATA HISTORICAL'!$B3208</f>
        <v>42139</v>
      </c>
      <c r="C2563" s="60">
        <f>'DATA HISTORICAL'!$C3208</f>
        <v>2805.4</v>
      </c>
      <c r="D2563" s="53">
        <f t="shared" si="78"/>
        <v>3.3384244022070463E-3</v>
      </c>
      <c r="E2563" s="53">
        <v>-3.8037999966503585E-5</v>
      </c>
      <c r="G2563" s="90">
        <v>2555</v>
      </c>
      <c r="H2563" s="90">
        <f t="shared" ca="1" si="79"/>
        <v>1.7669035690104719E-2</v>
      </c>
    </row>
    <row r="2564" spans="2:8" x14ac:dyDescent="0.3">
      <c r="B2564" s="58">
        <f>'DATA HISTORICAL'!$B3209</f>
        <v>42138</v>
      </c>
      <c r="C2564" s="60">
        <f>'DATA HISTORICAL'!$C3209</f>
        <v>2796.05</v>
      </c>
      <c r="D2564" s="53">
        <f t="shared" si="78"/>
        <v>5.9029239074179696E-4</v>
      </c>
      <c r="E2564" s="53">
        <v>-4.2014379427647458E-5</v>
      </c>
      <c r="G2564" s="90">
        <v>2556</v>
      </c>
      <c r="H2564" s="90">
        <f t="shared" ca="1" si="79"/>
        <v>2.6595193612986529E-2</v>
      </c>
    </row>
    <row r="2565" spans="2:8" x14ac:dyDescent="0.3">
      <c r="B2565" s="58">
        <f>'DATA HISTORICAL'!$B3210</f>
        <v>42137</v>
      </c>
      <c r="C2565" s="60">
        <f>'DATA HISTORICAL'!$C3210</f>
        <v>2794.4</v>
      </c>
      <c r="D2565" s="53">
        <f t="shared" si="78"/>
        <v>1.6434772112587995E-2</v>
      </c>
      <c r="E2565" s="53">
        <v>-4.7129795465361159E-5</v>
      </c>
      <c r="G2565" s="90">
        <v>2557</v>
      </c>
      <c r="H2565" s="90">
        <f t="shared" ca="1" si="79"/>
        <v>-2.5012175369602478E-2</v>
      </c>
    </row>
    <row r="2566" spans="2:8" x14ac:dyDescent="0.3">
      <c r="B2566" s="58">
        <f>'DATA HISTORICAL'!$B3211</f>
        <v>42136</v>
      </c>
      <c r="C2566" s="60">
        <f>'DATA HISTORICAL'!$C3211</f>
        <v>2748.85</v>
      </c>
      <c r="D2566" s="53">
        <f t="shared" si="78"/>
        <v>-2.6900853195390425E-2</v>
      </c>
      <c r="E2566" s="53">
        <v>-7.831160190385456E-5</v>
      </c>
      <c r="G2566" s="90">
        <v>2558</v>
      </c>
      <c r="H2566" s="90">
        <f t="shared" ca="1" si="79"/>
        <v>8.8924243819553626E-3</v>
      </c>
    </row>
    <row r="2567" spans="2:8" x14ac:dyDescent="0.3">
      <c r="B2567" s="58">
        <f>'DATA HISTORICAL'!$B3212</f>
        <v>42135</v>
      </c>
      <c r="C2567" s="60">
        <f>'DATA HISTORICAL'!$C3212</f>
        <v>2823.8</v>
      </c>
      <c r="D2567" s="53">
        <f t="shared" si="78"/>
        <v>4.5572737807723487E-2</v>
      </c>
      <c r="E2567" s="53">
        <v>-8.4922084038861683E-5</v>
      </c>
      <c r="G2567" s="90">
        <v>2559</v>
      </c>
      <c r="H2567" s="90">
        <f t="shared" ca="1" si="79"/>
        <v>1.1703229449438647E-2</v>
      </c>
    </row>
    <row r="2568" spans="2:8" x14ac:dyDescent="0.3">
      <c r="B2568" s="58">
        <f>'DATA HISTORICAL'!$B3213</f>
        <v>42132</v>
      </c>
      <c r="C2568" s="60">
        <f>'DATA HISTORICAL'!$C3213</f>
        <v>2698</v>
      </c>
      <c r="D2568" s="53">
        <f t="shared" si="78"/>
        <v>2.9660920131454882E-2</v>
      </c>
      <c r="E2568" s="53">
        <v>-8.6409263126719556E-5</v>
      </c>
      <c r="G2568" s="90">
        <v>2560</v>
      </c>
      <c r="H2568" s="90">
        <f t="shared" ca="1" si="79"/>
        <v>2.8920410614930981E-3</v>
      </c>
    </row>
    <row r="2569" spans="2:8" x14ac:dyDescent="0.3">
      <c r="B2569" s="58">
        <f>'DATA HISTORICAL'!$B3214</f>
        <v>42131</v>
      </c>
      <c r="C2569" s="60">
        <f>'DATA HISTORICAL'!$C3214</f>
        <v>2619.15</v>
      </c>
      <c r="D2569" s="53">
        <f t="shared" ref="D2569:D2632" si="80">LN(C2569/C2570)</f>
        <v>5.1484845344063187E-3</v>
      </c>
      <c r="E2569" s="53">
        <v>-1.061589908816133E-4</v>
      </c>
      <c r="G2569" s="90">
        <v>2561</v>
      </c>
      <c r="H2569" s="90">
        <f t="shared" ref="H2569:H2632" ca="1" si="81">_xlfn.NORM.INV(RAND(),N$10,N$11)</f>
        <v>2.1116803655303367E-2</v>
      </c>
    </row>
    <row r="2570" spans="2:8" x14ac:dyDescent="0.3">
      <c r="B2570" s="58">
        <f>'DATA HISTORICAL'!$B3215</f>
        <v>42130</v>
      </c>
      <c r="C2570" s="60">
        <f>'DATA HISTORICAL'!$C3215</f>
        <v>2605.6999999999998</v>
      </c>
      <c r="D2570" s="53">
        <f t="shared" si="80"/>
        <v>-3.8952035238908542E-2</v>
      </c>
      <c r="E2570" s="53">
        <v>-1.0841005257095928E-4</v>
      </c>
      <c r="G2570" s="90">
        <v>2562</v>
      </c>
      <c r="H2570" s="90">
        <f t="shared" ca="1" si="81"/>
        <v>2.8600312552529539E-2</v>
      </c>
    </row>
    <row r="2571" spans="2:8" x14ac:dyDescent="0.3">
      <c r="B2571" s="58">
        <f>'DATA HISTORICAL'!$B3216</f>
        <v>42129</v>
      </c>
      <c r="C2571" s="60">
        <f>'DATA HISTORICAL'!$C3216</f>
        <v>2709.2</v>
      </c>
      <c r="D2571" s="53">
        <f t="shared" si="80"/>
        <v>5.5368430780451901E-5</v>
      </c>
      <c r="E2571" s="53">
        <v>-1.2069277668383102E-4</v>
      </c>
      <c r="G2571" s="90">
        <v>2563</v>
      </c>
      <c r="H2571" s="90">
        <f t="shared" ca="1" si="81"/>
        <v>1.3465923336509252E-4</v>
      </c>
    </row>
    <row r="2572" spans="2:8" x14ac:dyDescent="0.3">
      <c r="B2572" s="58">
        <f>'DATA HISTORICAL'!$B3217</f>
        <v>42128</v>
      </c>
      <c r="C2572" s="60">
        <f>'DATA HISTORICAL'!$C3217</f>
        <v>2709.05</v>
      </c>
      <c r="D2572" s="53">
        <f t="shared" si="80"/>
        <v>1.3733339804034702E-2</v>
      </c>
      <c r="E2572" s="53">
        <v>-1.2171126047035358E-4</v>
      </c>
      <c r="G2572" s="90">
        <v>2564</v>
      </c>
      <c r="H2572" s="90">
        <f t="shared" ca="1" si="81"/>
        <v>2.8010166576260438E-2</v>
      </c>
    </row>
    <row r="2573" spans="2:8" x14ac:dyDescent="0.3">
      <c r="B2573" s="58">
        <f>'DATA HISTORICAL'!$B3218</f>
        <v>42124</v>
      </c>
      <c r="C2573" s="60">
        <f>'DATA HISTORICAL'!$C3218</f>
        <v>2672.1</v>
      </c>
      <c r="D2573" s="53">
        <f t="shared" si="80"/>
        <v>-2.6722244871729725E-3</v>
      </c>
      <c r="E2573" s="53">
        <v>-1.2212248900798656E-4</v>
      </c>
      <c r="G2573" s="90">
        <v>2565</v>
      </c>
      <c r="H2573" s="90">
        <f t="shared" ca="1" si="81"/>
        <v>1.1918346713641011E-2</v>
      </c>
    </row>
    <row r="2574" spans="2:8" x14ac:dyDescent="0.3">
      <c r="B2574" s="58">
        <f>'DATA HISTORICAL'!$B3219</f>
        <v>42123</v>
      </c>
      <c r="C2574" s="60">
        <f>'DATA HISTORICAL'!$C3219</f>
        <v>2679.25</v>
      </c>
      <c r="D2574" s="53">
        <f t="shared" si="80"/>
        <v>-3.5952834383192436E-3</v>
      </c>
      <c r="E2574" s="53">
        <v>-1.2456531910015365E-4</v>
      </c>
      <c r="G2574" s="90">
        <v>2566</v>
      </c>
      <c r="H2574" s="90">
        <f t="shared" ca="1" si="81"/>
        <v>2.284261134556664E-2</v>
      </c>
    </row>
    <row r="2575" spans="2:8" x14ac:dyDescent="0.3">
      <c r="B2575" s="58">
        <f>'DATA HISTORICAL'!$B3220</f>
        <v>42122</v>
      </c>
      <c r="C2575" s="60">
        <f>'DATA HISTORICAL'!$C3220</f>
        <v>2688.9</v>
      </c>
      <c r="D2575" s="53">
        <f t="shared" si="80"/>
        <v>1.2574545388484706E-2</v>
      </c>
      <c r="E2575" s="53">
        <v>-1.2512773472553174E-4</v>
      </c>
      <c r="G2575" s="90">
        <v>2567</v>
      </c>
      <c r="H2575" s="90">
        <f t="shared" ca="1" si="81"/>
        <v>-9.931209669865021E-3</v>
      </c>
    </row>
    <row r="2576" spans="2:8" x14ac:dyDescent="0.3">
      <c r="B2576" s="58">
        <f>'DATA HISTORICAL'!$B3221</f>
        <v>42121</v>
      </c>
      <c r="C2576" s="60">
        <f>'DATA HISTORICAL'!$C3221</f>
        <v>2655.3</v>
      </c>
      <c r="D2576" s="53">
        <f t="shared" si="80"/>
        <v>-1.9264897169080284E-2</v>
      </c>
      <c r="E2576" s="53">
        <v>-1.3048606076077456E-4</v>
      </c>
      <c r="G2576" s="90">
        <v>2568</v>
      </c>
      <c r="H2576" s="90">
        <f t="shared" ca="1" si="81"/>
        <v>2.229349402037774E-3</v>
      </c>
    </row>
    <row r="2577" spans="2:8" x14ac:dyDescent="0.3">
      <c r="B2577" s="58">
        <f>'DATA HISTORICAL'!$B3222</f>
        <v>42118</v>
      </c>
      <c r="C2577" s="60">
        <f>'DATA HISTORICAL'!$C3222</f>
        <v>2706.95</v>
      </c>
      <c r="D2577" s="53">
        <f t="shared" si="80"/>
        <v>-7.8561647794869651E-3</v>
      </c>
      <c r="E2577" s="53">
        <v>-1.3451369117432131E-4</v>
      </c>
      <c r="G2577" s="90">
        <v>2569</v>
      </c>
      <c r="H2577" s="90">
        <f t="shared" ca="1" si="81"/>
        <v>4.915587783879136E-4</v>
      </c>
    </row>
    <row r="2578" spans="2:8" x14ac:dyDescent="0.3">
      <c r="B2578" s="58">
        <f>'DATA HISTORICAL'!$B3223</f>
        <v>42117</v>
      </c>
      <c r="C2578" s="60">
        <f>'DATA HISTORICAL'!$C3223</f>
        <v>2728.3</v>
      </c>
      <c r="D2578" s="53">
        <f t="shared" si="80"/>
        <v>-2.3365972199318075E-2</v>
      </c>
      <c r="E2578" s="53">
        <v>-1.4104563663460161E-4</v>
      </c>
      <c r="G2578" s="90">
        <v>2570</v>
      </c>
      <c r="H2578" s="90">
        <f t="shared" ca="1" si="81"/>
        <v>-1.4677703837232721E-3</v>
      </c>
    </row>
    <row r="2579" spans="2:8" x14ac:dyDescent="0.3">
      <c r="B2579" s="58">
        <f>'DATA HISTORICAL'!$B3224</f>
        <v>42116</v>
      </c>
      <c r="C2579" s="60">
        <f>'DATA HISTORICAL'!$C3224</f>
        <v>2792.8</v>
      </c>
      <c r="D2579" s="53">
        <f t="shared" si="80"/>
        <v>1.5007496672769915E-2</v>
      </c>
      <c r="E2579" s="53">
        <v>-1.8317031226809582E-4</v>
      </c>
      <c r="G2579" s="90">
        <v>2571</v>
      </c>
      <c r="H2579" s="90">
        <f t="shared" ca="1" si="81"/>
        <v>1.5318567398913522E-2</v>
      </c>
    </row>
    <row r="2580" spans="2:8" x14ac:dyDescent="0.3">
      <c r="B2580" s="58">
        <f>'DATA HISTORICAL'!$B3225</f>
        <v>42115</v>
      </c>
      <c r="C2580" s="60">
        <f>'DATA HISTORICAL'!$C3225</f>
        <v>2751.2</v>
      </c>
      <c r="D2580" s="53">
        <f t="shared" si="80"/>
        <v>-9.748058418863996E-3</v>
      </c>
      <c r="E2580" s="53">
        <v>-1.8575276360656358E-4</v>
      </c>
      <c r="G2580" s="90">
        <v>2572</v>
      </c>
      <c r="H2580" s="90">
        <f t="shared" ca="1" si="81"/>
        <v>3.1958158837032233E-3</v>
      </c>
    </row>
    <row r="2581" spans="2:8" x14ac:dyDescent="0.3">
      <c r="B2581" s="58">
        <f>'DATA HISTORICAL'!$B3226</f>
        <v>42114</v>
      </c>
      <c r="C2581" s="60">
        <f>'DATA HISTORICAL'!$C3226</f>
        <v>2778.15</v>
      </c>
      <c r="D2581" s="53">
        <f t="shared" si="80"/>
        <v>-1.1096707928006275E-2</v>
      </c>
      <c r="E2581" s="53">
        <v>-2.0147698193647562E-4</v>
      </c>
      <c r="G2581" s="90">
        <v>2573</v>
      </c>
      <c r="H2581" s="90">
        <f t="shared" ca="1" si="81"/>
        <v>3.2494652996798483E-2</v>
      </c>
    </row>
    <row r="2582" spans="2:8" x14ac:dyDescent="0.3">
      <c r="B2582" s="58">
        <f>'DATA HISTORICAL'!$B3227</f>
        <v>42111</v>
      </c>
      <c r="C2582" s="60">
        <f>'DATA HISTORICAL'!$C3227</f>
        <v>2809.15</v>
      </c>
      <c r="D2582" s="53">
        <f t="shared" si="80"/>
        <v>-3.0120435550191723E-2</v>
      </c>
      <c r="E2582" s="53">
        <v>-2.0779490717518349E-4</v>
      </c>
      <c r="G2582" s="90">
        <v>2574</v>
      </c>
      <c r="H2582" s="90">
        <f t="shared" ca="1" si="81"/>
        <v>2.162013937696099E-2</v>
      </c>
    </row>
    <row r="2583" spans="2:8" x14ac:dyDescent="0.3">
      <c r="B2583" s="58">
        <f>'DATA HISTORICAL'!$B3228</f>
        <v>42110</v>
      </c>
      <c r="C2583" s="60">
        <f>'DATA HISTORICAL'!$C3228</f>
        <v>2895.05</v>
      </c>
      <c r="D2583" s="53">
        <f t="shared" si="80"/>
        <v>-3.1099751157242166E-2</v>
      </c>
      <c r="E2583" s="53">
        <v>-2.1675156187670152E-4</v>
      </c>
      <c r="G2583" s="90">
        <v>2575</v>
      </c>
      <c r="H2583" s="90">
        <f t="shared" ca="1" si="81"/>
        <v>1.2929148721420126E-2</v>
      </c>
    </row>
    <row r="2584" spans="2:8" x14ac:dyDescent="0.3">
      <c r="B2584" s="58">
        <f>'DATA HISTORICAL'!$B3229</f>
        <v>42109</v>
      </c>
      <c r="C2584" s="60">
        <f>'DATA HISTORICAL'!$C3229</f>
        <v>2986.5</v>
      </c>
      <c r="D2584" s="53">
        <f t="shared" si="80"/>
        <v>-4.9933720432874772E-3</v>
      </c>
      <c r="E2584" s="53">
        <v>-2.2264772768650908E-4</v>
      </c>
      <c r="G2584" s="90">
        <v>2576</v>
      </c>
      <c r="H2584" s="90">
        <f t="shared" ca="1" si="81"/>
        <v>2.6930629641008473E-3</v>
      </c>
    </row>
    <row r="2585" spans="2:8" x14ac:dyDescent="0.3">
      <c r="B2585" s="58">
        <f>'DATA HISTORICAL'!$B3230</f>
        <v>42107</v>
      </c>
      <c r="C2585" s="60">
        <f>'DATA HISTORICAL'!$C3230</f>
        <v>3001.45</v>
      </c>
      <c r="D2585" s="53">
        <f t="shared" si="80"/>
        <v>1.0853468906591082E-2</v>
      </c>
      <c r="E2585" s="53">
        <v>-2.360601570925362E-4</v>
      </c>
      <c r="G2585" s="90">
        <v>2577</v>
      </c>
      <c r="H2585" s="90">
        <f t="shared" ca="1" si="81"/>
        <v>1.1457049516712895E-2</v>
      </c>
    </row>
    <row r="2586" spans="2:8" x14ac:dyDescent="0.3">
      <c r="B2586" s="58">
        <f>'DATA HISTORICAL'!$B3231</f>
        <v>42104</v>
      </c>
      <c r="C2586" s="60">
        <f>'DATA HISTORICAL'!$C3231</f>
        <v>2969.05</v>
      </c>
      <c r="D2586" s="53">
        <f t="shared" si="80"/>
        <v>1.7191981311809022E-3</v>
      </c>
      <c r="E2586" s="53">
        <v>-2.3748009168607703E-4</v>
      </c>
      <c r="G2586" s="90">
        <v>2578</v>
      </c>
      <c r="H2586" s="90">
        <f t="shared" ca="1" si="81"/>
        <v>-4.9871004369284556E-3</v>
      </c>
    </row>
    <row r="2587" spans="2:8" x14ac:dyDescent="0.3">
      <c r="B2587" s="58">
        <f>'DATA HISTORICAL'!$B3232</f>
        <v>42103</v>
      </c>
      <c r="C2587" s="60">
        <f>'DATA HISTORICAL'!$C3232</f>
        <v>2963.95</v>
      </c>
      <c r="D2587" s="53">
        <f t="shared" si="80"/>
        <v>-7.5625528486431863E-3</v>
      </c>
      <c r="E2587" s="53">
        <v>-2.4679883657214891E-4</v>
      </c>
      <c r="G2587" s="90">
        <v>2579</v>
      </c>
      <c r="H2587" s="90">
        <f t="shared" ca="1" si="81"/>
        <v>-2.4997361341647237E-2</v>
      </c>
    </row>
    <row r="2588" spans="2:8" x14ac:dyDescent="0.3">
      <c r="B2588" s="58">
        <f>'DATA HISTORICAL'!$B3233</f>
        <v>42102</v>
      </c>
      <c r="C2588" s="60">
        <f>'DATA HISTORICAL'!$C3233</f>
        <v>2986.45</v>
      </c>
      <c r="D2588" s="53">
        <f t="shared" si="80"/>
        <v>1.8451767946683476E-2</v>
      </c>
      <c r="E2588" s="53">
        <v>-2.4750057116591973E-4</v>
      </c>
      <c r="G2588" s="90">
        <v>2580</v>
      </c>
      <c r="H2588" s="90">
        <f t="shared" ca="1" si="81"/>
        <v>1.6605849186092793E-2</v>
      </c>
    </row>
    <row r="2589" spans="2:8" x14ac:dyDescent="0.3">
      <c r="B2589" s="58">
        <f>'DATA HISTORICAL'!$B3234</f>
        <v>42101</v>
      </c>
      <c r="C2589" s="60">
        <f>'DATA HISTORICAL'!$C3234</f>
        <v>2931.85</v>
      </c>
      <c r="D2589" s="53">
        <f t="shared" si="80"/>
        <v>1.3495157076705143E-2</v>
      </c>
      <c r="E2589" s="53">
        <v>-2.5348295462874262E-4</v>
      </c>
      <c r="G2589" s="90">
        <v>2581</v>
      </c>
      <c r="H2589" s="90">
        <f t="shared" ca="1" si="81"/>
        <v>3.6694572381028488E-2</v>
      </c>
    </row>
    <row r="2590" spans="2:8" x14ac:dyDescent="0.3">
      <c r="B2590" s="58">
        <f>'DATA HISTORICAL'!$B3235</f>
        <v>42100</v>
      </c>
      <c r="C2590" s="60">
        <f>'DATA HISTORICAL'!$C3235</f>
        <v>2892.55</v>
      </c>
      <c r="D2590" s="53">
        <f t="shared" si="80"/>
        <v>3.0642742003755032E-3</v>
      </c>
      <c r="E2590" s="53">
        <v>-2.6787050984672562E-4</v>
      </c>
      <c r="G2590" s="90">
        <v>2582</v>
      </c>
      <c r="H2590" s="90">
        <f t="shared" ca="1" si="81"/>
        <v>-6.4537812882881377E-3</v>
      </c>
    </row>
    <row r="2591" spans="2:8" x14ac:dyDescent="0.3">
      <c r="B2591" s="58">
        <f>'DATA HISTORICAL'!$B3236</f>
        <v>42095</v>
      </c>
      <c r="C2591" s="60">
        <f>'DATA HISTORICAL'!$C3236</f>
        <v>2883.7</v>
      </c>
      <c r="D2591" s="53">
        <f t="shared" si="80"/>
        <v>2.0133303107439013E-3</v>
      </c>
      <c r="E2591" s="53">
        <v>-2.6985455003609434E-4</v>
      </c>
      <c r="G2591" s="90">
        <v>2583</v>
      </c>
      <c r="H2591" s="90">
        <f t="shared" ca="1" si="81"/>
        <v>-3.588191874413337E-3</v>
      </c>
    </row>
    <row r="2592" spans="2:8" x14ac:dyDescent="0.3">
      <c r="B2592" s="58">
        <f>'DATA HISTORICAL'!$B3237</f>
        <v>42094</v>
      </c>
      <c r="C2592" s="60">
        <f>'DATA HISTORICAL'!$C3237</f>
        <v>2877.9</v>
      </c>
      <c r="D2592" s="53">
        <f t="shared" si="80"/>
        <v>-2.2725322908186185E-2</v>
      </c>
      <c r="E2592" s="53">
        <v>-2.7037988538388216E-4</v>
      </c>
      <c r="G2592" s="90">
        <v>2584</v>
      </c>
      <c r="H2592" s="90">
        <f t="shared" ca="1" si="81"/>
        <v>1.6379907580932902E-2</v>
      </c>
    </row>
    <row r="2593" spans="2:8" x14ac:dyDescent="0.3">
      <c r="B2593" s="58">
        <f>'DATA HISTORICAL'!$B3238</f>
        <v>42093</v>
      </c>
      <c r="C2593" s="60">
        <f>'DATA HISTORICAL'!$C3238</f>
        <v>2944.05</v>
      </c>
      <c r="D2593" s="53">
        <f t="shared" si="80"/>
        <v>4.9506271126776115E-2</v>
      </c>
      <c r="E2593" s="53">
        <v>-2.7679107064191362E-4</v>
      </c>
      <c r="G2593" s="90">
        <v>2585</v>
      </c>
      <c r="H2593" s="90">
        <f t="shared" ca="1" si="81"/>
        <v>1.0378244549095764E-2</v>
      </c>
    </row>
    <row r="2594" spans="2:8" x14ac:dyDescent="0.3">
      <c r="B2594" s="58">
        <f>'DATA HISTORICAL'!$B3239</f>
        <v>42090</v>
      </c>
      <c r="C2594" s="60">
        <f>'DATA HISTORICAL'!$C3239</f>
        <v>2801.85</v>
      </c>
      <c r="D2594" s="53">
        <f t="shared" si="80"/>
        <v>2.1616222363935065E-3</v>
      </c>
      <c r="E2594" s="53">
        <v>-2.8400548154408335E-4</v>
      </c>
      <c r="G2594" s="90">
        <v>2586</v>
      </c>
      <c r="H2594" s="90">
        <f t="shared" ca="1" si="81"/>
        <v>2.5847368708912682E-3</v>
      </c>
    </row>
    <row r="2595" spans="2:8" x14ac:dyDescent="0.3">
      <c r="B2595" s="58">
        <f>'DATA HISTORICAL'!$B3240</f>
        <v>42089</v>
      </c>
      <c r="C2595" s="60">
        <f>'DATA HISTORICAL'!$C3240</f>
        <v>2795.8</v>
      </c>
      <c r="D2595" s="53">
        <f t="shared" si="80"/>
        <v>1.0716057812324774E-2</v>
      </c>
      <c r="E2595" s="53">
        <v>-2.8685464085154838E-4</v>
      </c>
      <c r="G2595" s="90">
        <v>2587</v>
      </c>
      <c r="H2595" s="90">
        <f t="shared" ca="1" si="81"/>
        <v>2.1741723112287909E-2</v>
      </c>
    </row>
    <row r="2596" spans="2:8" x14ac:dyDescent="0.3">
      <c r="B2596" s="58">
        <f>'DATA HISTORICAL'!$B3241</f>
        <v>42088</v>
      </c>
      <c r="C2596" s="60">
        <f>'DATA HISTORICAL'!$C3241</f>
        <v>2766</v>
      </c>
      <c r="D2596" s="53">
        <f t="shared" si="80"/>
        <v>-1.275275478063569E-2</v>
      </c>
      <c r="E2596" s="53">
        <v>-2.8873285849247837E-4</v>
      </c>
      <c r="G2596" s="90">
        <v>2588</v>
      </c>
      <c r="H2596" s="90">
        <f t="shared" ca="1" si="81"/>
        <v>-2.9540551025113515E-3</v>
      </c>
    </row>
    <row r="2597" spans="2:8" x14ac:dyDescent="0.3">
      <c r="B2597" s="58">
        <f>'DATA HISTORICAL'!$B3242</f>
        <v>42087</v>
      </c>
      <c r="C2597" s="60">
        <f>'DATA HISTORICAL'!$C3242</f>
        <v>2801.5</v>
      </c>
      <c r="D2597" s="53">
        <f t="shared" si="80"/>
        <v>-9.7683042962279937E-3</v>
      </c>
      <c r="E2597" s="53">
        <v>-2.9230890513597791E-4</v>
      </c>
      <c r="G2597" s="90">
        <v>2589</v>
      </c>
      <c r="H2597" s="90">
        <f t="shared" ca="1" si="81"/>
        <v>1.729506062673945E-2</v>
      </c>
    </row>
    <row r="2598" spans="2:8" x14ac:dyDescent="0.3">
      <c r="B2598" s="58">
        <f>'DATA HISTORICAL'!$B3243</f>
        <v>42086</v>
      </c>
      <c r="C2598" s="60">
        <f>'DATA HISTORICAL'!$C3243</f>
        <v>2829</v>
      </c>
      <c r="D2598" s="53">
        <f t="shared" si="80"/>
        <v>-9.1660637700414268E-3</v>
      </c>
      <c r="E2598" s="53">
        <v>-3.0788493556979359E-4</v>
      </c>
      <c r="G2598" s="90">
        <v>2590</v>
      </c>
      <c r="H2598" s="90">
        <f t="shared" ca="1" si="81"/>
        <v>1.3462987089039145E-2</v>
      </c>
    </row>
    <row r="2599" spans="2:8" x14ac:dyDescent="0.3">
      <c r="B2599" s="58">
        <f>'DATA HISTORICAL'!$B3244</f>
        <v>42083</v>
      </c>
      <c r="C2599" s="60">
        <f>'DATA HISTORICAL'!$C3244</f>
        <v>2855.05</v>
      </c>
      <c r="D2599" s="53">
        <f t="shared" si="80"/>
        <v>-1.3204669904526484E-2</v>
      </c>
      <c r="E2599" s="53">
        <v>-3.2357224032503071E-4</v>
      </c>
      <c r="G2599" s="90">
        <v>2591</v>
      </c>
      <c r="H2599" s="90">
        <f t="shared" ca="1" si="81"/>
        <v>2.3998055379868221E-2</v>
      </c>
    </row>
    <row r="2600" spans="2:8" x14ac:dyDescent="0.3">
      <c r="B2600" s="58">
        <f>'DATA HISTORICAL'!$B3245</f>
        <v>42082</v>
      </c>
      <c r="C2600" s="60">
        <f>'DATA HISTORICAL'!$C3245</f>
        <v>2893</v>
      </c>
      <c r="D2600" s="53">
        <f t="shared" si="80"/>
        <v>-1.4651899701043613E-2</v>
      </c>
      <c r="E2600" s="53">
        <v>-3.3578957502338207E-4</v>
      </c>
      <c r="G2600" s="90">
        <v>2592</v>
      </c>
      <c r="H2600" s="90">
        <f t="shared" ca="1" si="81"/>
        <v>3.14946530381371E-3</v>
      </c>
    </row>
    <row r="2601" spans="2:8" x14ac:dyDescent="0.3">
      <c r="B2601" s="58">
        <f>'DATA HISTORICAL'!$B3246</f>
        <v>42081</v>
      </c>
      <c r="C2601" s="60">
        <f>'DATA HISTORICAL'!$C3246</f>
        <v>2935.7</v>
      </c>
      <c r="D2601" s="53">
        <f t="shared" si="80"/>
        <v>2.4897269046909904E-3</v>
      </c>
      <c r="E2601" s="53">
        <v>-3.3839039294195479E-4</v>
      </c>
      <c r="G2601" s="90">
        <v>2593</v>
      </c>
      <c r="H2601" s="90">
        <f t="shared" ca="1" si="81"/>
        <v>-1.410674692392417E-2</v>
      </c>
    </row>
    <row r="2602" spans="2:8" x14ac:dyDescent="0.3">
      <c r="B2602" s="58">
        <f>'DATA HISTORICAL'!$B3247</f>
        <v>42080</v>
      </c>
      <c r="C2602" s="60">
        <f>'DATA HISTORICAL'!$C3247</f>
        <v>2928.4</v>
      </c>
      <c r="D2602" s="53">
        <f t="shared" si="80"/>
        <v>5.1354147576402054E-3</v>
      </c>
      <c r="E2602" s="53">
        <v>-3.4179687832764147E-4</v>
      </c>
      <c r="G2602" s="90">
        <v>2594</v>
      </c>
      <c r="H2602" s="90">
        <f t="shared" ca="1" si="81"/>
        <v>3.3754277809934954E-3</v>
      </c>
    </row>
    <row r="2603" spans="2:8" x14ac:dyDescent="0.3">
      <c r="B2603" s="58">
        <f>'DATA HISTORICAL'!$B3248</f>
        <v>42079</v>
      </c>
      <c r="C2603" s="60">
        <f>'DATA HISTORICAL'!$C3248</f>
        <v>2913.4</v>
      </c>
      <c r="D2603" s="53">
        <f t="shared" si="80"/>
        <v>-1.1432986334086225E-2</v>
      </c>
      <c r="E2603" s="53">
        <v>-3.4474437546254145E-4</v>
      </c>
      <c r="G2603" s="90">
        <v>2595</v>
      </c>
      <c r="H2603" s="90">
        <f t="shared" ca="1" si="81"/>
        <v>4.7964727343319247E-2</v>
      </c>
    </row>
    <row r="2604" spans="2:8" x14ac:dyDescent="0.3">
      <c r="B2604" s="58">
        <f>'DATA HISTORICAL'!$B3249</f>
        <v>42076</v>
      </c>
      <c r="C2604" s="60">
        <f>'DATA HISTORICAL'!$C3249</f>
        <v>2946.9</v>
      </c>
      <c r="D2604" s="53">
        <f t="shared" si="80"/>
        <v>-2.0970338230257003E-2</v>
      </c>
      <c r="E2604" s="53">
        <v>-3.4872772855058131E-4</v>
      </c>
      <c r="G2604" s="90">
        <v>2596</v>
      </c>
      <c r="H2604" s="90">
        <f t="shared" ca="1" si="81"/>
        <v>-4.4777021481736635E-3</v>
      </c>
    </row>
    <row r="2605" spans="2:8" x14ac:dyDescent="0.3">
      <c r="B2605" s="58">
        <f>'DATA HISTORICAL'!$B3250</f>
        <v>42075</v>
      </c>
      <c r="C2605" s="60">
        <f>'DATA HISTORICAL'!$C3250</f>
        <v>3009.35</v>
      </c>
      <c r="D2605" s="53">
        <f t="shared" si="80"/>
        <v>7.421091517042358E-3</v>
      </c>
      <c r="E2605" s="53">
        <v>-3.4985586295446238E-4</v>
      </c>
      <c r="G2605" s="90">
        <v>2597</v>
      </c>
      <c r="H2605" s="90">
        <f t="shared" ca="1" si="81"/>
        <v>-3.905988583615691E-2</v>
      </c>
    </row>
    <row r="2606" spans="2:8" x14ac:dyDescent="0.3">
      <c r="B2606" s="58">
        <f>'DATA HISTORICAL'!$B3251</f>
        <v>42074</v>
      </c>
      <c r="C2606" s="60">
        <f>'DATA HISTORICAL'!$C3251</f>
        <v>2987.1</v>
      </c>
      <c r="D2606" s="53">
        <f t="shared" si="80"/>
        <v>-1.0026231917327502E-2</v>
      </c>
      <c r="E2606" s="53">
        <v>-3.4989503506027681E-4</v>
      </c>
      <c r="G2606" s="90">
        <v>2598</v>
      </c>
      <c r="H2606" s="90">
        <f t="shared" ca="1" si="81"/>
        <v>-3.409605879245195E-2</v>
      </c>
    </row>
    <row r="2607" spans="2:8" x14ac:dyDescent="0.3">
      <c r="B2607" s="58">
        <f>'DATA HISTORICAL'!$B3252</f>
        <v>42073</v>
      </c>
      <c r="C2607" s="60">
        <f>'DATA HISTORICAL'!$C3252</f>
        <v>3017.2</v>
      </c>
      <c r="D2607" s="53">
        <f t="shared" si="80"/>
        <v>-1.6093453934620198E-2</v>
      </c>
      <c r="E2607" s="53">
        <v>-3.5055943802085257E-4</v>
      </c>
      <c r="G2607" s="90">
        <v>2599</v>
      </c>
      <c r="H2607" s="90">
        <f t="shared" ca="1" si="81"/>
        <v>-1.0174943201442455E-2</v>
      </c>
    </row>
    <row r="2608" spans="2:8" x14ac:dyDescent="0.3">
      <c r="B2608" s="58">
        <f>'DATA HISTORICAL'!$B3253</f>
        <v>42072</v>
      </c>
      <c r="C2608" s="60">
        <f>'DATA HISTORICAL'!$C3253</f>
        <v>3066.15</v>
      </c>
      <c r="D2608" s="53">
        <f t="shared" si="80"/>
        <v>-3.9457138083353216E-2</v>
      </c>
      <c r="E2608" s="53">
        <v>-3.5101267516154727E-4</v>
      </c>
      <c r="G2608" s="90">
        <v>2600</v>
      </c>
      <c r="H2608" s="90">
        <f t="shared" ca="1" si="81"/>
        <v>1.7988768278948263E-2</v>
      </c>
    </row>
    <row r="2609" spans="2:8" x14ac:dyDescent="0.3">
      <c r="B2609" s="58">
        <f>'DATA HISTORICAL'!$B3254</f>
        <v>42068</v>
      </c>
      <c r="C2609" s="60">
        <f>'DATA HISTORICAL'!$C3254</f>
        <v>3189.55</v>
      </c>
      <c r="D2609" s="53">
        <f t="shared" si="80"/>
        <v>-3.7158978707694246E-2</v>
      </c>
      <c r="E2609" s="53">
        <v>-3.5394243978410816E-4</v>
      </c>
      <c r="G2609" s="90">
        <v>2601</v>
      </c>
      <c r="H2609" s="90">
        <f t="shared" ca="1" si="81"/>
        <v>-1.522684698181935E-2</v>
      </c>
    </row>
    <row r="2610" spans="2:8" x14ac:dyDescent="0.3">
      <c r="B2610" s="58">
        <f>'DATA HISTORICAL'!$B3255</f>
        <v>42067</v>
      </c>
      <c r="C2610" s="60">
        <f>'DATA HISTORICAL'!$C3255</f>
        <v>3310.3</v>
      </c>
      <c r="D2610" s="53">
        <f t="shared" si="80"/>
        <v>-1.5155098449501685E-2</v>
      </c>
      <c r="E2610" s="53">
        <v>-3.5999971588817476E-4</v>
      </c>
      <c r="G2610" s="90">
        <v>2602</v>
      </c>
      <c r="H2610" s="90">
        <f t="shared" ca="1" si="81"/>
        <v>-1.5445000571060671E-3</v>
      </c>
    </row>
    <row r="2611" spans="2:8" x14ac:dyDescent="0.3">
      <c r="B2611" s="58">
        <f>'DATA HISTORICAL'!$B3256</f>
        <v>42066</v>
      </c>
      <c r="C2611" s="60">
        <f>'DATA HISTORICAL'!$C3256</f>
        <v>3360.85</v>
      </c>
      <c r="D2611" s="53">
        <f t="shared" si="80"/>
        <v>-2.6594772496397368E-3</v>
      </c>
      <c r="E2611" s="53">
        <v>-3.6522496859079881E-4</v>
      </c>
      <c r="G2611" s="90">
        <v>2603</v>
      </c>
      <c r="H2611" s="90">
        <f t="shared" ca="1" si="81"/>
        <v>-1.2344880015906484E-2</v>
      </c>
    </row>
    <row r="2612" spans="2:8" x14ac:dyDescent="0.3">
      <c r="B2612" s="58">
        <f>'DATA HISTORICAL'!$B3257</f>
        <v>42065</v>
      </c>
      <c r="C2612" s="60">
        <f>'DATA HISTORICAL'!$C3257</f>
        <v>3369.8</v>
      </c>
      <c r="D2612" s="53">
        <f t="shared" si="80"/>
        <v>7.1985015499500815E-2</v>
      </c>
      <c r="E2612" s="53">
        <v>-3.6624548845340756E-4</v>
      </c>
      <c r="G2612" s="90">
        <v>2604</v>
      </c>
      <c r="H2612" s="90">
        <f t="shared" ca="1" si="81"/>
        <v>1.5635244866760427E-2</v>
      </c>
    </row>
    <row r="2613" spans="2:8" x14ac:dyDescent="0.3">
      <c r="B2613" s="58">
        <f>'DATA HISTORICAL'!$B3258</f>
        <v>42063</v>
      </c>
      <c r="C2613" s="60">
        <f>'DATA HISTORICAL'!$C3258</f>
        <v>3135.75</v>
      </c>
      <c r="D2613" s="53">
        <f t="shared" si="80"/>
        <v>3.1781294966907905E-3</v>
      </c>
      <c r="E2613" s="53">
        <v>-3.7011203428936006E-4</v>
      </c>
      <c r="G2613" s="90">
        <v>2605</v>
      </c>
      <c r="H2613" s="90">
        <f t="shared" ca="1" si="81"/>
        <v>7.3156542437782471E-3</v>
      </c>
    </row>
    <row r="2614" spans="2:8" x14ac:dyDescent="0.3">
      <c r="B2614" s="58">
        <f>'DATA HISTORICAL'!$B3259</f>
        <v>42062</v>
      </c>
      <c r="C2614" s="60">
        <f>'DATA HISTORICAL'!$C3259</f>
        <v>3125.8</v>
      </c>
      <c r="D2614" s="53">
        <f t="shared" si="80"/>
        <v>4.8623020930886635E-2</v>
      </c>
      <c r="E2614" s="53">
        <v>-3.9349423382868302E-4</v>
      </c>
      <c r="G2614" s="90">
        <v>2606</v>
      </c>
      <c r="H2614" s="90">
        <f t="shared" ca="1" si="81"/>
        <v>2.5194298030740456E-2</v>
      </c>
    </row>
    <row r="2615" spans="2:8" x14ac:dyDescent="0.3">
      <c r="B2615" s="58">
        <f>'DATA HISTORICAL'!$B3260</f>
        <v>42061</v>
      </c>
      <c r="C2615" s="60">
        <f>'DATA HISTORICAL'!$C3260</f>
        <v>2977.45</v>
      </c>
      <c r="D2615" s="53">
        <f t="shared" si="80"/>
        <v>-2.1727346744401004E-2</v>
      </c>
      <c r="E2615" s="53">
        <v>-3.9920691424250959E-4</v>
      </c>
      <c r="G2615" s="90">
        <v>2607</v>
      </c>
      <c r="H2615" s="90">
        <f t="shared" ca="1" si="81"/>
        <v>-2.7260689312621041E-2</v>
      </c>
    </row>
    <row r="2616" spans="2:8" x14ac:dyDescent="0.3">
      <c r="B2616" s="58">
        <f>'DATA HISTORICAL'!$B3261</f>
        <v>42060</v>
      </c>
      <c r="C2616" s="60">
        <f>'DATA HISTORICAL'!$C3261</f>
        <v>3042.85</v>
      </c>
      <c r="D2616" s="53">
        <f t="shared" si="80"/>
        <v>1.7989525914314852E-2</v>
      </c>
      <c r="E2616" s="53">
        <v>-3.9924379060384376E-4</v>
      </c>
      <c r="G2616" s="90">
        <v>2608</v>
      </c>
      <c r="H2616" s="90">
        <f t="shared" ca="1" si="81"/>
        <v>2.2007998090155273E-2</v>
      </c>
    </row>
    <row r="2617" spans="2:8" x14ac:dyDescent="0.3">
      <c r="B2617" s="58">
        <f>'DATA HISTORICAL'!$B3262</f>
        <v>42059</v>
      </c>
      <c r="C2617" s="60">
        <f>'DATA HISTORICAL'!$C3262</f>
        <v>2988.6</v>
      </c>
      <c r="D2617" s="53">
        <f t="shared" si="80"/>
        <v>3.5195370435069334E-3</v>
      </c>
      <c r="E2617" s="53">
        <v>-4.1972718349675604E-4</v>
      </c>
      <c r="G2617" s="90">
        <v>2609</v>
      </c>
      <c r="H2617" s="90">
        <f t="shared" ca="1" si="81"/>
        <v>1.9771859870646127E-2</v>
      </c>
    </row>
    <row r="2618" spans="2:8" x14ac:dyDescent="0.3">
      <c r="B2618" s="58">
        <f>'DATA HISTORICAL'!$B3263</f>
        <v>42058</v>
      </c>
      <c r="C2618" s="60">
        <f>'DATA HISTORICAL'!$C3263</f>
        <v>2978.1</v>
      </c>
      <c r="D2618" s="53">
        <f t="shared" si="80"/>
        <v>-1.2015764872592474E-2</v>
      </c>
      <c r="E2618" s="53">
        <v>-4.2197175038416224E-4</v>
      </c>
      <c r="G2618" s="90">
        <v>2610</v>
      </c>
      <c r="H2618" s="90">
        <f t="shared" ca="1" si="81"/>
        <v>1.3082863832248753E-2</v>
      </c>
    </row>
    <row r="2619" spans="2:8" x14ac:dyDescent="0.3">
      <c r="B2619" s="58">
        <f>'DATA HISTORICAL'!$B3264</f>
        <v>42055</v>
      </c>
      <c r="C2619" s="60">
        <f>'DATA HISTORICAL'!$C3264</f>
        <v>3014.1</v>
      </c>
      <c r="D2619" s="53">
        <f t="shared" si="80"/>
        <v>-1.586498946161756E-2</v>
      </c>
      <c r="E2619" s="53">
        <v>-4.2968510881479118E-4</v>
      </c>
      <c r="G2619" s="90">
        <v>2611</v>
      </c>
      <c r="H2619" s="90">
        <f t="shared" ca="1" si="81"/>
        <v>4.5804675060036439E-3</v>
      </c>
    </row>
    <row r="2620" spans="2:8" x14ac:dyDescent="0.3">
      <c r="B2620" s="58">
        <f>'DATA HISTORICAL'!$B3265</f>
        <v>42054</v>
      </c>
      <c r="C2620" s="60">
        <f>'DATA HISTORICAL'!$C3265</f>
        <v>3062.3</v>
      </c>
      <c r="D2620" s="53">
        <f t="shared" si="80"/>
        <v>-1.5456458575283974E-2</v>
      </c>
      <c r="E2620" s="53">
        <v>-4.3335603971693946E-4</v>
      </c>
      <c r="G2620" s="90">
        <v>2612</v>
      </c>
      <c r="H2620" s="90">
        <f t="shared" ca="1" si="81"/>
        <v>-4.057882255569553E-3</v>
      </c>
    </row>
    <row r="2621" spans="2:8" x14ac:dyDescent="0.3">
      <c r="B2621" s="58">
        <f>'DATA HISTORICAL'!$B3266</f>
        <v>42053</v>
      </c>
      <c r="C2621" s="60">
        <f>'DATA HISTORICAL'!$C3266</f>
        <v>3110</v>
      </c>
      <c r="D2621" s="53">
        <f t="shared" si="80"/>
        <v>1.0082815513117394E-2</v>
      </c>
      <c r="E2621" s="53">
        <v>-4.3882662283024123E-4</v>
      </c>
      <c r="G2621" s="90">
        <v>2613</v>
      </c>
      <c r="H2621" s="90">
        <f t="shared" ca="1" si="81"/>
        <v>6.916742891369035E-3</v>
      </c>
    </row>
    <row r="2622" spans="2:8" x14ac:dyDescent="0.3">
      <c r="B2622" s="58">
        <f>'DATA HISTORICAL'!$B3267</f>
        <v>42051</v>
      </c>
      <c r="C2622" s="60">
        <f>'DATA HISTORICAL'!$C3267</f>
        <v>3078.8</v>
      </c>
      <c r="D2622" s="53">
        <f t="shared" si="80"/>
        <v>-1.0886351112800655E-2</v>
      </c>
      <c r="E2622" s="53">
        <v>-4.438628383667546E-4</v>
      </c>
      <c r="G2622" s="90">
        <v>2614</v>
      </c>
      <c r="H2622" s="90">
        <f t="shared" ca="1" si="81"/>
        <v>2.9000965490072941E-2</v>
      </c>
    </row>
    <row r="2623" spans="2:8" x14ac:dyDescent="0.3">
      <c r="B2623" s="58">
        <f>'DATA HISTORICAL'!$B3268</f>
        <v>42048</v>
      </c>
      <c r="C2623" s="60">
        <f>'DATA HISTORICAL'!$C3268</f>
        <v>3112.5</v>
      </c>
      <c r="D2623" s="53">
        <f t="shared" si="80"/>
        <v>2.5181888893008781E-2</v>
      </c>
      <c r="E2623" s="53">
        <v>-4.5664944646409188E-4</v>
      </c>
      <c r="G2623" s="90">
        <v>2615</v>
      </c>
      <c r="H2623" s="90">
        <f t="shared" ca="1" si="81"/>
        <v>2.2961578039128343E-2</v>
      </c>
    </row>
    <row r="2624" spans="2:8" x14ac:dyDescent="0.3">
      <c r="B2624" s="58">
        <f>'DATA HISTORICAL'!$B3269</f>
        <v>42047</v>
      </c>
      <c r="C2624" s="60">
        <f>'DATA HISTORICAL'!$C3269</f>
        <v>3035.1</v>
      </c>
      <c r="D2624" s="53">
        <f t="shared" si="80"/>
        <v>8.9689668102238482E-3</v>
      </c>
      <c r="E2624" s="53">
        <v>-4.6781281657804337E-4</v>
      </c>
      <c r="G2624" s="90">
        <v>2616</v>
      </c>
      <c r="H2624" s="90">
        <f t="shared" ca="1" si="81"/>
        <v>2.2913787391210774E-2</v>
      </c>
    </row>
    <row r="2625" spans="2:8" x14ac:dyDescent="0.3">
      <c r="B2625" s="58">
        <f>'DATA HISTORICAL'!$B3270</f>
        <v>42046</v>
      </c>
      <c r="C2625" s="60">
        <f>'DATA HISTORICAL'!$C3270</f>
        <v>3008</v>
      </c>
      <c r="D2625" s="53">
        <f t="shared" si="80"/>
        <v>1.3993733761868446E-2</v>
      </c>
      <c r="E2625" s="53">
        <v>-4.6927549939583795E-4</v>
      </c>
      <c r="G2625" s="90">
        <v>2617</v>
      </c>
      <c r="H2625" s="90">
        <f t="shared" ca="1" si="81"/>
        <v>-4.7883049253709667E-3</v>
      </c>
    </row>
    <row r="2626" spans="2:8" x14ac:dyDescent="0.3">
      <c r="B2626" s="58">
        <f>'DATA HISTORICAL'!$B3271</f>
        <v>42045</v>
      </c>
      <c r="C2626" s="60">
        <f>'DATA HISTORICAL'!$C3271</f>
        <v>2966.2</v>
      </c>
      <c r="D2626" s="53">
        <f t="shared" si="80"/>
        <v>1.1637812393040816E-3</v>
      </c>
      <c r="E2626" s="53">
        <v>-4.7576058103301953E-4</v>
      </c>
      <c r="G2626" s="90">
        <v>2618</v>
      </c>
      <c r="H2626" s="90">
        <f t="shared" ca="1" si="81"/>
        <v>-3.2542254821394466E-2</v>
      </c>
    </row>
    <row r="2627" spans="2:8" x14ac:dyDescent="0.3">
      <c r="B2627" s="58">
        <f>'DATA HISTORICAL'!$B3272</f>
        <v>42044</v>
      </c>
      <c r="C2627" s="60">
        <f>'DATA HISTORICAL'!$C3272</f>
        <v>2962.75</v>
      </c>
      <c r="D2627" s="53">
        <f t="shared" si="80"/>
        <v>-1.527386461527229E-2</v>
      </c>
      <c r="E2627" s="53">
        <v>-4.7792840673365275E-4</v>
      </c>
      <c r="G2627" s="90">
        <v>2619</v>
      </c>
      <c r="H2627" s="90">
        <f t="shared" ca="1" si="81"/>
        <v>1.5488031232424846E-2</v>
      </c>
    </row>
    <row r="2628" spans="2:8" x14ac:dyDescent="0.3">
      <c r="B2628" s="58">
        <f>'DATA HISTORICAL'!$B3273</f>
        <v>42041</v>
      </c>
      <c r="C2628" s="60">
        <f>'DATA HISTORICAL'!$C3273</f>
        <v>3008.35</v>
      </c>
      <c r="D2628" s="53">
        <f t="shared" si="80"/>
        <v>-1.8362132719791861E-2</v>
      </c>
      <c r="E2628" s="53">
        <v>-4.8057918466867691E-4</v>
      </c>
      <c r="G2628" s="90">
        <v>2620</v>
      </c>
      <c r="H2628" s="90">
        <f t="shared" ca="1" si="81"/>
        <v>3.0286189828702612E-2</v>
      </c>
    </row>
    <row r="2629" spans="2:8" x14ac:dyDescent="0.3">
      <c r="B2629" s="58">
        <f>'DATA HISTORICAL'!$B3274</f>
        <v>42040</v>
      </c>
      <c r="C2629" s="60">
        <f>'DATA HISTORICAL'!$C3274</f>
        <v>3064.1</v>
      </c>
      <c r="D2629" s="53">
        <f t="shared" si="80"/>
        <v>-1.0647722736032013E-2</v>
      </c>
      <c r="E2629" s="53">
        <v>-4.8377521522278402E-4</v>
      </c>
      <c r="G2629" s="90">
        <v>2621</v>
      </c>
      <c r="H2629" s="90">
        <f t="shared" ca="1" si="81"/>
        <v>1.421074454088722E-3</v>
      </c>
    </row>
    <row r="2630" spans="2:8" x14ac:dyDescent="0.3">
      <c r="B2630" s="58">
        <f>'DATA HISTORICAL'!$B3275</f>
        <v>42039</v>
      </c>
      <c r="C2630" s="60">
        <f>'DATA HISTORICAL'!$C3275</f>
        <v>3096.9</v>
      </c>
      <c r="D2630" s="53">
        <f t="shared" si="80"/>
        <v>-3.4330232203534108E-3</v>
      </c>
      <c r="E2630" s="53">
        <v>-4.8968171667566852E-4</v>
      </c>
      <c r="G2630" s="90">
        <v>2622</v>
      </c>
      <c r="H2630" s="90">
        <f t="shared" ca="1" si="81"/>
        <v>3.3227885175166595E-2</v>
      </c>
    </row>
    <row r="2631" spans="2:8" x14ac:dyDescent="0.3">
      <c r="B2631" s="58">
        <f>'DATA HISTORICAL'!$B3276</f>
        <v>42038</v>
      </c>
      <c r="C2631" s="60">
        <f>'DATA HISTORICAL'!$C3276</f>
        <v>3107.55</v>
      </c>
      <c r="D2631" s="53">
        <f t="shared" si="80"/>
        <v>6.618692034044955E-3</v>
      </c>
      <c r="E2631" s="53">
        <v>-4.899559137700036E-4</v>
      </c>
      <c r="G2631" s="90">
        <v>2623</v>
      </c>
      <c r="H2631" s="90">
        <f t="shared" ca="1" si="81"/>
        <v>1.0142837805255838E-2</v>
      </c>
    </row>
    <row r="2632" spans="2:8" x14ac:dyDescent="0.3">
      <c r="B2632" s="58">
        <f>'DATA HISTORICAL'!$B3277</f>
        <v>42037</v>
      </c>
      <c r="C2632" s="60">
        <f>'DATA HISTORICAL'!$C3277</f>
        <v>3087.05</v>
      </c>
      <c r="D2632" s="53">
        <f t="shared" si="80"/>
        <v>-1.7118316332731406E-2</v>
      </c>
      <c r="E2632" s="53">
        <v>-5.0337622682205055E-4</v>
      </c>
      <c r="G2632" s="90">
        <v>2624</v>
      </c>
      <c r="H2632" s="90">
        <f t="shared" ca="1" si="81"/>
        <v>-1.0137324426391505E-2</v>
      </c>
    </row>
    <row r="2633" spans="2:8" x14ac:dyDescent="0.3">
      <c r="B2633" s="58">
        <f>'DATA HISTORICAL'!$B3278</f>
        <v>42034</v>
      </c>
      <c r="C2633" s="60">
        <f>'DATA HISTORICAL'!$C3278</f>
        <v>3140.35</v>
      </c>
      <c r="D2633" s="53">
        <f t="shared" ref="D2633:D2696" si="82">LN(C2633/C2634)</f>
        <v>-7.1076436360849671E-3</v>
      </c>
      <c r="E2633" s="53">
        <v>-5.0885991856486888E-4</v>
      </c>
      <c r="G2633" s="90">
        <v>2625</v>
      </c>
      <c r="H2633" s="90">
        <f t="shared" ref="H2633:H2696" ca="1" si="83">_xlfn.NORM.INV(RAND(),N$10,N$11)</f>
        <v>3.2974810186836054E-2</v>
      </c>
    </row>
    <row r="2634" spans="2:8" x14ac:dyDescent="0.3">
      <c r="B2634" s="58">
        <f>'DATA HISTORICAL'!$B3279</f>
        <v>42033</v>
      </c>
      <c r="C2634" s="60">
        <f>'DATA HISTORICAL'!$C3279</f>
        <v>3162.75</v>
      </c>
      <c r="D2634" s="53">
        <f t="shared" si="82"/>
        <v>7.2987233965427258E-3</v>
      </c>
      <c r="E2634" s="53">
        <v>-5.1190172604906185E-4</v>
      </c>
      <c r="G2634" s="90">
        <v>2626</v>
      </c>
      <c r="H2634" s="90">
        <f t="shared" ca="1" si="83"/>
        <v>1.1364146394020887E-2</v>
      </c>
    </row>
    <row r="2635" spans="2:8" x14ac:dyDescent="0.3">
      <c r="B2635" s="58">
        <f>'DATA HISTORICAL'!$B3280</f>
        <v>42032</v>
      </c>
      <c r="C2635" s="60">
        <f>'DATA HISTORICAL'!$C3280</f>
        <v>3139.75</v>
      </c>
      <c r="D2635" s="53">
        <f t="shared" si="82"/>
        <v>5.8455414648188337E-3</v>
      </c>
      <c r="E2635" s="53">
        <v>-5.1652893710407797E-4</v>
      </c>
      <c r="G2635" s="90">
        <v>2627</v>
      </c>
      <c r="H2635" s="90">
        <f t="shared" ca="1" si="83"/>
        <v>2.7890718092559681E-2</v>
      </c>
    </row>
    <row r="2636" spans="2:8" x14ac:dyDescent="0.3">
      <c r="B2636" s="58">
        <f>'DATA HISTORICAL'!$B3281</f>
        <v>42031</v>
      </c>
      <c r="C2636" s="60">
        <f>'DATA HISTORICAL'!$C3281</f>
        <v>3121.45</v>
      </c>
      <c r="D2636" s="53">
        <f t="shared" si="82"/>
        <v>-8.4379263985577997E-3</v>
      </c>
      <c r="E2636" s="53">
        <v>-5.2270121556562599E-4</v>
      </c>
      <c r="G2636" s="90">
        <v>2628</v>
      </c>
      <c r="H2636" s="90">
        <f t="shared" ca="1" si="83"/>
        <v>1.0011616219647329E-2</v>
      </c>
    </row>
    <row r="2637" spans="2:8" x14ac:dyDescent="0.3">
      <c r="B2637" s="58">
        <f>'DATA HISTORICAL'!$B3282</f>
        <v>42027</v>
      </c>
      <c r="C2637" s="60">
        <f>'DATA HISTORICAL'!$C3282</f>
        <v>3147.9</v>
      </c>
      <c r="D2637" s="53">
        <f t="shared" si="82"/>
        <v>8.1176137706970245E-3</v>
      </c>
      <c r="E2637" s="53">
        <v>-5.3130812432333437E-4</v>
      </c>
      <c r="G2637" s="90">
        <v>2629</v>
      </c>
      <c r="H2637" s="90">
        <f t="shared" ca="1" si="83"/>
        <v>1.1257768294008205E-2</v>
      </c>
    </row>
    <row r="2638" spans="2:8" x14ac:dyDescent="0.3">
      <c r="B2638" s="58">
        <f>'DATA HISTORICAL'!$B3283</f>
        <v>42026</v>
      </c>
      <c r="C2638" s="60">
        <f>'DATA HISTORICAL'!$C3283</f>
        <v>3122.45</v>
      </c>
      <c r="D2638" s="53">
        <f t="shared" si="82"/>
        <v>2.1903826047049029E-2</v>
      </c>
      <c r="E2638" s="53">
        <v>-5.3366540446489789E-4</v>
      </c>
      <c r="G2638" s="90">
        <v>2630</v>
      </c>
      <c r="H2638" s="90">
        <f t="shared" ca="1" si="83"/>
        <v>1.3705458459849157E-3</v>
      </c>
    </row>
    <row r="2639" spans="2:8" x14ac:dyDescent="0.3">
      <c r="B2639" s="58">
        <f>'DATA HISTORICAL'!$B3284</f>
        <v>42025</v>
      </c>
      <c r="C2639" s="60">
        <f>'DATA HISTORICAL'!$C3284</f>
        <v>3054.8</v>
      </c>
      <c r="D2639" s="53">
        <f t="shared" si="82"/>
        <v>-1.354216997047903E-2</v>
      </c>
      <c r="E2639" s="53">
        <v>-5.3869636784856679E-4</v>
      </c>
      <c r="G2639" s="90">
        <v>2631</v>
      </c>
      <c r="H2639" s="90">
        <f t="shared" ca="1" si="83"/>
        <v>1.3605337152349507E-2</v>
      </c>
    </row>
    <row r="2640" spans="2:8" x14ac:dyDescent="0.3">
      <c r="B2640" s="58">
        <f>'DATA HISTORICAL'!$B3285</f>
        <v>42024</v>
      </c>
      <c r="C2640" s="60">
        <f>'DATA HISTORICAL'!$C3285</f>
        <v>3096.45</v>
      </c>
      <c r="D2640" s="53">
        <f t="shared" si="82"/>
        <v>2.5707578487544507E-3</v>
      </c>
      <c r="E2640" s="53">
        <v>-5.5309735923294266E-4</v>
      </c>
      <c r="G2640" s="90">
        <v>2632</v>
      </c>
      <c r="H2640" s="90">
        <f t="shared" ca="1" si="83"/>
        <v>1.1995389569892989E-2</v>
      </c>
    </row>
    <row r="2641" spans="2:8" x14ac:dyDescent="0.3">
      <c r="B2641" s="58">
        <f>'DATA HISTORICAL'!$B3286</f>
        <v>42023</v>
      </c>
      <c r="C2641" s="60">
        <f>'DATA HISTORICAL'!$C3286</f>
        <v>3088.5</v>
      </c>
      <c r="D2641" s="53">
        <f t="shared" si="82"/>
        <v>5.9754017953068724E-3</v>
      </c>
      <c r="E2641" s="53">
        <v>-5.5586719237753722E-4</v>
      </c>
      <c r="G2641" s="90">
        <v>2633</v>
      </c>
      <c r="H2641" s="90">
        <f t="shared" ca="1" si="83"/>
        <v>1.1225539204163887E-2</v>
      </c>
    </row>
    <row r="2642" spans="2:8" x14ac:dyDescent="0.3">
      <c r="B2642" s="58">
        <f>'DATA HISTORICAL'!$B3287</f>
        <v>42020</v>
      </c>
      <c r="C2642" s="60">
        <f>'DATA HISTORICAL'!$C3287</f>
        <v>3070.1</v>
      </c>
      <c r="D2642" s="53">
        <f t="shared" si="82"/>
        <v>-4.2092323835037811E-3</v>
      </c>
      <c r="E2642" s="53">
        <v>-5.7433756963194368E-4</v>
      </c>
      <c r="G2642" s="90">
        <v>2634</v>
      </c>
      <c r="H2642" s="90">
        <f t="shared" ca="1" si="83"/>
        <v>2.7374642907129151E-2</v>
      </c>
    </row>
    <row r="2643" spans="2:8" x14ac:dyDescent="0.3">
      <c r="B2643" s="58">
        <f>'DATA HISTORICAL'!$B3288</f>
        <v>42019</v>
      </c>
      <c r="C2643" s="60">
        <f>'DATA HISTORICAL'!$C3288</f>
        <v>3083.05</v>
      </c>
      <c r="D2643" s="53">
        <f t="shared" si="82"/>
        <v>5.8161552669802261E-2</v>
      </c>
      <c r="E2643" s="53">
        <v>-5.8257175862612106E-4</v>
      </c>
      <c r="G2643" s="90">
        <v>2635</v>
      </c>
      <c r="H2643" s="90">
        <f t="shared" ca="1" si="83"/>
        <v>3.7793161654279289E-2</v>
      </c>
    </row>
    <row r="2644" spans="2:8" x14ac:dyDescent="0.3">
      <c r="B2644" s="58">
        <f>'DATA HISTORICAL'!$B3289</f>
        <v>42018</v>
      </c>
      <c r="C2644" s="60">
        <f>'DATA HISTORICAL'!$C3289</f>
        <v>2908.85</v>
      </c>
      <c r="D2644" s="53">
        <f t="shared" si="82"/>
        <v>3.1552985532718944E-2</v>
      </c>
      <c r="E2644" s="53">
        <v>-5.835043490753784E-4</v>
      </c>
      <c r="G2644" s="90">
        <v>2636</v>
      </c>
      <c r="H2644" s="90">
        <f t="shared" ca="1" si="83"/>
        <v>7.862089736855659E-3</v>
      </c>
    </row>
    <row r="2645" spans="2:8" x14ac:dyDescent="0.3">
      <c r="B2645" s="58">
        <f>'DATA HISTORICAL'!$B3290</f>
        <v>42017</v>
      </c>
      <c r="C2645" s="60">
        <f>'DATA HISTORICAL'!$C3290</f>
        <v>2818.5</v>
      </c>
      <c r="D2645" s="53">
        <f t="shared" si="82"/>
        <v>4.2841950590480279E-2</v>
      </c>
      <c r="E2645" s="53">
        <v>-5.8603877046338861E-4</v>
      </c>
      <c r="G2645" s="90">
        <v>2637</v>
      </c>
      <c r="H2645" s="90">
        <f t="shared" ca="1" si="83"/>
        <v>-2.8417524648752931E-3</v>
      </c>
    </row>
    <row r="2646" spans="2:8" x14ac:dyDescent="0.3">
      <c r="B2646" s="58">
        <f>'DATA HISTORICAL'!$B3291</f>
        <v>42016</v>
      </c>
      <c r="C2646" s="60">
        <f>'DATA HISTORICAL'!$C3291</f>
        <v>2700.3</v>
      </c>
      <c r="D2646" s="53">
        <f t="shared" si="82"/>
        <v>-1.0700607660589681E-2</v>
      </c>
      <c r="E2646" s="53">
        <v>-5.8942716755307786E-4</v>
      </c>
      <c r="G2646" s="90">
        <v>2638</v>
      </c>
      <c r="H2646" s="90">
        <f t="shared" ca="1" si="83"/>
        <v>1.3940410071453371E-2</v>
      </c>
    </row>
    <row r="2647" spans="2:8" x14ac:dyDescent="0.3">
      <c r="B2647" s="58">
        <f>'DATA HISTORICAL'!$B3292</f>
        <v>42013</v>
      </c>
      <c r="C2647" s="60">
        <f>'DATA HISTORICAL'!$C3292</f>
        <v>2729.35</v>
      </c>
      <c r="D2647" s="53">
        <f t="shared" si="82"/>
        <v>6.9637885822572518E-4</v>
      </c>
      <c r="E2647" s="53">
        <v>-5.9218627546794736E-4</v>
      </c>
      <c r="G2647" s="90">
        <v>2639</v>
      </c>
      <c r="H2647" s="90">
        <f t="shared" ca="1" si="83"/>
        <v>1.846725926683538E-2</v>
      </c>
    </row>
    <row r="2648" spans="2:8" x14ac:dyDescent="0.3">
      <c r="B2648" s="58">
        <f>'DATA HISTORICAL'!$B3293</f>
        <v>42012</v>
      </c>
      <c r="C2648" s="60">
        <f>'DATA HISTORICAL'!$C3293</f>
        <v>2727.45</v>
      </c>
      <c r="D2648" s="53">
        <f t="shared" si="82"/>
        <v>2.5022187141948475E-2</v>
      </c>
      <c r="E2648" s="53">
        <v>-5.932957753387204E-4</v>
      </c>
      <c r="G2648" s="90">
        <v>2640</v>
      </c>
      <c r="H2648" s="90">
        <f t="shared" ca="1" si="83"/>
        <v>6.3884338697181948E-3</v>
      </c>
    </row>
    <row r="2649" spans="2:8" x14ac:dyDescent="0.3">
      <c r="B2649" s="58">
        <f>'DATA HISTORICAL'!$B3294</f>
        <v>42011</v>
      </c>
      <c r="C2649" s="60">
        <f>'DATA HISTORICAL'!$C3294</f>
        <v>2660.05</v>
      </c>
      <c r="D2649" s="53">
        <f t="shared" si="82"/>
        <v>-3.9582466582988377E-3</v>
      </c>
      <c r="E2649" s="53">
        <v>-5.9540622966116502E-4</v>
      </c>
      <c r="G2649" s="90">
        <v>2641</v>
      </c>
      <c r="H2649" s="90">
        <f t="shared" ca="1" si="83"/>
        <v>-5.4014476064433721E-2</v>
      </c>
    </row>
    <row r="2650" spans="2:8" x14ac:dyDescent="0.3">
      <c r="B2650" s="58">
        <f>'DATA HISTORICAL'!$B3295</f>
        <v>42010</v>
      </c>
      <c r="C2650" s="60">
        <f>'DATA HISTORICAL'!$C3295</f>
        <v>2670.6</v>
      </c>
      <c r="D2650" s="53">
        <f t="shared" si="82"/>
        <v>-2.8461031827187826E-2</v>
      </c>
      <c r="E2650" s="53">
        <v>-5.9910136589733575E-4</v>
      </c>
      <c r="G2650" s="90">
        <v>2642</v>
      </c>
      <c r="H2650" s="90">
        <f t="shared" ca="1" si="83"/>
        <v>2.0403434891231736E-2</v>
      </c>
    </row>
    <row r="2651" spans="2:8" x14ac:dyDescent="0.3">
      <c r="B2651" s="58">
        <f>'DATA HISTORICAL'!$B3296</f>
        <v>42009</v>
      </c>
      <c r="C2651" s="60">
        <f>'DATA HISTORICAL'!$C3296</f>
        <v>2747.7</v>
      </c>
      <c r="D2651" s="53">
        <f t="shared" si="82"/>
        <v>2.0401478896722204E-3</v>
      </c>
      <c r="E2651" s="53">
        <v>-6.0154030832432323E-4</v>
      </c>
      <c r="G2651" s="90">
        <v>2643</v>
      </c>
      <c r="H2651" s="90">
        <f t="shared" ca="1" si="83"/>
        <v>1.7656129286608993E-2</v>
      </c>
    </row>
    <row r="2652" spans="2:8" x14ac:dyDescent="0.3">
      <c r="B2652" s="58">
        <f>'DATA HISTORICAL'!$B3297</f>
        <v>42006</v>
      </c>
      <c r="C2652" s="60">
        <f>'DATA HISTORICAL'!$C3297</f>
        <v>2742.1</v>
      </c>
      <c r="D2652" s="53">
        <f t="shared" si="82"/>
        <v>2.9458519169698671E-2</v>
      </c>
      <c r="E2652" s="53">
        <v>-6.0528461864275355E-4</v>
      </c>
      <c r="G2652" s="90">
        <v>2644</v>
      </c>
      <c r="H2652" s="90">
        <f t="shared" ca="1" si="83"/>
        <v>9.1993545938769301E-4</v>
      </c>
    </row>
    <row r="2653" spans="2:8" x14ac:dyDescent="0.3">
      <c r="B2653" s="58">
        <f>'DATA HISTORICAL'!$B3298</f>
        <v>42005</v>
      </c>
      <c r="C2653" s="60">
        <f>'DATA HISTORICAL'!$C3298</f>
        <v>2662.5</v>
      </c>
      <c r="D2653" s="53">
        <f t="shared" si="82"/>
        <v>-5.0762956597699077E-3</v>
      </c>
      <c r="E2653" s="53">
        <v>-6.1490606534848294E-4</v>
      </c>
      <c r="G2653" s="90">
        <v>2645</v>
      </c>
      <c r="H2653" s="90">
        <f t="shared" ca="1" si="83"/>
        <v>-1.278122549611526E-2</v>
      </c>
    </row>
    <row r="2654" spans="2:8" x14ac:dyDescent="0.3">
      <c r="B2654" s="58">
        <f>'DATA HISTORICAL'!$B3299</f>
        <v>42004</v>
      </c>
      <c r="C2654" s="60">
        <f>'DATA HISTORICAL'!$C3299</f>
        <v>2676.05</v>
      </c>
      <c r="D2654" s="53">
        <f t="shared" si="82"/>
        <v>1.7434029024631915E-2</v>
      </c>
      <c r="E2654" s="53">
        <v>-6.1684525845254483E-4</v>
      </c>
      <c r="G2654" s="90">
        <v>2646</v>
      </c>
      <c r="H2654" s="90">
        <f t="shared" ca="1" si="83"/>
        <v>-5.3486304327530635E-3</v>
      </c>
    </row>
    <row r="2655" spans="2:8" x14ac:dyDescent="0.3">
      <c r="B2655" s="58">
        <f>'DATA HISTORICAL'!$B3300</f>
        <v>42003</v>
      </c>
      <c r="C2655" s="60">
        <f>'DATA HISTORICAL'!$C3300</f>
        <v>2629.8</v>
      </c>
      <c r="D2655" s="53">
        <f t="shared" si="82"/>
        <v>-5.9144849391283717E-3</v>
      </c>
      <c r="E2655" s="53">
        <v>-6.1743735349087847E-4</v>
      </c>
      <c r="G2655" s="90">
        <v>2647</v>
      </c>
      <c r="H2655" s="90">
        <f t="shared" ca="1" si="83"/>
        <v>4.8857983457991031E-3</v>
      </c>
    </row>
    <row r="2656" spans="2:8" x14ac:dyDescent="0.3">
      <c r="B2656" s="58">
        <f>'DATA HISTORICAL'!$B3301</f>
        <v>42002</v>
      </c>
      <c r="C2656" s="60">
        <f>'DATA HISTORICAL'!$C3301</f>
        <v>2645.4</v>
      </c>
      <c r="D2656" s="53">
        <f t="shared" si="82"/>
        <v>1.617686538732465E-2</v>
      </c>
      <c r="E2656" s="53">
        <v>-6.1893076354219384E-4</v>
      </c>
      <c r="G2656" s="90">
        <v>2648</v>
      </c>
      <c r="H2656" s="90">
        <f t="shared" ca="1" si="83"/>
        <v>-1.2484042921073739E-2</v>
      </c>
    </row>
    <row r="2657" spans="2:8" x14ac:dyDescent="0.3">
      <c r="B2657" s="58">
        <f>'DATA HISTORICAL'!$B3302</f>
        <v>41999</v>
      </c>
      <c r="C2657" s="60">
        <f>'DATA HISTORICAL'!$C3302</f>
        <v>2602.9499999999998</v>
      </c>
      <c r="D2657" s="53">
        <f t="shared" si="82"/>
        <v>-6.7388021837531242E-3</v>
      </c>
      <c r="E2657" s="53">
        <v>-6.2400651188884444E-4</v>
      </c>
      <c r="G2657" s="90">
        <v>2649</v>
      </c>
      <c r="H2657" s="90">
        <f t="shared" ca="1" si="83"/>
        <v>3.6389105113348629E-3</v>
      </c>
    </row>
    <row r="2658" spans="2:8" x14ac:dyDescent="0.3">
      <c r="B2658" s="58">
        <f>'DATA HISTORICAL'!$B3303</f>
        <v>41997</v>
      </c>
      <c r="C2658" s="60">
        <f>'DATA HISTORICAL'!$C3303</f>
        <v>2620.5500000000002</v>
      </c>
      <c r="D2658" s="53">
        <f t="shared" si="82"/>
        <v>2.9450052359488242E-2</v>
      </c>
      <c r="E2658" s="53">
        <v>-6.3431654521399732E-4</v>
      </c>
      <c r="G2658" s="90">
        <v>2650</v>
      </c>
      <c r="H2658" s="90">
        <f t="shared" ca="1" si="83"/>
        <v>-3.5274310529897794E-3</v>
      </c>
    </row>
    <row r="2659" spans="2:8" x14ac:dyDescent="0.3">
      <c r="B2659" s="58">
        <f>'DATA HISTORICAL'!$B3304</f>
        <v>41996</v>
      </c>
      <c r="C2659" s="60">
        <f>'DATA HISTORICAL'!$C3304</f>
        <v>2544.5</v>
      </c>
      <c r="D2659" s="53">
        <f t="shared" si="82"/>
        <v>1.0866450893571394E-2</v>
      </c>
      <c r="E2659" s="53">
        <v>-6.5929289720575198E-4</v>
      </c>
      <c r="G2659" s="90">
        <v>2651</v>
      </c>
      <c r="H2659" s="90">
        <f t="shared" ca="1" si="83"/>
        <v>3.5350333148873344E-3</v>
      </c>
    </row>
    <row r="2660" spans="2:8" x14ac:dyDescent="0.3">
      <c r="B2660" s="58">
        <f>'DATA HISTORICAL'!$B3305</f>
        <v>41995</v>
      </c>
      <c r="C2660" s="60">
        <f>'DATA HISTORICAL'!$C3305</f>
        <v>2517</v>
      </c>
      <c r="D2660" s="53">
        <f t="shared" si="82"/>
        <v>7.437202174903252E-3</v>
      </c>
      <c r="E2660" s="53">
        <v>-6.7661986842620101E-4</v>
      </c>
      <c r="G2660" s="90">
        <v>2652</v>
      </c>
      <c r="H2660" s="90">
        <f t="shared" ca="1" si="83"/>
        <v>-2.3170359093913169E-3</v>
      </c>
    </row>
    <row r="2661" spans="2:8" x14ac:dyDescent="0.3">
      <c r="B2661" s="58">
        <f>'DATA HISTORICAL'!$B3306</f>
        <v>41992</v>
      </c>
      <c r="C2661" s="60">
        <f>'DATA HISTORICAL'!$C3306</f>
        <v>2498.35</v>
      </c>
      <c r="D2661" s="53">
        <f t="shared" si="82"/>
        <v>2.0951645080581206E-2</v>
      </c>
      <c r="E2661" s="53">
        <v>-6.8467968542184211E-4</v>
      </c>
      <c r="G2661" s="90">
        <v>2653</v>
      </c>
      <c r="H2661" s="90">
        <f t="shared" ca="1" si="83"/>
        <v>2.4081440981571611E-2</v>
      </c>
    </row>
    <row r="2662" spans="2:8" x14ac:dyDescent="0.3">
      <c r="B2662" s="58">
        <f>'DATA HISTORICAL'!$B3307</f>
        <v>41991</v>
      </c>
      <c r="C2662" s="60">
        <f>'DATA HISTORICAL'!$C3307</f>
        <v>2446.5500000000002</v>
      </c>
      <c r="D2662" s="53">
        <f t="shared" si="82"/>
        <v>2.9677559979299647E-3</v>
      </c>
      <c r="E2662" s="53">
        <v>-6.9557580004234751E-4</v>
      </c>
      <c r="G2662" s="90">
        <v>2654</v>
      </c>
      <c r="H2662" s="90">
        <f t="shared" ca="1" si="83"/>
        <v>-3.7285112025793972E-3</v>
      </c>
    </row>
    <row r="2663" spans="2:8" x14ac:dyDescent="0.3">
      <c r="B2663" s="58">
        <f>'DATA HISTORICAL'!$B3308</f>
        <v>41990</v>
      </c>
      <c r="C2663" s="60">
        <f>'DATA HISTORICAL'!$C3308</f>
        <v>2439.3000000000002</v>
      </c>
      <c r="D2663" s="53">
        <f t="shared" si="82"/>
        <v>-1.850118265391993E-2</v>
      </c>
      <c r="E2663" s="53">
        <v>-7.0493370524933141E-4</v>
      </c>
      <c r="G2663" s="90">
        <v>2655</v>
      </c>
      <c r="H2663" s="90">
        <f t="shared" ca="1" si="83"/>
        <v>1.0255094704494434E-2</v>
      </c>
    </row>
    <row r="2664" spans="2:8" x14ac:dyDescent="0.3">
      <c r="B2664" s="58">
        <f>'DATA HISTORICAL'!$B3309</f>
        <v>41989</v>
      </c>
      <c r="C2664" s="60">
        <f>'DATA HISTORICAL'!$C3309</f>
        <v>2484.85</v>
      </c>
      <c r="D2664" s="53">
        <f t="shared" si="82"/>
        <v>-2.0651728169930997E-2</v>
      </c>
      <c r="E2664" s="53">
        <v>-7.2239281860092487E-4</v>
      </c>
      <c r="G2664" s="90">
        <v>2656</v>
      </c>
      <c r="H2664" s="90">
        <f t="shared" ca="1" si="83"/>
        <v>2.4075857711876571E-2</v>
      </c>
    </row>
    <row r="2665" spans="2:8" x14ac:dyDescent="0.3">
      <c r="B2665" s="58">
        <f>'DATA HISTORICAL'!$B3310</f>
        <v>41988</v>
      </c>
      <c r="C2665" s="60">
        <f>'DATA HISTORICAL'!$C3310</f>
        <v>2536.6999999999998</v>
      </c>
      <c r="D2665" s="53">
        <f t="shared" si="82"/>
        <v>9.9838395156531395E-3</v>
      </c>
      <c r="E2665" s="53">
        <v>-7.2344109469597991E-4</v>
      </c>
      <c r="G2665" s="90">
        <v>2657</v>
      </c>
      <c r="H2665" s="90">
        <f t="shared" ca="1" si="83"/>
        <v>2.3762054934304833E-2</v>
      </c>
    </row>
    <row r="2666" spans="2:8" x14ac:dyDescent="0.3">
      <c r="B2666" s="58">
        <f>'DATA HISTORICAL'!$B3311</f>
        <v>41985</v>
      </c>
      <c r="C2666" s="60">
        <f>'DATA HISTORICAL'!$C3311</f>
        <v>2511.5</v>
      </c>
      <c r="D2666" s="53">
        <f t="shared" si="82"/>
        <v>1.082887712382642E-2</v>
      </c>
      <c r="E2666" s="53">
        <v>-7.3112198688843734E-4</v>
      </c>
      <c r="G2666" s="90">
        <v>2658</v>
      </c>
      <c r="H2666" s="90">
        <f t="shared" ca="1" si="83"/>
        <v>3.8571661215516932E-3</v>
      </c>
    </row>
    <row r="2667" spans="2:8" x14ac:dyDescent="0.3">
      <c r="B2667" s="58">
        <f>'DATA HISTORICAL'!$B3312</f>
        <v>41984</v>
      </c>
      <c r="C2667" s="60">
        <f>'DATA HISTORICAL'!$C3312</f>
        <v>2484.4499999999998</v>
      </c>
      <c r="D2667" s="53">
        <f t="shared" si="82"/>
        <v>-1.2519662747169646E-2</v>
      </c>
      <c r="E2667" s="53">
        <v>-7.5897064740422775E-4</v>
      </c>
      <c r="G2667" s="90">
        <v>2659</v>
      </c>
      <c r="H2667" s="90">
        <f t="shared" ca="1" si="83"/>
        <v>3.135386785605087E-2</v>
      </c>
    </row>
    <row r="2668" spans="2:8" x14ac:dyDescent="0.3">
      <c r="B2668" s="58">
        <f>'DATA HISTORICAL'!$B3313</f>
        <v>41983</v>
      </c>
      <c r="C2668" s="60">
        <f>'DATA HISTORICAL'!$C3313</f>
        <v>2515.75</v>
      </c>
      <c r="D2668" s="53">
        <f t="shared" si="82"/>
        <v>1.3607013343611266E-2</v>
      </c>
      <c r="E2668" s="53">
        <v>-7.6053517683906434E-4</v>
      </c>
      <c r="G2668" s="90">
        <v>2660</v>
      </c>
      <c r="H2668" s="90">
        <f t="shared" ca="1" si="83"/>
        <v>4.0220851109804404E-2</v>
      </c>
    </row>
    <row r="2669" spans="2:8" x14ac:dyDescent="0.3">
      <c r="B2669" s="58">
        <f>'DATA HISTORICAL'!$B3314</f>
        <v>41982</v>
      </c>
      <c r="C2669" s="60">
        <f>'DATA HISTORICAL'!$C3314</f>
        <v>2481.75</v>
      </c>
      <c r="D2669" s="53">
        <f t="shared" si="82"/>
        <v>-1.2155100243101609E-2</v>
      </c>
      <c r="E2669" s="53">
        <v>-7.6075262510429977E-4</v>
      </c>
      <c r="G2669" s="90">
        <v>2661</v>
      </c>
      <c r="H2669" s="90">
        <f t="shared" ca="1" si="83"/>
        <v>-2.5704278988790002E-2</v>
      </c>
    </row>
    <row r="2670" spans="2:8" x14ac:dyDescent="0.3">
      <c r="B2670" s="58">
        <f>'DATA HISTORICAL'!$B3315</f>
        <v>41981</v>
      </c>
      <c r="C2670" s="60">
        <f>'DATA HISTORICAL'!$C3315</f>
        <v>2512.1</v>
      </c>
      <c r="D2670" s="53">
        <f t="shared" si="82"/>
        <v>1.0745798620678202E-2</v>
      </c>
      <c r="E2670" s="53">
        <v>-7.6178361496219015E-4</v>
      </c>
      <c r="G2670" s="90">
        <v>2662</v>
      </c>
      <c r="H2670" s="90">
        <f t="shared" ca="1" si="83"/>
        <v>-4.9624576628370101E-3</v>
      </c>
    </row>
    <row r="2671" spans="2:8" x14ac:dyDescent="0.3">
      <c r="B2671" s="58">
        <f>'DATA HISTORICAL'!$B3316</f>
        <v>41978</v>
      </c>
      <c r="C2671" s="60">
        <f>'DATA HISTORICAL'!$C3316</f>
        <v>2485.25</v>
      </c>
      <c r="D2671" s="53">
        <f t="shared" si="82"/>
        <v>8.3234485263046533E-3</v>
      </c>
      <c r="E2671" s="53">
        <v>-7.7684991283071317E-4</v>
      </c>
      <c r="G2671" s="90">
        <v>2663</v>
      </c>
      <c r="H2671" s="90">
        <f t="shared" ca="1" si="83"/>
        <v>3.197557635570375E-2</v>
      </c>
    </row>
    <row r="2672" spans="2:8" x14ac:dyDescent="0.3">
      <c r="B2672" s="58">
        <f>'DATA HISTORICAL'!$B3317</f>
        <v>41977</v>
      </c>
      <c r="C2672" s="60">
        <f>'DATA HISTORICAL'!$C3317</f>
        <v>2464.65</v>
      </c>
      <c r="D2672" s="53">
        <f t="shared" si="82"/>
        <v>-3.8268839414695964E-3</v>
      </c>
      <c r="E2672" s="53">
        <v>-7.7866462957102247E-4</v>
      </c>
      <c r="G2672" s="90">
        <v>2664</v>
      </c>
      <c r="H2672" s="90">
        <f t="shared" ca="1" si="83"/>
        <v>9.7675410828329846E-3</v>
      </c>
    </row>
    <row r="2673" spans="2:8" x14ac:dyDescent="0.3">
      <c r="B2673" s="58">
        <f>'DATA HISTORICAL'!$B3318</f>
        <v>41976</v>
      </c>
      <c r="C2673" s="60">
        <f>'DATA HISTORICAL'!$C3318</f>
        <v>2474.1</v>
      </c>
      <c r="D2673" s="53">
        <f t="shared" si="82"/>
        <v>4.4470498600311236E-4</v>
      </c>
      <c r="E2673" s="53">
        <v>-7.8542602488659461E-4</v>
      </c>
      <c r="G2673" s="90">
        <v>2665</v>
      </c>
      <c r="H2673" s="90">
        <f t="shared" ca="1" si="83"/>
        <v>-6.4084422491248695E-3</v>
      </c>
    </row>
    <row r="2674" spans="2:8" x14ac:dyDescent="0.3">
      <c r="B2674" s="58">
        <f>'DATA HISTORICAL'!$B3319</f>
        <v>41975</v>
      </c>
      <c r="C2674" s="60">
        <f>'DATA HISTORICAL'!$C3319</f>
        <v>2473</v>
      </c>
      <c r="D2674" s="53">
        <f t="shared" si="82"/>
        <v>-2.100501660976284E-3</v>
      </c>
      <c r="E2674" s="53">
        <v>-7.8900255967015052E-4</v>
      </c>
      <c r="G2674" s="90">
        <v>2666</v>
      </c>
      <c r="H2674" s="90">
        <f t="shared" ca="1" si="83"/>
        <v>7.1769201813203986E-3</v>
      </c>
    </row>
    <row r="2675" spans="2:8" x14ac:dyDescent="0.3">
      <c r="B2675" s="58">
        <f>'DATA HISTORICAL'!$B3320</f>
        <v>41974</v>
      </c>
      <c r="C2675" s="60">
        <f>'DATA HISTORICAL'!$C3320</f>
        <v>2478.1999999999998</v>
      </c>
      <c r="D2675" s="53">
        <f t="shared" si="82"/>
        <v>-2.4383129290803142E-3</v>
      </c>
      <c r="E2675" s="53">
        <v>-8.0742838460104395E-4</v>
      </c>
      <c r="G2675" s="90">
        <v>2667</v>
      </c>
      <c r="H2675" s="90">
        <f t="shared" ca="1" si="83"/>
        <v>-6.8286832308653714E-3</v>
      </c>
    </row>
    <row r="2676" spans="2:8" x14ac:dyDescent="0.3">
      <c r="B2676" s="58">
        <f>'DATA HISTORICAL'!$B3321</f>
        <v>41971</v>
      </c>
      <c r="C2676" s="60">
        <f>'DATA HISTORICAL'!$C3321</f>
        <v>2484.25</v>
      </c>
      <c r="D2676" s="53">
        <f t="shared" si="82"/>
        <v>3.6496022926711647E-3</v>
      </c>
      <c r="E2676" s="53">
        <v>-8.1287091709498235E-4</v>
      </c>
      <c r="G2676" s="90">
        <v>2668</v>
      </c>
      <c r="H2676" s="90">
        <f t="shared" ca="1" si="83"/>
        <v>2.5068160681875933E-2</v>
      </c>
    </row>
    <row r="2677" spans="2:8" x14ac:dyDescent="0.3">
      <c r="B2677" s="58">
        <f>'DATA HISTORICAL'!$B3322</f>
        <v>41970</v>
      </c>
      <c r="C2677" s="60">
        <f>'DATA HISTORICAL'!$C3322</f>
        <v>2475.1999999999998</v>
      </c>
      <c r="D2677" s="53">
        <f t="shared" si="82"/>
        <v>-5.0488222170492222E-4</v>
      </c>
      <c r="E2677" s="53">
        <v>-8.2446094877513902E-4</v>
      </c>
      <c r="G2677" s="90">
        <v>2669</v>
      </c>
      <c r="H2677" s="90">
        <f t="shared" ca="1" si="83"/>
        <v>-1.0756098802351451E-2</v>
      </c>
    </row>
    <row r="2678" spans="2:8" x14ac:dyDescent="0.3">
      <c r="B2678" s="58">
        <f>'DATA HISTORICAL'!$B3323</f>
        <v>41969</v>
      </c>
      <c r="C2678" s="60">
        <f>'DATA HISTORICAL'!$C3323</f>
        <v>2476.4499999999998</v>
      </c>
      <c r="D2678" s="53">
        <f t="shared" si="82"/>
        <v>3.7421786714962263E-3</v>
      </c>
      <c r="E2678" s="53">
        <v>-8.2736838907570946E-4</v>
      </c>
      <c r="G2678" s="90">
        <v>2670</v>
      </c>
      <c r="H2678" s="90">
        <f t="shared" ca="1" si="83"/>
        <v>1.6360044945654895E-2</v>
      </c>
    </row>
    <row r="2679" spans="2:8" x14ac:dyDescent="0.3">
      <c r="B2679" s="58">
        <f>'DATA HISTORICAL'!$B3324</f>
        <v>41968</v>
      </c>
      <c r="C2679" s="60">
        <f>'DATA HISTORICAL'!$C3324</f>
        <v>2467.1999999999998</v>
      </c>
      <c r="D2679" s="53">
        <f t="shared" si="82"/>
        <v>-2.2007983440350563E-2</v>
      </c>
      <c r="E2679" s="53">
        <v>-8.3831085282507628E-4</v>
      </c>
      <c r="G2679" s="90">
        <v>2671</v>
      </c>
      <c r="H2679" s="90">
        <f t="shared" ca="1" si="83"/>
        <v>-2.5924163530326023E-2</v>
      </c>
    </row>
    <row r="2680" spans="2:8" x14ac:dyDescent="0.3">
      <c r="B2680" s="58">
        <f>'DATA HISTORICAL'!$B3325</f>
        <v>41967</v>
      </c>
      <c r="C2680" s="60">
        <f>'DATA HISTORICAL'!$C3325</f>
        <v>2522.1</v>
      </c>
      <c r="D2680" s="53">
        <f t="shared" si="82"/>
        <v>1.2528092360702988E-2</v>
      </c>
      <c r="E2680" s="53">
        <v>-8.551788173717721E-4</v>
      </c>
      <c r="G2680" s="90">
        <v>2672</v>
      </c>
      <c r="H2680" s="90">
        <f t="shared" ca="1" si="83"/>
        <v>2.2484917388116112E-2</v>
      </c>
    </row>
    <row r="2681" spans="2:8" x14ac:dyDescent="0.3">
      <c r="B2681" s="58">
        <f>'DATA HISTORICAL'!$B3326</f>
        <v>41964</v>
      </c>
      <c r="C2681" s="60">
        <f>'DATA HISTORICAL'!$C3326</f>
        <v>2490.6999999999998</v>
      </c>
      <c r="D2681" s="53">
        <f t="shared" si="82"/>
        <v>9.8244705440941153E-3</v>
      </c>
      <c r="E2681" s="53">
        <v>-8.6560369869445662E-4</v>
      </c>
      <c r="G2681" s="90">
        <v>2673</v>
      </c>
      <c r="H2681" s="90">
        <f t="shared" ca="1" si="83"/>
        <v>-2.0820225073826741E-2</v>
      </c>
    </row>
    <row r="2682" spans="2:8" x14ac:dyDescent="0.3">
      <c r="B2682" s="58">
        <f>'DATA HISTORICAL'!$B3327</f>
        <v>41963</v>
      </c>
      <c r="C2682" s="60">
        <f>'DATA HISTORICAL'!$C3327</f>
        <v>2466.35</v>
      </c>
      <c r="D2682" s="53">
        <f t="shared" si="82"/>
        <v>-1.1449198859858286E-2</v>
      </c>
      <c r="E2682" s="53">
        <v>-8.6687311930106956E-4</v>
      </c>
      <c r="G2682" s="90">
        <v>2674</v>
      </c>
      <c r="H2682" s="90">
        <f t="shared" ca="1" si="83"/>
        <v>-3.4435347329575495E-3</v>
      </c>
    </row>
    <row r="2683" spans="2:8" x14ac:dyDescent="0.3">
      <c r="B2683" s="58">
        <f>'DATA HISTORICAL'!$B3328</f>
        <v>41962</v>
      </c>
      <c r="C2683" s="60">
        <f>'DATA HISTORICAL'!$C3328</f>
        <v>2494.75</v>
      </c>
      <c r="D2683" s="53">
        <f t="shared" si="82"/>
        <v>-1.407030386772402E-2</v>
      </c>
      <c r="E2683" s="53">
        <v>-8.7552077893725787E-4</v>
      </c>
      <c r="G2683" s="90">
        <v>2675</v>
      </c>
      <c r="H2683" s="90">
        <f t="shared" ca="1" si="83"/>
        <v>-1.3882323370930708E-2</v>
      </c>
    </row>
    <row r="2684" spans="2:8" x14ac:dyDescent="0.3">
      <c r="B2684" s="58">
        <f>'DATA HISTORICAL'!$B3329</f>
        <v>41961</v>
      </c>
      <c r="C2684" s="60">
        <f>'DATA HISTORICAL'!$C3329</f>
        <v>2530.1</v>
      </c>
      <c r="D2684" s="53">
        <f t="shared" si="82"/>
        <v>-1.231467674398715E-2</v>
      </c>
      <c r="E2684" s="53">
        <v>-8.7908804958032908E-4</v>
      </c>
      <c r="G2684" s="90">
        <v>2676</v>
      </c>
      <c r="H2684" s="90">
        <f t="shared" ca="1" si="83"/>
        <v>-6.9105704355671557E-3</v>
      </c>
    </row>
    <row r="2685" spans="2:8" x14ac:dyDescent="0.3">
      <c r="B2685" s="58">
        <f>'DATA HISTORICAL'!$B3330</f>
        <v>41960</v>
      </c>
      <c r="C2685" s="60">
        <f>'DATA HISTORICAL'!$C3330</f>
        <v>2561.4499999999998</v>
      </c>
      <c r="D2685" s="53">
        <f t="shared" si="82"/>
        <v>-2.1072929200956256E-2</v>
      </c>
      <c r="E2685" s="53">
        <v>-8.8323623477205826E-4</v>
      </c>
      <c r="G2685" s="90">
        <v>2677</v>
      </c>
      <c r="H2685" s="90">
        <f t="shared" ca="1" si="83"/>
        <v>-3.0036490811827073E-2</v>
      </c>
    </row>
    <row r="2686" spans="2:8" x14ac:dyDescent="0.3">
      <c r="B2686" s="58">
        <f>'DATA HISTORICAL'!$B3331</f>
        <v>41957</v>
      </c>
      <c r="C2686" s="60">
        <f>'DATA HISTORICAL'!$C3331</f>
        <v>2616</v>
      </c>
      <c r="D2686" s="53">
        <f t="shared" si="82"/>
        <v>1.4942895312602095E-2</v>
      </c>
      <c r="E2686" s="53">
        <v>-8.9838297118364629E-4</v>
      </c>
      <c r="G2686" s="90">
        <v>2678</v>
      </c>
      <c r="H2686" s="90">
        <f t="shared" ca="1" si="83"/>
        <v>-1.1547512623293354E-2</v>
      </c>
    </row>
    <row r="2687" spans="2:8" x14ac:dyDescent="0.3">
      <c r="B2687" s="58">
        <f>'DATA HISTORICAL'!$B3332</f>
        <v>41956</v>
      </c>
      <c r="C2687" s="60">
        <f>'DATA HISTORICAL'!$C3332</f>
        <v>2577.1999999999998</v>
      </c>
      <c r="D2687" s="53">
        <f t="shared" si="82"/>
        <v>-1.8224965197698971E-2</v>
      </c>
      <c r="E2687" s="53">
        <v>-9.0579065177232552E-4</v>
      </c>
      <c r="G2687" s="90">
        <v>2679</v>
      </c>
      <c r="H2687" s="90">
        <f t="shared" ca="1" si="83"/>
        <v>-1.2603527850638997E-2</v>
      </c>
    </row>
    <row r="2688" spans="2:8" x14ac:dyDescent="0.3">
      <c r="B2688" s="58">
        <f>'DATA HISTORICAL'!$B3333</f>
        <v>41955</v>
      </c>
      <c r="C2688" s="60">
        <f>'DATA HISTORICAL'!$C3333</f>
        <v>2624.6</v>
      </c>
      <c r="D2688" s="53">
        <f t="shared" si="82"/>
        <v>-8.3472938767627652E-3</v>
      </c>
      <c r="E2688" s="53">
        <v>-9.2155965777432727E-4</v>
      </c>
      <c r="G2688" s="90">
        <v>2680</v>
      </c>
      <c r="H2688" s="90">
        <f t="shared" ca="1" si="83"/>
        <v>-1.5474643090391999E-2</v>
      </c>
    </row>
    <row r="2689" spans="2:8" x14ac:dyDescent="0.3">
      <c r="B2689" s="58">
        <f>'DATA HISTORICAL'!$B3334</f>
        <v>41954</v>
      </c>
      <c r="C2689" s="60">
        <f>'DATA HISTORICAL'!$C3334</f>
        <v>2646.6</v>
      </c>
      <c r="D2689" s="53">
        <f t="shared" si="82"/>
        <v>2.506013269828318E-2</v>
      </c>
      <c r="E2689" s="53">
        <v>-9.3456541976499191E-4</v>
      </c>
      <c r="G2689" s="90">
        <v>2681</v>
      </c>
      <c r="H2689" s="90">
        <f t="shared" ca="1" si="83"/>
        <v>2.3885118751382568E-3</v>
      </c>
    </row>
    <row r="2690" spans="2:8" x14ac:dyDescent="0.3">
      <c r="B2690" s="58">
        <f>'DATA HISTORICAL'!$B3335</f>
        <v>41953</v>
      </c>
      <c r="C2690" s="60">
        <f>'DATA HISTORICAL'!$C3335</f>
        <v>2581.1</v>
      </c>
      <c r="D2690" s="53">
        <f t="shared" si="82"/>
        <v>7.4664939520000841E-3</v>
      </c>
      <c r="E2690" s="53">
        <v>-9.4479474033469567E-4</v>
      </c>
      <c r="G2690" s="90">
        <v>2682</v>
      </c>
      <c r="H2690" s="90">
        <f t="shared" ca="1" si="83"/>
        <v>7.5755314526098957E-3</v>
      </c>
    </row>
    <row r="2691" spans="2:8" x14ac:dyDescent="0.3">
      <c r="B2691" s="58">
        <f>'DATA HISTORICAL'!$B3336</f>
        <v>41950</v>
      </c>
      <c r="C2691" s="60">
        <f>'DATA HISTORICAL'!$C3336</f>
        <v>2561.9</v>
      </c>
      <c r="D2691" s="53">
        <f t="shared" si="82"/>
        <v>1.0437197470119581E-2</v>
      </c>
      <c r="E2691" s="53">
        <v>-9.4627732984817561E-4</v>
      </c>
      <c r="G2691" s="90">
        <v>2683</v>
      </c>
      <c r="H2691" s="90">
        <f t="shared" ca="1" si="83"/>
        <v>-1.8601738377007539E-2</v>
      </c>
    </row>
    <row r="2692" spans="2:8" x14ac:dyDescent="0.3">
      <c r="B2692" s="58">
        <f>'DATA HISTORICAL'!$B3337</f>
        <v>41948</v>
      </c>
      <c r="C2692" s="60">
        <f>'DATA HISTORICAL'!$C3337</f>
        <v>2535.3000000000002</v>
      </c>
      <c r="D2692" s="53">
        <f t="shared" si="82"/>
        <v>-9.6757538143243185E-3</v>
      </c>
      <c r="E2692" s="53">
        <v>-9.5764600536818044E-4</v>
      </c>
      <c r="G2692" s="90">
        <v>2684</v>
      </c>
      <c r="H2692" s="90">
        <f t="shared" ca="1" si="83"/>
        <v>3.0447104975314429E-2</v>
      </c>
    </row>
    <row r="2693" spans="2:8" x14ac:dyDescent="0.3">
      <c r="B2693" s="58">
        <f>'DATA HISTORICAL'!$B3338</f>
        <v>41946</v>
      </c>
      <c r="C2693" s="60">
        <f>'DATA HISTORICAL'!$C3338</f>
        <v>2559.9499999999998</v>
      </c>
      <c r="D2693" s="53">
        <f t="shared" si="82"/>
        <v>4.5023958291884438E-3</v>
      </c>
      <c r="E2693" s="53">
        <v>-9.5845121632481063E-4</v>
      </c>
      <c r="G2693" s="90">
        <v>2685</v>
      </c>
      <c r="H2693" s="90">
        <f t="shared" ca="1" si="83"/>
        <v>-1.6633293361984292E-3</v>
      </c>
    </row>
    <row r="2694" spans="2:8" x14ac:dyDescent="0.3">
      <c r="B2694" s="58">
        <f>'DATA HISTORICAL'!$B3339</f>
        <v>41943</v>
      </c>
      <c r="C2694" s="60">
        <f>'DATA HISTORICAL'!$C3339</f>
        <v>2548.4499999999998</v>
      </c>
      <c r="D2694" s="53">
        <f t="shared" si="82"/>
        <v>1.4346371022569504E-2</v>
      </c>
      <c r="E2694" s="53">
        <v>-9.5879282831197606E-4</v>
      </c>
      <c r="G2694" s="90">
        <v>2686</v>
      </c>
      <c r="H2694" s="90">
        <f t="shared" ca="1" si="83"/>
        <v>2.52005627709109E-2</v>
      </c>
    </row>
    <row r="2695" spans="2:8" x14ac:dyDescent="0.3">
      <c r="B2695" s="58">
        <f>'DATA HISTORICAL'!$B3340</f>
        <v>41942</v>
      </c>
      <c r="C2695" s="60">
        <f>'DATA HISTORICAL'!$C3340</f>
        <v>2512.15</v>
      </c>
      <c r="D2695" s="53">
        <f t="shared" si="82"/>
        <v>1.3162697928906E-2</v>
      </c>
      <c r="E2695" s="53">
        <v>-9.604171692485829E-4</v>
      </c>
      <c r="G2695" s="90">
        <v>2687</v>
      </c>
      <c r="H2695" s="90">
        <f t="shared" ca="1" si="83"/>
        <v>1.712114943508395E-2</v>
      </c>
    </row>
    <row r="2696" spans="2:8" x14ac:dyDescent="0.3">
      <c r="B2696" s="58">
        <f>'DATA HISTORICAL'!$B3341</f>
        <v>41941</v>
      </c>
      <c r="C2696" s="60">
        <f>'DATA HISTORICAL'!$C3341</f>
        <v>2479.3000000000002</v>
      </c>
      <c r="D2696" s="53">
        <f t="shared" si="82"/>
        <v>5.8453085539477848E-3</v>
      </c>
      <c r="E2696" s="53">
        <v>-9.6065621235146307E-4</v>
      </c>
      <c r="G2696" s="90">
        <v>2688</v>
      </c>
      <c r="H2696" s="90">
        <f t="shared" ca="1" si="83"/>
        <v>-1.694690973067103E-3</v>
      </c>
    </row>
    <row r="2697" spans="2:8" x14ac:dyDescent="0.3">
      <c r="B2697" s="58">
        <f>'DATA HISTORICAL'!$B3342</f>
        <v>41940</v>
      </c>
      <c r="C2697" s="60">
        <f>'DATA HISTORICAL'!$C3342</f>
        <v>2464.85</v>
      </c>
      <c r="D2697" s="53">
        <f t="shared" ref="D2697:D2760" si="84">LN(C2697/C2698)</f>
        <v>1.3992813261559286E-2</v>
      </c>
      <c r="E2697" s="53">
        <v>-9.6707798040361788E-4</v>
      </c>
      <c r="G2697" s="90">
        <v>2689</v>
      </c>
      <c r="H2697" s="90">
        <f t="shared" ref="H2697:H2760" ca="1" si="85">_xlfn.NORM.INV(RAND(),N$10,N$11)</f>
        <v>3.5027633282996351E-2</v>
      </c>
    </row>
    <row r="2698" spans="2:8" x14ac:dyDescent="0.3">
      <c r="B2698" s="58">
        <f>'DATA HISTORICAL'!$B3343</f>
        <v>41939</v>
      </c>
      <c r="C2698" s="60">
        <f>'DATA HISTORICAL'!$C3343</f>
        <v>2430.6</v>
      </c>
      <c r="D2698" s="53">
        <f t="shared" si="84"/>
        <v>-1.0896718699031499E-3</v>
      </c>
      <c r="E2698" s="53">
        <v>-9.6971512895041481E-4</v>
      </c>
      <c r="G2698" s="90">
        <v>2690</v>
      </c>
      <c r="H2698" s="90">
        <f t="shared" ca="1" si="85"/>
        <v>2.1587573007952107E-2</v>
      </c>
    </row>
    <row r="2699" spans="2:8" x14ac:dyDescent="0.3">
      <c r="B2699" s="58">
        <f>'DATA HISTORICAL'!$B3344</f>
        <v>41935</v>
      </c>
      <c r="C2699" s="60">
        <f>'DATA HISTORICAL'!$C3344</f>
        <v>2433.25</v>
      </c>
      <c r="D2699" s="53">
        <f t="shared" si="84"/>
        <v>1.325919992891504E-2</v>
      </c>
      <c r="E2699" s="53">
        <v>-9.7222229880218332E-4</v>
      </c>
      <c r="G2699" s="90">
        <v>2691</v>
      </c>
      <c r="H2699" s="90">
        <f t="shared" ca="1" si="85"/>
        <v>1.3977222446508201E-3</v>
      </c>
    </row>
    <row r="2700" spans="2:8" x14ac:dyDescent="0.3">
      <c r="B2700" s="58">
        <f>'DATA HISTORICAL'!$B3345</f>
        <v>41934</v>
      </c>
      <c r="C2700" s="60">
        <f>'DATA HISTORICAL'!$C3345</f>
        <v>2401.1999999999998</v>
      </c>
      <c r="D2700" s="53">
        <f t="shared" si="84"/>
        <v>4.9987504165099287E-4</v>
      </c>
      <c r="E2700" s="53">
        <v>-9.7439711201412248E-4</v>
      </c>
      <c r="G2700" s="90">
        <v>2692</v>
      </c>
      <c r="H2700" s="90">
        <f t="shared" ca="1" si="85"/>
        <v>4.02839886695915E-2</v>
      </c>
    </row>
    <row r="2701" spans="2:8" x14ac:dyDescent="0.3">
      <c r="B2701" s="58">
        <f>'DATA HISTORICAL'!$B3346</f>
        <v>41933</v>
      </c>
      <c r="C2701" s="60">
        <f>'DATA HISTORICAL'!$C3346</f>
        <v>2400</v>
      </c>
      <c r="D2701" s="53">
        <f t="shared" si="84"/>
        <v>-2.0721322813252244E-2</v>
      </c>
      <c r="E2701" s="53">
        <v>-9.826006333937471E-4</v>
      </c>
      <c r="G2701" s="90">
        <v>2693</v>
      </c>
      <c r="H2701" s="90">
        <f t="shared" ca="1" si="85"/>
        <v>2.7101735256114132E-2</v>
      </c>
    </row>
    <row r="2702" spans="2:8" x14ac:dyDescent="0.3">
      <c r="B2702" s="58">
        <f>'DATA HISTORICAL'!$B3347</f>
        <v>41932</v>
      </c>
      <c r="C2702" s="60">
        <f>'DATA HISTORICAL'!$C3347</f>
        <v>2450.25</v>
      </c>
      <c r="D2702" s="53">
        <f t="shared" si="84"/>
        <v>5.5593172662197488E-2</v>
      </c>
      <c r="E2702" s="53">
        <v>-9.8320058592998687E-4</v>
      </c>
      <c r="G2702" s="90">
        <v>2694</v>
      </c>
      <c r="H2702" s="90">
        <f t="shared" ca="1" si="85"/>
        <v>-1.0107817326357807E-2</v>
      </c>
    </row>
    <row r="2703" spans="2:8" x14ac:dyDescent="0.3">
      <c r="B2703" s="58">
        <f>'DATA HISTORICAL'!$B3348</f>
        <v>41929</v>
      </c>
      <c r="C2703" s="60">
        <f>'DATA HISTORICAL'!$C3348</f>
        <v>2317.75</v>
      </c>
      <c r="D2703" s="53">
        <f t="shared" si="84"/>
        <v>6.4720031951229033E-5</v>
      </c>
      <c r="E2703" s="53">
        <v>-9.9168456303530355E-4</v>
      </c>
      <c r="G2703" s="90">
        <v>2695</v>
      </c>
      <c r="H2703" s="90">
        <f t="shared" ca="1" si="85"/>
        <v>-2.5493478735090513E-2</v>
      </c>
    </row>
    <row r="2704" spans="2:8" x14ac:dyDescent="0.3">
      <c r="B2704" s="58">
        <f>'DATA HISTORICAL'!$B3349</f>
        <v>41928</v>
      </c>
      <c r="C2704" s="60">
        <f>'DATA HISTORICAL'!$C3349</f>
        <v>2317.6</v>
      </c>
      <c r="D2704" s="53">
        <f t="shared" si="84"/>
        <v>-6.2470670074216132E-2</v>
      </c>
      <c r="E2704" s="53">
        <v>-9.9226158223773343E-4</v>
      </c>
      <c r="G2704" s="90">
        <v>2696</v>
      </c>
      <c r="H2704" s="90">
        <f t="shared" ca="1" si="85"/>
        <v>4.0039640188452047E-2</v>
      </c>
    </row>
    <row r="2705" spans="2:8" x14ac:dyDescent="0.3">
      <c r="B2705" s="58">
        <f>'DATA HISTORICAL'!$B3350</f>
        <v>41926</v>
      </c>
      <c r="C2705" s="60">
        <f>'DATA HISTORICAL'!$C3350</f>
        <v>2467</v>
      </c>
      <c r="D2705" s="53">
        <f t="shared" si="84"/>
        <v>-6.0215583348902429E-3</v>
      </c>
      <c r="E2705" s="53">
        <v>-9.943606370687644E-4</v>
      </c>
      <c r="G2705" s="90">
        <v>2697</v>
      </c>
      <c r="H2705" s="90">
        <f t="shared" ca="1" si="85"/>
        <v>-1.0098209992728851E-2</v>
      </c>
    </row>
    <row r="2706" spans="2:8" x14ac:dyDescent="0.3">
      <c r="B2706" s="58">
        <f>'DATA HISTORICAL'!$B3351</f>
        <v>41925</v>
      </c>
      <c r="C2706" s="60">
        <f>'DATA HISTORICAL'!$C3351</f>
        <v>2481.9</v>
      </c>
      <c r="D2706" s="53">
        <f t="shared" si="84"/>
        <v>2.2162897385855895E-4</v>
      </c>
      <c r="E2706" s="53">
        <v>-1.0065426114015058E-3</v>
      </c>
      <c r="G2706" s="90">
        <v>2698</v>
      </c>
      <c r="H2706" s="90">
        <f t="shared" ca="1" si="85"/>
        <v>-3.4190013045902294E-4</v>
      </c>
    </row>
    <row r="2707" spans="2:8" x14ac:dyDescent="0.3">
      <c r="B2707" s="58">
        <f>'DATA HISTORICAL'!$B3352</f>
        <v>41922</v>
      </c>
      <c r="C2707" s="60">
        <f>'DATA HISTORICAL'!$C3352</f>
        <v>2481.35</v>
      </c>
      <c r="D2707" s="53">
        <f t="shared" si="84"/>
        <v>-3.5414367606742762E-2</v>
      </c>
      <c r="E2707" s="53">
        <v>-1.0149232160906107E-3</v>
      </c>
      <c r="G2707" s="90">
        <v>2699</v>
      </c>
      <c r="H2707" s="90">
        <f t="shared" ca="1" si="85"/>
        <v>2.4220430792218549E-2</v>
      </c>
    </row>
    <row r="2708" spans="2:8" x14ac:dyDescent="0.3">
      <c r="B2708" s="58">
        <f>'DATA HISTORICAL'!$B3353</f>
        <v>41921</v>
      </c>
      <c r="C2708" s="60">
        <f>'DATA HISTORICAL'!$C3353</f>
        <v>2570.8000000000002</v>
      </c>
      <c r="D2708" s="53">
        <f t="shared" si="84"/>
        <v>8.4767788195259808E-3</v>
      </c>
      <c r="E2708" s="53">
        <v>-1.0154003241697924E-3</v>
      </c>
      <c r="G2708" s="90">
        <v>2700</v>
      </c>
      <c r="H2708" s="90">
        <f t="shared" ca="1" si="85"/>
        <v>2.4890309616158776E-2</v>
      </c>
    </row>
    <row r="2709" spans="2:8" x14ac:dyDescent="0.3">
      <c r="B2709" s="58">
        <f>'DATA HISTORICAL'!$B3354</f>
        <v>41920</v>
      </c>
      <c r="C2709" s="60">
        <f>'DATA HISTORICAL'!$C3354</f>
        <v>2549.1</v>
      </c>
      <c r="D2709" s="53">
        <f t="shared" si="84"/>
        <v>-2.9770087402433325E-3</v>
      </c>
      <c r="E2709" s="53">
        <v>-1.0268698489184821E-3</v>
      </c>
      <c r="G2709" s="90">
        <v>2701</v>
      </c>
      <c r="H2709" s="90">
        <f t="shared" ca="1" si="85"/>
        <v>2.5359358800867232E-2</v>
      </c>
    </row>
    <row r="2710" spans="2:8" x14ac:dyDescent="0.3">
      <c r="B2710" s="58">
        <f>'DATA HISTORICAL'!$B3355</f>
        <v>41919</v>
      </c>
      <c r="C2710" s="60">
        <f>'DATA HISTORICAL'!$C3355</f>
        <v>2556.6999999999998</v>
      </c>
      <c r="D2710" s="53">
        <f t="shared" si="84"/>
        <v>-3.5370466164660191E-2</v>
      </c>
      <c r="E2710" s="53">
        <v>-1.0511834509978092E-3</v>
      </c>
      <c r="G2710" s="90">
        <v>2702</v>
      </c>
      <c r="H2710" s="90">
        <f t="shared" ca="1" si="85"/>
        <v>4.1179003425413939E-2</v>
      </c>
    </row>
    <row r="2711" spans="2:8" x14ac:dyDescent="0.3">
      <c r="B2711" s="58">
        <f>'DATA HISTORICAL'!$B3356</f>
        <v>41913</v>
      </c>
      <c r="C2711" s="60">
        <f>'DATA HISTORICAL'!$C3356</f>
        <v>2648.75</v>
      </c>
      <c r="D2711" s="53">
        <f t="shared" si="84"/>
        <v>6.4768047031595211E-3</v>
      </c>
      <c r="E2711" s="53">
        <v>-1.0788354215732685E-3</v>
      </c>
      <c r="G2711" s="90">
        <v>2703</v>
      </c>
      <c r="H2711" s="90">
        <f t="shared" ca="1" si="85"/>
        <v>-7.6648440652075751E-3</v>
      </c>
    </row>
    <row r="2712" spans="2:8" x14ac:dyDescent="0.3">
      <c r="B2712" s="58">
        <f>'DATA HISTORICAL'!$B3357</f>
        <v>41912</v>
      </c>
      <c r="C2712" s="60">
        <f>'DATA HISTORICAL'!$C3357</f>
        <v>2631.65</v>
      </c>
      <c r="D2712" s="53">
        <f t="shared" si="84"/>
        <v>-5.683663444675734E-3</v>
      </c>
      <c r="E2712" s="53">
        <v>-1.087834492733113E-3</v>
      </c>
      <c r="G2712" s="90">
        <v>2704</v>
      </c>
      <c r="H2712" s="90">
        <f t="shared" ca="1" si="85"/>
        <v>5.4970862358330154E-3</v>
      </c>
    </row>
    <row r="2713" spans="2:8" x14ac:dyDescent="0.3">
      <c r="B2713" s="58">
        <f>'DATA HISTORICAL'!$B3358</f>
        <v>41911</v>
      </c>
      <c r="C2713" s="60">
        <f>'DATA HISTORICAL'!$C3358</f>
        <v>2646.65</v>
      </c>
      <c r="D2713" s="53">
        <f t="shared" si="84"/>
        <v>2.4562364912408314E-4</v>
      </c>
      <c r="E2713" s="53">
        <v>-1.0969671991422601E-3</v>
      </c>
      <c r="G2713" s="90">
        <v>2705</v>
      </c>
      <c r="H2713" s="90">
        <f t="shared" ca="1" si="85"/>
        <v>9.3675571276557804E-3</v>
      </c>
    </row>
    <row r="2714" spans="2:8" x14ac:dyDescent="0.3">
      <c r="B2714" s="58">
        <f>'DATA HISTORICAL'!$B3359</f>
        <v>41908</v>
      </c>
      <c r="C2714" s="60">
        <f>'DATA HISTORICAL'!$C3359</f>
        <v>2646</v>
      </c>
      <c r="D2714" s="53">
        <f t="shared" si="84"/>
        <v>2.7587956518828963E-2</v>
      </c>
      <c r="E2714" s="53">
        <v>-1.1058033681662621E-3</v>
      </c>
      <c r="G2714" s="90">
        <v>2706</v>
      </c>
      <c r="H2714" s="90">
        <f t="shared" ca="1" si="85"/>
        <v>1.796261825432258E-2</v>
      </c>
    </row>
    <row r="2715" spans="2:8" x14ac:dyDescent="0.3">
      <c r="B2715" s="58">
        <f>'DATA HISTORICAL'!$B3360</f>
        <v>41907</v>
      </c>
      <c r="C2715" s="60">
        <f>'DATA HISTORICAL'!$C3360</f>
        <v>2574</v>
      </c>
      <c r="D2715" s="53">
        <f t="shared" si="84"/>
        <v>-2.1769854768604529E-2</v>
      </c>
      <c r="E2715" s="53">
        <v>-1.1069163629478891E-3</v>
      </c>
      <c r="G2715" s="90">
        <v>2707</v>
      </c>
      <c r="H2715" s="90">
        <f t="shared" ca="1" si="85"/>
        <v>-8.701932383428472E-3</v>
      </c>
    </row>
    <row r="2716" spans="2:8" x14ac:dyDescent="0.3">
      <c r="B2716" s="58">
        <f>'DATA HISTORICAL'!$B3361</f>
        <v>41906</v>
      </c>
      <c r="C2716" s="60">
        <f>'DATA HISTORICAL'!$C3361</f>
        <v>2630.65</v>
      </c>
      <c r="D2716" s="53">
        <f t="shared" si="84"/>
        <v>1.121964387345185E-2</v>
      </c>
      <c r="E2716" s="53">
        <v>-1.1102130996313846E-3</v>
      </c>
      <c r="G2716" s="90">
        <v>2708</v>
      </c>
      <c r="H2716" s="90">
        <f t="shared" ca="1" si="85"/>
        <v>-3.0948319585538458E-3</v>
      </c>
    </row>
    <row r="2717" spans="2:8" x14ac:dyDescent="0.3">
      <c r="B2717" s="58">
        <f>'DATA HISTORICAL'!$B3362</f>
        <v>41905</v>
      </c>
      <c r="C2717" s="60">
        <f>'DATA HISTORICAL'!$C3362</f>
        <v>2601.3000000000002</v>
      </c>
      <c r="D2717" s="53">
        <f t="shared" si="84"/>
        <v>-6.1128281482397857E-3</v>
      </c>
      <c r="E2717" s="53">
        <v>-1.1116111564692861E-3</v>
      </c>
      <c r="G2717" s="90">
        <v>2709</v>
      </c>
      <c r="H2717" s="90">
        <f t="shared" ca="1" si="85"/>
        <v>3.1879394439351019E-2</v>
      </c>
    </row>
    <row r="2718" spans="2:8" x14ac:dyDescent="0.3">
      <c r="B2718" s="58">
        <f>'DATA HISTORICAL'!$B3363</f>
        <v>41904</v>
      </c>
      <c r="C2718" s="60">
        <f>'DATA HISTORICAL'!$C3363</f>
        <v>2617.25</v>
      </c>
      <c r="D2718" s="53">
        <f t="shared" si="84"/>
        <v>-9.2417178647926992E-3</v>
      </c>
      <c r="E2718" s="53">
        <v>-1.139628319642305E-3</v>
      </c>
      <c r="G2718" s="90">
        <v>2710</v>
      </c>
      <c r="H2718" s="90">
        <f t="shared" ca="1" si="85"/>
        <v>3.1919899977676824E-3</v>
      </c>
    </row>
    <row r="2719" spans="2:8" x14ac:dyDescent="0.3">
      <c r="B2719" s="58">
        <f>'DATA HISTORICAL'!$B3364</f>
        <v>41901</v>
      </c>
      <c r="C2719" s="60">
        <f>'DATA HISTORICAL'!$C3364</f>
        <v>2641.55</v>
      </c>
      <c r="D2719" s="53">
        <f t="shared" si="84"/>
        <v>-1.664302984635889E-3</v>
      </c>
      <c r="E2719" s="53">
        <v>-1.1540883983627754E-3</v>
      </c>
      <c r="G2719" s="90">
        <v>2711</v>
      </c>
      <c r="H2719" s="90">
        <f t="shared" ca="1" si="85"/>
        <v>1.9360759884542604E-2</v>
      </c>
    </row>
    <row r="2720" spans="2:8" x14ac:dyDescent="0.3">
      <c r="B2720" s="58">
        <f>'DATA HISTORICAL'!$B3365</f>
        <v>41900</v>
      </c>
      <c r="C2720" s="60">
        <f>'DATA HISTORICAL'!$C3365</f>
        <v>2645.95</v>
      </c>
      <c r="D2720" s="53">
        <f t="shared" si="84"/>
        <v>1.757641801127709E-2</v>
      </c>
      <c r="E2720" s="53">
        <v>-1.1554016305557627E-3</v>
      </c>
      <c r="G2720" s="90">
        <v>2712</v>
      </c>
      <c r="H2720" s="90">
        <f t="shared" ca="1" si="85"/>
        <v>-3.3862279019699132E-3</v>
      </c>
    </row>
    <row r="2721" spans="2:8" x14ac:dyDescent="0.3">
      <c r="B2721" s="58">
        <f>'DATA HISTORICAL'!$B3366</f>
        <v>41899</v>
      </c>
      <c r="C2721" s="60">
        <f>'DATA HISTORICAL'!$C3366</f>
        <v>2599.85</v>
      </c>
      <c r="D2721" s="53">
        <f t="shared" si="84"/>
        <v>1.8889914341768056E-2</v>
      </c>
      <c r="E2721" s="53">
        <v>-1.1625245703598983E-3</v>
      </c>
      <c r="G2721" s="90">
        <v>2713</v>
      </c>
      <c r="H2721" s="90">
        <f t="shared" ca="1" si="85"/>
        <v>1.7581895499981091E-2</v>
      </c>
    </row>
    <row r="2722" spans="2:8" x14ac:dyDescent="0.3">
      <c r="B2722" s="58">
        <f>'DATA HISTORICAL'!$B3367</f>
        <v>41898</v>
      </c>
      <c r="C2722" s="60">
        <f>'DATA HISTORICAL'!$C3367</f>
        <v>2551.1999999999998</v>
      </c>
      <c r="D2722" s="53">
        <f t="shared" si="84"/>
        <v>-1.476579980496018E-2</v>
      </c>
      <c r="E2722" s="53">
        <v>-1.176383006866557E-3</v>
      </c>
      <c r="G2722" s="90">
        <v>2714</v>
      </c>
      <c r="H2722" s="90">
        <f t="shared" ca="1" si="85"/>
        <v>-3.153322417478422E-2</v>
      </c>
    </row>
    <row r="2723" spans="2:8" x14ac:dyDescent="0.3">
      <c r="B2723" s="58">
        <f>'DATA HISTORICAL'!$B3368</f>
        <v>41897</v>
      </c>
      <c r="C2723" s="60">
        <f>'DATA HISTORICAL'!$C3368</f>
        <v>2589.15</v>
      </c>
      <c r="D2723" s="53">
        <f t="shared" si="84"/>
        <v>-1.9203038203161337E-2</v>
      </c>
      <c r="E2723" s="53">
        <v>-1.2085476323905906E-3</v>
      </c>
      <c r="G2723" s="90">
        <v>2715</v>
      </c>
      <c r="H2723" s="90">
        <f t="shared" ca="1" si="85"/>
        <v>1.0951848066566228E-2</v>
      </c>
    </row>
    <row r="2724" spans="2:8" x14ac:dyDescent="0.3">
      <c r="B2724" s="58">
        <f>'DATA HISTORICAL'!$B3369</f>
        <v>41894</v>
      </c>
      <c r="C2724" s="60">
        <f>'DATA HISTORICAL'!$C3369</f>
        <v>2639.35</v>
      </c>
      <c r="D2724" s="53">
        <f t="shared" si="84"/>
        <v>-1.7725167868114226E-2</v>
      </c>
      <c r="E2724" s="53">
        <v>-1.2160948995154496E-3</v>
      </c>
      <c r="G2724" s="90">
        <v>2716</v>
      </c>
      <c r="H2724" s="90">
        <f t="shared" ca="1" si="85"/>
        <v>3.1593023419687581E-2</v>
      </c>
    </row>
    <row r="2725" spans="2:8" x14ac:dyDescent="0.3">
      <c r="B2725" s="58">
        <f>'DATA HISTORICAL'!$B3370</f>
        <v>41893</v>
      </c>
      <c r="C2725" s="60">
        <f>'DATA HISTORICAL'!$C3370</f>
        <v>2686.55</v>
      </c>
      <c r="D2725" s="53">
        <f t="shared" si="84"/>
        <v>2.2918054730677226E-3</v>
      </c>
      <c r="E2725" s="53">
        <v>-1.2247815636467678E-3</v>
      </c>
      <c r="G2725" s="90">
        <v>2717</v>
      </c>
      <c r="H2725" s="90">
        <f t="shared" ca="1" si="85"/>
        <v>-6.7440955555375824E-3</v>
      </c>
    </row>
    <row r="2726" spans="2:8" x14ac:dyDescent="0.3">
      <c r="B2726" s="58">
        <f>'DATA HISTORICAL'!$B3371</f>
        <v>41892</v>
      </c>
      <c r="C2726" s="60">
        <f>'DATA HISTORICAL'!$C3371</f>
        <v>2680.4</v>
      </c>
      <c r="D2726" s="53">
        <f t="shared" si="84"/>
        <v>-5.3950608042549397E-3</v>
      </c>
      <c r="E2726" s="53">
        <v>-1.2281481364574489E-3</v>
      </c>
      <c r="G2726" s="90">
        <v>2718</v>
      </c>
      <c r="H2726" s="90">
        <f t="shared" ca="1" si="85"/>
        <v>1.3030218500024079E-2</v>
      </c>
    </row>
    <row r="2727" spans="2:8" x14ac:dyDescent="0.3">
      <c r="B2727" s="58">
        <f>'DATA HISTORICAL'!$B3372</f>
        <v>41891</v>
      </c>
      <c r="C2727" s="60">
        <f>'DATA HISTORICAL'!$C3372</f>
        <v>2694.9</v>
      </c>
      <c r="D2727" s="53">
        <f t="shared" si="84"/>
        <v>-8.5536135179392833E-3</v>
      </c>
      <c r="E2727" s="53">
        <v>-1.2312390260577732E-3</v>
      </c>
      <c r="G2727" s="90">
        <v>2719</v>
      </c>
      <c r="H2727" s="90">
        <f t="shared" ca="1" si="85"/>
        <v>-5.0173213713216704E-3</v>
      </c>
    </row>
    <row r="2728" spans="2:8" x14ac:dyDescent="0.3">
      <c r="B2728" s="58">
        <f>'DATA HISTORICAL'!$B3373</f>
        <v>41890</v>
      </c>
      <c r="C2728" s="60">
        <f>'DATA HISTORICAL'!$C3373</f>
        <v>2718.05</v>
      </c>
      <c r="D2728" s="53">
        <f t="shared" si="84"/>
        <v>1.7555379595213121E-2</v>
      </c>
      <c r="E2728" s="53">
        <v>-1.2361263815576444E-3</v>
      </c>
      <c r="G2728" s="90">
        <v>2720</v>
      </c>
      <c r="H2728" s="90">
        <f t="shared" ca="1" si="85"/>
        <v>4.5792318271611499E-3</v>
      </c>
    </row>
    <row r="2729" spans="2:8" x14ac:dyDescent="0.3">
      <c r="B2729" s="58">
        <f>'DATA HISTORICAL'!$B3374</f>
        <v>41887</v>
      </c>
      <c r="C2729" s="60">
        <f>'DATA HISTORICAL'!$C3374</f>
        <v>2670.75</v>
      </c>
      <c r="D2729" s="53">
        <f t="shared" si="84"/>
        <v>-1.481068075591876E-2</v>
      </c>
      <c r="E2729" s="53">
        <v>-1.2491843328923948E-3</v>
      </c>
      <c r="G2729" s="90">
        <v>2721</v>
      </c>
      <c r="H2729" s="90">
        <f t="shared" ca="1" si="85"/>
        <v>-1.6727835894607704E-2</v>
      </c>
    </row>
    <row r="2730" spans="2:8" x14ac:dyDescent="0.3">
      <c r="B2730" s="58">
        <f>'DATA HISTORICAL'!$B3375</f>
        <v>41886</v>
      </c>
      <c r="C2730" s="60">
        <f>'DATA HISTORICAL'!$C3375</f>
        <v>2710.6</v>
      </c>
      <c r="D2730" s="53">
        <f t="shared" si="84"/>
        <v>-9.4030889620231944E-4</v>
      </c>
      <c r="E2730" s="53">
        <v>-1.2511683063136821E-3</v>
      </c>
      <c r="G2730" s="90">
        <v>2722</v>
      </c>
      <c r="H2730" s="90">
        <f t="shared" ca="1" si="85"/>
        <v>8.3711263749529728E-3</v>
      </c>
    </row>
    <row r="2731" spans="2:8" x14ac:dyDescent="0.3">
      <c r="B2731" s="58">
        <f>'DATA HISTORICAL'!$B3376</f>
        <v>41885</v>
      </c>
      <c r="C2731" s="60">
        <f>'DATA HISTORICAL'!$C3376</f>
        <v>2713.15</v>
      </c>
      <c r="D2731" s="53">
        <f t="shared" si="84"/>
        <v>-2.2457854958418395E-3</v>
      </c>
      <c r="E2731" s="53">
        <v>-1.2542597357148774E-3</v>
      </c>
      <c r="G2731" s="90">
        <v>2723</v>
      </c>
      <c r="H2731" s="90">
        <f t="shared" ca="1" si="85"/>
        <v>4.0970165306719597E-3</v>
      </c>
    </row>
    <row r="2732" spans="2:8" x14ac:dyDescent="0.3">
      <c r="B2732" s="58">
        <f>'DATA HISTORICAL'!$B3377</f>
        <v>41884</v>
      </c>
      <c r="C2732" s="60">
        <f>'DATA HISTORICAL'!$C3377</f>
        <v>2719.25</v>
      </c>
      <c r="D2732" s="53">
        <f t="shared" si="84"/>
        <v>2.8252310298454701E-2</v>
      </c>
      <c r="E2732" s="53">
        <v>-1.2943883268522263E-3</v>
      </c>
      <c r="G2732" s="90">
        <v>2724</v>
      </c>
      <c r="H2732" s="90">
        <f t="shared" ca="1" si="85"/>
        <v>3.7831963534970252E-2</v>
      </c>
    </row>
    <row r="2733" spans="2:8" x14ac:dyDescent="0.3">
      <c r="B2733" s="58">
        <f>'DATA HISTORICAL'!$B3378</f>
        <v>41883</v>
      </c>
      <c r="C2733" s="60">
        <f>'DATA HISTORICAL'!$C3378</f>
        <v>2643.5</v>
      </c>
      <c r="D2733" s="53">
        <f t="shared" si="84"/>
        <v>3.5990829872127039E-2</v>
      </c>
      <c r="E2733" s="53">
        <v>-1.29899004711754E-3</v>
      </c>
      <c r="G2733" s="90">
        <v>2725</v>
      </c>
      <c r="H2733" s="90">
        <f t="shared" ca="1" si="85"/>
        <v>-9.8595893914928991E-5</v>
      </c>
    </row>
    <row r="2734" spans="2:8" x14ac:dyDescent="0.3">
      <c r="B2734" s="58">
        <f>'DATA HISTORICAL'!$B3379</f>
        <v>41879</v>
      </c>
      <c r="C2734" s="60">
        <f>'DATA HISTORICAL'!$C3379</f>
        <v>2550.0500000000002</v>
      </c>
      <c r="D2734" s="53">
        <f t="shared" si="84"/>
        <v>-1.7280853004416435E-2</v>
      </c>
      <c r="E2734" s="53">
        <v>-1.3041336517627042E-3</v>
      </c>
      <c r="G2734" s="90">
        <v>2726</v>
      </c>
      <c r="H2734" s="90">
        <f t="shared" ca="1" si="85"/>
        <v>-8.7932456232994172E-3</v>
      </c>
    </row>
    <row r="2735" spans="2:8" x14ac:dyDescent="0.3">
      <c r="B2735" s="58">
        <f>'DATA HISTORICAL'!$B3380</f>
        <v>41878</v>
      </c>
      <c r="C2735" s="60">
        <f>'DATA HISTORICAL'!$C3380</f>
        <v>2594.5</v>
      </c>
      <c r="D2735" s="53">
        <f t="shared" si="84"/>
        <v>-6.2820189879032014E-3</v>
      </c>
      <c r="E2735" s="53">
        <v>-1.3129515156287015E-3</v>
      </c>
      <c r="G2735" s="90">
        <v>2727</v>
      </c>
      <c r="H2735" s="90">
        <f t="shared" ca="1" si="85"/>
        <v>-2.3601181493926943E-2</v>
      </c>
    </row>
    <row r="2736" spans="2:8" x14ac:dyDescent="0.3">
      <c r="B2736" s="58">
        <f>'DATA HISTORICAL'!$B3381</f>
        <v>41877</v>
      </c>
      <c r="C2736" s="60">
        <f>'DATA HISTORICAL'!$C3381</f>
        <v>2610.85</v>
      </c>
      <c r="D2736" s="53">
        <f t="shared" si="84"/>
        <v>-7.0227956044402271E-3</v>
      </c>
      <c r="E2736" s="53">
        <v>-1.3131759963514067E-3</v>
      </c>
      <c r="G2736" s="90">
        <v>2728</v>
      </c>
      <c r="H2736" s="90">
        <f t="shared" ca="1" si="85"/>
        <v>2.4038655679115277E-2</v>
      </c>
    </row>
    <row r="2737" spans="2:8" x14ac:dyDescent="0.3">
      <c r="B2737" s="58">
        <f>'DATA HISTORICAL'!$B3382</f>
        <v>41876</v>
      </c>
      <c r="C2737" s="60">
        <f>'DATA HISTORICAL'!$C3382</f>
        <v>2629.25</v>
      </c>
      <c r="D2737" s="53">
        <f t="shared" si="84"/>
        <v>-8.3703098249663082E-3</v>
      </c>
      <c r="E2737" s="53">
        <v>-1.3182406264910412E-3</v>
      </c>
      <c r="G2737" s="90">
        <v>2729</v>
      </c>
      <c r="H2737" s="90">
        <f t="shared" ca="1" si="85"/>
        <v>-2.5117956506070294E-2</v>
      </c>
    </row>
    <row r="2738" spans="2:8" x14ac:dyDescent="0.3">
      <c r="B2738" s="58">
        <f>'DATA HISTORICAL'!$B3383</f>
        <v>41873</v>
      </c>
      <c r="C2738" s="60">
        <f>'DATA HISTORICAL'!$C3383</f>
        <v>2651.35</v>
      </c>
      <c r="D2738" s="53">
        <f t="shared" si="84"/>
        <v>2.4356868307788388E-3</v>
      </c>
      <c r="E2738" s="53">
        <v>-1.3187394763586329E-3</v>
      </c>
      <c r="G2738" s="90">
        <v>2730</v>
      </c>
      <c r="H2738" s="90">
        <f t="shared" ca="1" si="85"/>
        <v>2.3996811521492786E-2</v>
      </c>
    </row>
    <row r="2739" spans="2:8" x14ac:dyDescent="0.3">
      <c r="B2739" s="58">
        <f>'DATA HISTORICAL'!$B3384</f>
        <v>41872</v>
      </c>
      <c r="C2739" s="60">
        <f>'DATA HISTORICAL'!$C3384</f>
        <v>2644.9</v>
      </c>
      <c r="D2739" s="53">
        <f t="shared" si="84"/>
        <v>-1.480535558009584E-2</v>
      </c>
      <c r="E2739" s="53">
        <v>-1.3194566556351856E-3</v>
      </c>
      <c r="G2739" s="90">
        <v>2731</v>
      </c>
      <c r="H2739" s="90">
        <f t="shared" ca="1" si="85"/>
        <v>2.8401221946869372E-3</v>
      </c>
    </row>
    <row r="2740" spans="2:8" x14ac:dyDescent="0.3">
      <c r="B2740" s="58">
        <f>'DATA HISTORICAL'!$B3385</f>
        <v>41871</v>
      </c>
      <c r="C2740" s="60">
        <f>'DATA HISTORICAL'!$C3385</f>
        <v>2684.35</v>
      </c>
      <c r="D2740" s="53">
        <f t="shared" si="84"/>
        <v>-1.2678428926726272E-2</v>
      </c>
      <c r="E2740" s="53">
        <v>-1.327531723837248E-3</v>
      </c>
      <c r="G2740" s="90">
        <v>2732</v>
      </c>
      <c r="H2740" s="90">
        <f t="shared" ca="1" si="85"/>
        <v>5.7419390833951369E-3</v>
      </c>
    </row>
    <row r="2741" spans="2:8" x14ac:dyDescent="0.3">
      <c r="B2741" s="58">
        <f>'DATA HISTORICAL'!$B3386</f>
        <v>41870</v>
      </c>
      <c r="C2741" s="60">
        <f>'DATA HISTORICAL'!$C3386</f>
        <v>2718.6</v>
      </c>
      <c r="D2741" s="53">
        <f t="shared" si="84"/>
        <v>1.9856700706917273E-2</v>
      </c>
      <c r="E2741" s="53">
        <v>-1.3347572723767919E-3</v>
      </c>
      <c r="G2741" s="90">
        <v>2733</v>
      </c>
      <c r="H2741" s="90">
        <f t="shared" ca="1" si="85"/>
        <v>6.7433968796090944E-3</v>
      </c>
    </row>
    <row r="2742" spans="2:8" x14ac:dyDescent="0.3">
      <c r="B2742" s="58">
        <f>'DATA HISTORICAL'!$B3387</f>
        <v>41869</v>
      </c>
      <c r="C2742" s="60">
        <f>'DATA HISTORICAL'!$C3387</f>
        <v>2665.15</v>
      </c>
      <c r="D2742" s="53">
        <f t="shared" si="84"/>
        <v>1.2307383014144149E-2</v>
      </c>
      <c r="E2742" s="53">
        <v>-1.3357378597248877E-3</v>
      </c>
      <c r="G2742" s="90">
        <v>2734</v>
      </c>
      <c r="H2742" s="90">
        <f t="shared" ca="1" si="85"/>
        <v>-3.0054037722277941E-2</v>
      </c>
    </row>
    <row r="2743" spans="2:8" x14ac:dyDescent="0.3">
      <c r="B2743" s="58">
        <f>'DATA HISTORICAL'!$B3388</f>
        <v>41865</v>
      </c>
      <c r="C2743" s="60">
        <f>'DATA HISTORICAL'!$C3388</f>
        <v>2632.55</v>
      </c>
      <c r="D2743" s="53">
        <f t="shared" si="84"/>
        <v>9.3309713103555403E-3</v>
      </c>
      <c r="E2743" s="53">
        <v>-1.3411119826751698E-3</v>
      </c>
      <c r="G2743" s="90">
        <v>2735</v>
      </c>
      <c r="H2743" s="90">
        <f t="shared" ca="1" si="85"/>
        <v>-1.5599811132237785E-2</v>
      </c>
    </row>
    <row r="2744" spans="2:8" x14ac:dyDescent="0.3">
      <c r="B2744" s="58">
        <f>'DATA HISTORICAL'!$B3389</f>
        <v>41864</v>
      </c>
      <c r="C2744" s="60">
        <f>'DATA HISTORICAL'!$C3389</f>
        <v>2608.1</v>
      </c>
      <c r="D2744" s="53">
        <f t="shared" si="84"/>
        <v>-1.9152691061211076E-3</v>
      </c>
      <c r="E2744" s="53">
        <v>-1.3492524076045276E-3</v>
      </c>
      <c r="G2744" s="90">
        <v>2736</v>
      </c>
      <c r="H2744" s="90">
        <f t="shared" ca="1" si="85"/>
        <v>2.3298512146565902E-2</v>
      </c>
    </row>
    <row r="2745" spans="2:8" x14ac:dyDescent="0.3">
      <c r="B2745" s="58">
        <f>'DATA HISTORICAL'!$B3390</f>
        <v>41863</v>
      </c>
      <c r="C2745" s="60">
        <f>'DATA HISTORICAL'!$C3390</f>
        <v>2613.1</v>
      </c>
      <c r="D2745" s="53">
        <f t="shared" si="84"/>
        <v>3.1271070597169E-2</v>
      </c>
      <c r="E2745" s="53">
        <v>-1.3578173559043148E-3</v>
      </c>
      <c r="G2745" s="90">
        <v>2737</v>
      </c>
      <c r="H2745" s="90">
        <f t="shared" ca="1" si="85"/>
        <v>4.4477169007385037E-3</v>
      </c>
    </row>
    <row r="2746" spans="2:8" x14ac:dyDescent="0.3">
      <c r="B2746" s="58">
        <f>'DATA HISTORICAL'!$B3391</f>
        <v>41862</v>
      </c>
      <c r="C2746" s="60">
        <f>'DATA HISTORICAL'!$C3391</f>
        <v>2532.65</v>
      </c>
      <c r="D2746" s="53">
        <f t="shared" si="84"/>
        <v>2.3207624088639151E-2</v>
      </c>
      <c r="E2746" s="53">
        <v>-1.3662797666649418E-3</v>
      </c>
      <c r="G2746" s="90">
        <v>2738</v>
      </c>
      <c r="H2746" s="90">
        <f t="shared" ca="1" si="85"/>
        <v>-9.6057285240199429E-4</v>
      </c>
    </row>
    <row r="2747" spans="2:8" x14ac:dyDescent="0.3">
      <c r="B2747" s="58">
        <f>'DATA HISTORICAL'!$B3392</f>
        <v>41859</v>
      </c>
      <c r="C2747" s="60">
        <f>'DATA HISTORICAL'!$C3392</f>
        <v>2474.5500000000002</v>
      </c>
      <c r="D2747" s="53">
        <f t="shared" si="84"/>
        <v>-2.7777349781997814E-2</v>
      </c>
      <c r="E2747" s="53">
        <v>-1.3681220501954364E-3</v>
      </c>
      <c r="G2747" s="90">
        <v>2739</v>
      </c>
      <c r="H2747" s="90">
        <f t="shared" ca="1" si="85"/>
        <v>-1.807922466702979E-2</v>
      </c>
    </row>
    <row r="2748" spans="2:8" x14ac:dyDescent="0.3">
      <c r="B2748" s="58">
        <f>'DATA HISTORICAL'!$B3393</f>
        <v>41858</v>
      </c>
      <c r="C2748" s="60">
        <f>'DATA HISTORICAL'!$C3393</f>
        <v>2544.25</v>
      </c>
      <c r="D2748" s="53">
        <f t="shared" si="84"/>
        <v>-9.4285889638246324E-4</v>
      </c>
      <c r="E2748" s="53">
        <v>-1.3779283152277561E-3</v>
      </c>
      <c r="G2748" s="90">
        <v>2740</v>
      </c>
      <c r="H2748" s="90">
        <f t="shared" ca="1" si="85"/>
        <v>3.0210169024658878E-2</v>
      </c>
    </row>
    <row r="2749" spans="2:8" x14ac:dyDescent="0.3">
      <c r="B2749" s="58">
        <f>'DATA HISTORICAL'!$B3394</f>
        <v>41857</v>
      </c>
      <c r="C2749" s="60">
        <f>'DATA HISTORICAL'!$C3394</f>
        <v>2546.65</v>
      </c>
      <c r="D2749" s="53">
        <f t="shared" si="84"/>
        <v>-2.200110101791437E-2</v>
      </c>
      <c r="E2749" s="53">
        <v>-1.3840045435617682E-3</v>
      </c>
      <c r="G2749" s="90">
        <v>2741</v>
      </c>
      <c r="H2749" s="90">
        <f t="shared" ca="1" si="85"/>
        <v>2.3787011277520429E-3</v>
      </c>
    </row>
    <row r="2750" spans="2:8" x14ac:dyDescent="0.3">
      <c r="B2750" s="58">
        <f>'DATA HISTORICAL'!$B3395</f>
        <v>41856</v>
      </c>
      <c r="C2750" s="60">
        <f>'DATA HISTORICAL'!$C3395</f>
        <v>2603.3000000000002</v>
      </c>
      <c r="D2750" s="53">
        <f t="shared" si="84"/>
        <v>5.2318834883624515E-2</v>
      </c>
      <c r="E2750" s="53">
        <v>-1.3870522529603583E-3</v>
      </c>
      <c r="G2750" s="90">
        <v>2742</v>
      </c>
      <c r="H2750" s="90">
        <f t="shared" ca="1" si="85"/>
        <v>-1.0900852345377941E-2</v>
      </c>
    </row>
    <row r="2751" spans="2:8" x14ac:dyDescent="0.3">
      <c r="B2751" s="58">
        <f>'DATA HISTORICAL'!$B3396</f>
        <v>41855</v>
      </c>
      <c r="C2751" s="60">
        <f>'DATA HISTORICAL'!$C3396</f>
        <v>2470.6</v>
      </c>
      <c r="D2751" s="53">
        <f t="shared" si="84"/>
        <v>-4.0467808411108111E-4</v>
      </c>
      <c r="E2751" s="53">
        <v>-1.3880858214901295E-3</v>
      </c>
      <c r="G2751" s="90">
        <v>2743</v>
      </c>
      <c r="H2751" s="90">
        <f t="shared" ca="1" si="85"/>
        <v>5.1315774135584384E-3</v>
      </c>
    </row>
    <row r="2752" spans="2:8" x14ac:dyDescent="0.3">
      <c r="B2752" s="58">
        <f>'DATA HISTORICAL'!$B3397</f>
        <v>41852</v>
      </c>
      <c r="C2752" s="60">
        <f>'DATA HISTORICAL'!$C3397</f>
        <v>2471.6</v>
      </c>
      <c r="D2752" s="53">
        <f t="shared" si="84"/>
        <v>2.074699603688333E-2</v>
      </c>
      <c r="E2752" s="53">
        <v>-1.3887819530185362E-3</v>
      </c>
      <c r="G2752" s="90">
        <v>2744</v>
      </c>
      <c r="H2752" s="90">
        <f t="shared" ca="1" si="85"/>
        <v>-4.2789553302601882E-2</v>
      </c>
    </row>
    <row r="2753" spans="2:8" x14ac:dyDescent="0.3">
      <c r="B2753" s="58">
        <f>'DATA HISTORICAL'!$B3398</f>
        <v>41851</v>
      </c>
      <c r="C2753" s="60">
        <f>'DATA HISTORICAL'!$C3398</f>
        <v>2420.85</v>
      </c>
      <c r="D2753" s="53">
        <f t="shared" si="84"/>
        <v>-1.900571717459212E-2</v>
      </c>
      <c r="E2753" s="53">
        <v>-1.3953027080177663E-3</v>
      </c>
      <c r="G2753" s="90">
        <v>2745</v>
      </c>
      <c r="H2753" s="90">
        <f t="shared" ca="1" si="85"/>
        <v>1.7568654909544738E-2</v>
      </c>
    </row>
    <row r="2754" spans="2:8" x14ac:dyDescent="0.3">
      <c r="B2754" s="58">
        <f>'DATA HISTORICAL'!$B3399</f>
        <v>41850</v>
      </c>
      <c r="C2754" s="60">
        <f>'DATA HISTORICAL'!$C3399</f>
        <v>2467.3000000000002</v>
      </c>
      <c r="D2754" s="53">
        <f t="shared" si="84"/>
        <v>2.3352470168661318E-2</v>
      </c>
      <c r="E2754" s="53">
        <v>-1.3973452717838935E-3</v>
      </c>
      <c r="G2754" s="90">
        <v>2746</v>
      </c>
      <c r="H2754" s="90">
        <f t="shared" ca="1" si="85"/>
        <v>-7.9924517954216082E-3</v>
      </c>
    </row>
    <row r="2755" spans="2:8" x14ac:dyDescent="0.3">
      <c r="B2755" s="58">
        <f>'DATA HISTORICAL'!$B3400</f>
        <v>41848</v>
      </c>
      <c r="C2755" s="60">
        <f>'DATA HISTORICAL'!$C3400</f>
        <v>2410.35</v>
      </c>
      <c r="D2755" s="53">
        <f t="shared" si="84"/>
        <v>-2.6670430645605911E-2</v>
      </c>
      <c r="E2755" s="53">
        <v>-1.4070338874677957E-3</v>
      </c>
      <c r="G2755" s="90">
        <v>2747</v>
      </c>
      <c r="H2755" s="90">
        <f t="shared" ca="1" si="85"/>
        <v>1.219658840348526E-2</v>
      </c>
    </row>
    <row r="2756" spans="2:8" x14ac:dyDescent="0.3">
      <c r="B2756" s="58">
        <f>'DATA HISTORICAL'!$B3401</f>
        <v>41845</v>
      </c>
      <c r="C2756" s="60">
        <f>'DATA HISTORICAL'!$C3401</f>
        <v>2475.5</v>
      </c>
      <c r="D2756" s="53">
        <f t="shared" si="84"/>
        <v>-3.5887858836701897E-3</v>
      </c>
      <c r="E2756" s="53">
        <v>-1.4125958793911101E-3</v>
      </c>
      <c r="G2756" s="90">
        <v>2748</v>
      </c>
      <c r="H2756" s="90">
        <f t="shared" ca="1" si="85"/>
        <v>1.3170786539014592E-3</v>
      </c>
    </row>
    <row r="2757" spans="2:8" x14ac:dyDescent="0.3">
      <c r="B2757" s="58">
        <f>'DATA HISTORICAL'!$B3402</f>
        <v>41844</v>
      </c>
      <c r="C2757" s="60">
        <f>'DATA HISTORICAL'!$C3402</f>
        <v>2484.4</v>
      </c>
      <c r="D2757" s="53">
        <f t="shared" si="84"/>
        <v>1.3208733024254026E-2</v>
      </c>
      <c r="E2757" s="53">
        <v>-1.4192323430624249E-3</v>
      </c>
      <c r="G2757" s="90">
        <v>2749</v>
      </c>
      <c r="H2757" s="90">
        <f t="shared" ca="1" si="85"/>
        <v>1.4188758055434684E-2</v>
      </c>
    </row>
    <row r="2758" spans="2:8" x14ac:dyDescent="0.3">
      <c r="B2758" s="58">
        <f>'DATA HISTORICAL'!$B3403</f>
        <v>41843</v>
      </c>
      <c r="C2758" s="60">
        <f>'DATA HISTORICAL'!$C3403</f>
        <v>2451.8000000000002</v>
      </c>
      <c r="D2758" s="53">
        <f t="shared" si="84"/>
        <v>-2.7694356092609722E-2</v>
      </c>
      <c r="E2758" s="53">
        <v>-1.425420648209481E-3</v>
      </c>
      <c r="G2758" s="90">
        <v>2750</v>
      </c>
      <c r="H2758" s="90">
        <f t="shared" ca="1" si="85"/>
        <v>-1.7607051153687098E-3</v>
      </c>
    </row>
    <row r="2759" spans="2:8" x14ac:dyDescent="0.3">
      <c r="B2759" s="58">
        <f>'DATA HISTORICAL'!$B3404</f>
        <v>41842</v>
      </c>
      <c r="C2759" s="60">
        <f>'DATA HISTORICAL'!$C3404</f>
        <v>2520.65</v>
      </c>
      <c r="D2759" s="53">
        <f t="shared" si="84"/>
        <v>-7.5348988336503041E-4</v>
      </c>
      <c r="E2759" s="53">
        <v>-1.4499608529283737E-3</v>
      </c>
      <c r="G2759" s="90">
        <v>2751</v>
      </c>
      <c r="H2759" s="90">
        <f t="shared" ca="1" si="85"/>
        <v>3.2700113559823968E-2</v>
      </c>
    </row>
    <row r="2760" spans="2:8" x14ac:dyDescent="0.3">
      <c r="B2760" s="58">
        <f>'DATA HISTORICAL'!$B3405</f>
        <v>41841</v>
      </c>
      <c r="C2760" s="60">
        <f>'DATA HISTORICAL'!$C3405</f>
        <v>2522.5500000000002</v>
      </c>
      <c r="D2760" s="53">
        <f t="shared" si="84"/>
        <v>-1.1587478159387564E-2</v>
      </c>
      <c r="E2760" s="53">
        <v>-1.4582207962067063E-3</v>
      </c>
      <c r="G2760" s="90">
        <v>2752</v>
      </c>
      <c r="H2760" s="90">
        <f t="shared" ca="1" si="85"/>
        <v>1.7620998143356027E-2</v>
      </c>
    </row>
    <row r="2761" spans="2:8" x14ac:dyDescent="0.3">
      <c r="B2761" s="58">
        <f>'DATA HISTORICAL'!$B3406</f>
        <v>41838</v>
      </c>
      <c r="C2761" s="60">
        <f>'DATA HISTORICAL'!$C3406</f>
        <v>2551.9499999999998</v>
      </c>
      <c r="D2761" s="53">
        <f t="shared" ref="D2761:D2824" si="86">LN(C2761/C2762)</f>
        <v>-1.5938450872345026E-2</v>
      </c>
      <c r="E2761" s="53">
        <v>-1.4699149457033868E-3</v>
      </c>
      <c r="G2761" s="90">
        <v>2753</v>
      </c>
      <c r="H2761" s="90">
        <f t="shared" ref="H2761:H2824" ca="1" si="87">_xlfn.NORM.INV(RAND(),N$10,N$11)</f>
        <v>6.1706683887591436E-3</v>
      </c>
    </row>
    <row r="2762" spans="2:8" x14ac:dyDescent="0.3">
      <c r="B2762" s="58">
        <f>'DATA HISTORICAL'!$B3407</f>
        <v>41837</v>
      </c>
      <c r="C2762" s="60">
        <f>'DATA HISTORICAL'!$C3407</f>
        <v>2592.9499999999998</v>
      </c>
      <c r="D2762" s="53">
        <f t="shared" si="86"/>
        <v>3.1239382139809507E-2</v>
      </c>
      <c r="E2762" s="53">
        <v>-1.4771345145203295E-3</v>
      </c>
      <c r="G2762" s="90">
        <v>2754</v>
      </c>
      <c r="H2762" s="90">
        <f t="shared" ca="1" si="87"/>
        <v>1.5495046427170228E-2</v>
      </c>
    </row>
    <row r="2763" spans="2:8" x14ac:dyDescent="0.3">
      <c r="B2763" s="58">
        <f>'DATA HISTORICAL'!$B3408</f>
        <v>41836</v>
      </c>
      <c r="C2763" s="60">
        <f>'DATA HISTORICAL'!$C3408</f>
        <v>2513.1999999999998</v>
      </c>
      <c r="D2763" s="53">
        <f t="shared" si="86"/>
        <v>-2.424243611506503E-3</v>
      </c>
      <c r="E2763" s="53">
        <v>-1.4772520122304318E-3</v>
      </c>
      <c r="G2763" s="90">
        <v>2755</v>
      </c>
      <c r="H2763" s="90">
        <f t="shared" ca="1" si="87"/>
        <v>-4.1236348789382996E-2</v>
      </c>
    </row>
    <row r="2764" spans="2:8" x14ac:dyDescent="0.3">
      <c r="B2764" s="58">
        <f>'DATA HISTORICAL'!$B3409</f>
        <v>41835</v>
      </c>
      <c r="C2764" s="60">
        <f>'DATA HISTORICAL'!$C3409</f>
        <v>2519.3000000000002</v>
      </c>
      <c r="D2764" s="53">
        <f t="shared" si="86"/>
        <v>2.4242436115064756E-3</v>
      </c>
      <c r="E2764" s="53">
        <v>-1.4919092555042699E-3</v>
      </c>
      <c r="G2764" s="90">
        <v>2756</v>
      </c>
      <c r="H2764" s="90">
        <f t="shared" ca="1" si="87"/>
        <v>1.3795547697372623E-2</v>
      </c>
    </row>
    <row r="2765" spans="2:8" x14ac:dyDescent="0.3">
      <c r="B2765" s="58">
        <f>'DATA HISTORICAL'!$B3410</f>
        <v>41834</v>
      </c>
      <c r="C2765" s="60">
        <f>'DATA HISTORICAL'!$C3410</f>
        <v>2513.1999999999998</v>
      </c>
      <c r="D2765" s="53">
        <f t="shared" si="86"/>
        <v>9.916907887927132E-3</v>
      </c>
      <c r="E2765" s="53">
        <v>-1.4987427739991701E-3</v>
      </c>
      <c r="G2765" s="90">
        <v>2757</v>
      </c>
      <c r="H2765" s="90">
        <f t="shared" ca="1" si="87"/>
        <v>3.8712787824819414E-3</v>
      </c>
    </row>
    <row r="2766" spans="2:8" x14ac:dyDescent="0.3">
      <c r="B2766" s="58">
        <f>'DATA HISTORICAL'!$B3411</f>
        <v>41831</v>
      </c>
      <c r="C2766" s="60">
        <f>'DATA HISTORICAL'!$C3411</f>
        <v>2488.4</v>
      </c>
      <c r="D2766" s="53">
        <f t="shared" si="86"/>
        <v>-9.2004329139987687E-3</v>
      </c>
      <c r="E2766" s="53">
        <v>-1.5034622020941007E-3</v>
      </c>
      <c r="G2766" s="90">
        <v>2758</v>
      </c>
      <c r="H2766" s="90">
        <f t="shared" ca="1" si="87"/>
        <v>-2.9237311307527729E-3</v>
      </c>
    </row>
    <row r="2767" spans="2:8" x14ac:dyDescent="0.3">
      <c r="B2767" s="58">
        <f>'DATA HISTORICAL'!$B3412</f>
        <v>41830</v>
      </c>
      <c r="C2767" s="60">
        <f>'DATA HISTORICAL'!$C3412</f>
        <v>2511.4</v>
      </c>
      <c r="D2767" s="53">
        <f t="shared" si="86"/>
        <v>6.9525193148818835E-3</v>
      </c>
      <c r="E2767" s="53">
        <v>-1.5061215920207272E-3</v>
      </c>
      <c r="G2767" s="90">
        <v>2759</v>
      </c>
      <c r="H2767" s="90">
        <f t="shared" ca="1" si="87"/>
        <v>-1.1979806551488795E-2</v>
      </c>
    </row>
    <row r="2768" spans="2:8" x14ac:dyDescent="0.3">
      <c r="B2768" s="58">
        <f>'DATA HISTORICAL'!$B3413</f>
        <v>41829</v>
      </c>
      <c r="C2768" s="60">
        <f>'DATA HISTORICAL'!$C3413</f>
        <v>2494</v>
      </c>
      <c r="D2768" s="53">
        <f t="shared" si="86"/>
        <v>-2.3828844163075666E-3</v>
      </c>
      <c r="E2768" s="53">
        <v>-1.5081384313067575E-3</v>
      </c>
      <c r="G2768" s="90">
        <v>2760</v>
      </c>
      <c r="H2768" s="90">
        <f t="shared" ca="1" si="87"/>
        <v>1.3148665873281947E-2</v>
      </c>
    </row>
    <row r="2769" spans="2:8" x14ac:dyDescent="0.3">
      <c r="B2769" s="58">
        <f>'DATA HISTORICAL'!$B3414</f>
        <v>41828</v>
      </c>
      <c r="C2769" s="60">
        <f>'DATA HISTORICAL'!$C3414</f>
        <v>2499.9499999999998</v>
      </c>
      <c r="D2769" s="53">
        <f t="shared" si="86"/>
        <v>-2.369746355435948E-2</v>
      </c>
      <c r="E2769" s="53">
        <v>-1.5103705975588542E-3</v>
      </c>
      <c r="G2769" s="90">
        <v>2761</v>
      </c>
      <c r="H2769" s="90">
        <f t="shared" ca="1" si="87"/>
        <v>-4.444980714843217E-4</v>
      </c>
    </row>
    <row r="2770" spans="2:8" x14ac:dyDescent="0.3">
      <c r="B2770" s="58">
        <f>'DATA HISTORICAL'!$B3415</f>
        <v>41827</v>
      </c>
      <c r="C2770" s="60">
        <f>'DATA HISTORICAL'!$C3415</f>
        <v>2559.9</v>
      </c>
      <c r="D2770" s="53">
        <f t="shared" si="86"/>
        <v>-1.5927791238002687E-2</v>
      </c>
      <c r="E2770" s="53">
        <v>-1.525139676422749E-3</v>
      </c>
      <c r="G2770" s="90">
        <v>2762</v>
      </c>
      <c r="H2770" s="90">
        <f t="shared" ca="1" si="87"/>
        <v>2.8744912594029573E-2</v>
      </c>
    </row>
    <row r="2771" spans="2:8" x14ac:dyDescent="0.3">
      <c r="B2771" s="58">
        <f>'DATA HISTORICAL'!$B3416</f>
        <v>41824</v>
      </c>
      <c r="C2771" s="60">
        <f>'DATA HISTORICAL'!$C3416</f>
        <v>2601</v>
      </c>
      <c r="D2771" s="53">
        <f t="shared" si="86"/>
        <v>-1.0460286414362507E-2</v>
      </c>
      <c r="E2771" s="53">
        <v>-1.5282025758247306E-3</v>
      </c>
      <c r="G2771" s="90">
        <v>2763</v>
      </c>
      <c r="H2771" s="90">
        <f t="shared" ca="1" si="87"/>
        <v>1.4188817804219395E-2</v>
      </c>
    </row>
    <row r="2772" spans="2:8" x14ac:dyDescent="0.3">
      <c r="B2772" s="58">
        <f>'DATA HISTORICAL'!$B3417</f>
        <v>41823</v>
      </c>
      <c r="C2772" s="60">
        <f>'DATA HISTORICAL'!$C3417</f>
        <v>2628.35</v>
      </c>
      <c r="D2772" s="53">
        <f t="shared" si="86"/>
        <v>-5.6718636777798332E-3</v>
      </c>
      <c r="E2772" s="53">
        <v>-1.5301203796981107E-3</v>
      </c>
      <c r="G2772" s="90">
        <v>2764</v>
      </c>
      <c r="H2772" s="90">
        <f t="shared" ca="1" si="87"/>
        <v>1.1015468860870277E-3</v>
      </c>
    </row>
    <row r="2773" spans="2:8" x14ac:dyDescent="0.3">
      <c r="B2773" s="58">
        <f>'DATA HISTORICAL'!$B3418</f>
        <v>41822</v>
      </c>
      <c r="C2773" s="60">
        <f>'DATA HISTORICAL'!$C3418</f>
        <v>2643.3</v>
      </c>
      <c r="D2773" s="53">
        <f t="shared" si="86"/>
        <v>5.025279142854039E-3</v>
      </c>
      <c r="E2773" s="53">
        <v>-1.5327164921090188E-3</v>
      </c>
      <c r="G2773" s="90">
        <v>2765</v>
      </c>
      <c r="H2773" s="90">
        <f t="shared" ca="1" si="87"/>
        <v>1.2936070573168756E-2</v>
      </c>
    </row>
    <row r="2774" spans="2:8" x14ac:dyDescent="0.3">
      <c r="B2774" s="58">
        <f>'DATA HISTORICAL'!$B3419</f>
        <v>41821</v>
      </c>
      <c r="C2774" s="60">
        <f>'DATA HISTORICAL'!$C3419</f>
        <v>2630.05</v>
      </c>
      <c r="D2774" s="53">
        <f t="shared" si="86"/>
        <v>1.4592369235288257E-2</v>
      </c>
      <c r="E2774" s="53">
        <v>-1.5408203635176013E-3</v>
      </c>
      <c r="G2774" s="90">
        <v>2766</v>
      </c>
      <c r="H2774" s="90">
        <f t="shared" ca="1" si="87"/>
        <v>-8.1435557797175477E-3</v>
      </c>
    </row>
    <row r="2775" spans="2:8" x14ac:dyDescent="0.3">
      <c r="B2775" s="58">
        <f>'DATA HISTORICAL'!$B3420</f>
        <v>41820</v>
      </c>
      <c r="C2775" s="60">
        <f>'DATA HISTORICAL'!$C3420</f>
        <v>2591.9499999999998</v>
      </c>
      <c r="D2775" s="53">
        <f t="shared" si="86"/>
        <v>-1.5227891181512901E-3</v>
      </c>
      <c r="E2775" s="53">
        <v>-1.549697387070757E-3</v>
      </c>
      <c r="G2775" s="90">
        <v>2767</v>
      </c>
      <c r="H2775" s="90">
        <f t="shared" ca="1" si="87"/>
        <v>1.7489193740684764E-2</v>
      </c>
    </row>
    <row r="2776" spans="2:8" x14ac:dyDescent="0.3">
      <c r="B2776" s="58">
        <f>'DATA HISTORICAL'!$B3421</f>
        <v>41817</v>
      </c>
      <c r="C2776" s="60">
        <f>'DATA HISTORICAL'!$C3421</f>
        <v>2595.9</v>
      </c>
      <c r="D2776" s="53">
        <f t="shared" si="86"/>
        <v>-3.376607246270473E-2</v>
      </c>
      <c r="E2776" s="53">
        <v>-1.5546435953608672E-3</v>
      </c>
      <c r="G2776" s="90">
        <v>2768</v>
      </c>
      <c r="H2776" s="90">
        <f t="shared" ca="1" si="87"/>
        <v>-3.3090699691860617E-3</v>
      </c>
    </row>
    <row r="2777" spans="2:8" x14ac:dyDescent="0.3">
      <c r="B2777" s="58">
        <f>'DATA HISTORICAL'!$B3422</f>
        <v>41816</v>
      </c>
      <c r="C2777" s="60">
        <f>'DATA HISTORICAL'!$C3422</f>
        <v>2685.05</v>
      </c>
      <c r="D2777" s="53">
        <f t="shared" si="86"/>
        <v>-1.4585575279645472E-2</v>
      </c>
      <c r="E2777" s="53">
        <v>-1.5580082906748358E-3</v>
      </c>
      <c r="G2777" s="90">
        <v>2769</v>
      </c>
      <c r="H2777" s="90">
        <f t="shared" ca="1" si="87"/>
        <v>-1.2536085729788635E-2</v>
      </c>
    </row>
    <row r="2778" spans="2:8" x14ac:dyDescent="0.3">
      <c r="B2778" s="58">
        <f>'DATA HISTORICAL'!$B3423</f>
        <v>41815</v>
      </c>
      <c r="C2778" s="60">
        <f>'DATA HISTORICAL'!$C3423</f>
        <v>2724.5</v>
      </c>
      <c r="D2778" s="53">
        <f t="shared" si="86"/>
        <v>6.9057868478972564E-3</v>
      </c>
      <c r="E2778" s="53">
        <v>-1.5605140588453349E-3</v>
      </c>
      <c r="G2778" s="90">
        <v>2770</v>
      </c>
      <c r="H2778" s="90">
        <f t="shared" ca="1" si="87"/>
        <v>1.2785781727833265E-2</v>
      </c>
    </row>
    <row r="2779" spans="2:8" x14ac:dyDescent="0.3">
      <c r="B2779" s="58">
        <f>'DATA HISTORICAL'!$B3424</f>
        <v>41814</v>
      </c>
      <c r="C2779" s="60">
        <f>'DATA HISTORICAL'!$C3424</f>
        <v>2705.75</v>
      </c>
      <c r="D2779" s="53">
        <f t="shared" si="86"/>
        <v>-2.030644965828336E-3</v>
      </c>
      <c r="E2779" s="53">
        <v>-1.561890204282271E-3</v>
      </c>
      <c r="G2779" s="90">
        <v>2771</v>
      </c>
      <c r="H2779" s="90">
        <f t="shared" ca="1" si="87"/>
        <v>1.083276716798553E-2</v>
      </c>
    </row>
    <row r="2780" spans="2:8" x14ac:dyDescent="0.3">
      <c r="B2780" s="58">
        <f>'DATA HISTORICAL'!$B3425</f>
        <v>41813</v>
      </c>
      <c r="C2780" s="60">
        <f>'DATA HISTORICAL'!$C3425</f>
        <v>2711.25</v>
      </c>
      <c r="D2780" s="53">
        <f t="shared" si="86"/>
        <v>-5.957323592429206E-3</v>
      </c>
      <c r="E2780" s="53">
        <v>-1.5679805151825308E-3</v>
      </c>
      <c r="G2780" s="90">
        <v>2772</v>
      </c>
      <c r="H2780" s="90">
        <f t="shared" ca="1" si="87"/>
        <v>7.9574997711587703E-3</v>
      </c>
    </row>
    <row r="2781" spans="2:8" x14ac:dyDescent="0.3">
      <c r="B2781" s="58">
        <f>'DATA HISTORICAL'!$B3426</f>
        <v>41810</v>
      </c>
      <c r="C2781" s="60">
        <f>'DATA HISTORICAL'!$C3426</f>
        <v>2727.45</v>
      </c>
      <c r="D2781" s="53">
        <f t="shared" si="86"/>
        <v>-1.019551587698529E-2</v>
      </c>
      <c r="E2781" s="53">
        <v>-1.5698411769325528E-3</v>
      </c>
      <c r="G2781" s="90">
        <v>2773</v>
      </c>
      <c r="H2781" s="90">
        <f t="shared" ca="1" si="87"/>
        <v>2.2088542559395966E-2</v>
      </c>
    </row>
    <row r="2782" spans="2:8" x14ac:dyDescent="0.3">
      <c r="B2782" s="58">
        <f>'DATA HISTORICAL'!$B3427</f>
        <v>41809</v>
      </c>
      <c r="C2782" s="60">
        <f>'DATA HISTORICAL'!$C3427</f>
        <v>2755.4</v>
      </c>
      <c r="D2782" s="53">
        <f t="shared" si="86"/>
        <v>-1.7876566334715484E-2</v>
      </c>
      <c r="E2782" s="53">
        <v>-1.5920284031218537E-3</v>
      </c>
      <c r="G2782" s="90">
        <v>2774</v>
      </c>
      <c r="H2782" s="90">
        <f t="shared" ca="1" si="87"/>
        <v>4.3847257430965271E-2</v>
      </c>
    </row>
    <row r="2783" spans="2:8" x14ac:dyDescent="0.3">
      <c r="B2783" s="58">
        <f>'DATA HISTORICAL'!$B3428</f>
        <v>41808</v>
      </c>
      <c r="C2783" s="60">
        <f>'DATA HISTORICAL'!$C3428</f>
        <v>2805.1</v>
      </c>
      <c r="D2783" s="53">
        <f t="shared" si="86"/>
        <v>2.9275279744564475E-3</v>
      </c>
      <c r="E2783" s="53">
        <v>-1.5932854484973133E-3</v>
      </c>
      <c r="G2783" s="90">
        <v>2775</v>
      </c>
      <c r="H2783" s="90">
        <f t="shared" ca="1" si="87"/>
        <v>1.4472057247260629E-2</v>
      </c>
    </row>
    <row r="2784" spans="2:8" x14ac:dyDescent="0.3">
      <c r="B2784" s="58">
        <f>'DATA HISTORICAL'!$B3429</f>
        <v>41807</v>
      </c>
      <c r="C2784" s="60">
        <f>'DATA HISTORICAL'!$C3429</f>
        <v>2796.9</v>
      </c>
      <c r="D2784" s="53">
        <f t="shared" si="86"/>
        <v>1.8129673714925149E-2</v>
      </c>
      <c r="E2784" s="53">
        <v>-1.5939919534470673E-3</v>
      </c>
      <c r="G2784" s="90">
        <v>2776</v>
      </c>
      <c r="H2784" s="90">
        <f t="shared" ca="1" si="87"/>
        <v>7.8636997238304314E-3</v>
      </c>
    </row>
    <row r="2785" spans="2:8" x14ac:dyDescent="0.3">
      <c r="B2785" s="58">
        <f>'DATA HISTORICAL'!$B3430</f>
        <v>41806</v>
      </c>
      <c r="C2785" s="60">
        <f>'DATA HISTORICAL'!$C3430</f>
        <v>2746.65</v>
      </c>
      <c r="D2785" s="53">
        <f t="shared" si="86"/>
        <v>-7.7430504817276634E-3</v>
      </c>
      <c r="E2785" s="53">
        <v>-1.5966954338205385E-3</v>
      </c>
      <c r="G2785" s="90">
        <v>2777</v>
      </c>
      <c r="H2785" s="90">
        <f t="shared" ca="1" si="87"/>
        <v>1.0785985394730007E-2</v>
      </c>
    </row>
    <row r="2786" spans="2:8" x14ac:dyDescent="0.3">
      <c r="B2786" s="58">
        <f>'DATA HISTORICAL'!$B3431</f>
        <v>41803</v>
      </c>
      <c r="C2786" s="60">
        <f>'DATA HISTORICAL'!$C3431</f>
        <v>2768</v>
      </c>
      <c r="D2786" s="53">
        <f t="shared" si="86"/>
        <v>-2.5285820208048663E-4</v>
      </c>
      <c r="E2786" s="53">
        <v>-1.5984592620031332E-3</v>
      </c>
      <c r="G2786" s="90">
        <v>2778</v>
      </c>
      <c r="H2786" s="90">
        <f t="shared" ca="1" si="87"/>
        <v>5.8293633353903428E-3</v>
      </c>
    </row>
    <row r="2787" spans="2:8" x14ac:dyDescent="0.3">
      <c r="B2787" s="58">
        <f>'DATA HISTORICAL'!$B3432</f>
        <v>41802</v>
      </c>
      <c r="C2787" s="60">
        <f>'DATA HISTORICAL'!$C3432</f>
        <v>2768.7</v>
      </c>
      <c r="D2787" s="53">
        <f t="shared" si="86"/>
        <v>-2.4530151905753179E-3</v>
      </c>
      <c r="E2787" s="53">
        <v>-1.6002755290184464E-3</v>
      </c>
      <c r="G2787" s="90">
        <v>2779</v>
      </c>
      <c r="H2787" s="90">
        <f t="shared" ca="1" si="87"/>
        <v>2.498458992762087E-2</v>
      </c>
    </row>
    <row r="2788" spans="2:8" x14ac:dyDescent="0.3">
      <c r="B2788" s="58">
        <f>'DATA HISTORICAL'!$B3433</f>
        <v>41801</v>
      </c>
      <c r="C2788" s="60">
        <f>'DATA HISTORICAL'!$C3433</f>
        <v>2775.5</v>
      </c>
      <c r="D2788" s="53">
        <f t="shared" si="86"/>
        <v>-8.0382246423751462E-3</v>
      </c>
      <c r="E2788" s="53">
        <v>-1.6111318021872596E-3</v>
      </c>
      <c r="G2788" s="90">
        <v>2780</v>
      </c>
      <c r="H2788" s="90">
        <f t="shared" ca="1" si="87"/>
        <v>4.4115727137834966E-2</v>
      </c>
    </row>
    <row r="2789" spans="2:8" x14ac:dyDescent="0.3">
      <c r="B2789" s="58">
        <f>'DATA HISTORICAL'!$B3434</f>
        <v>41800</v>
      </c>
      <c r="C2789" s="60">
        <f>'DATA HISTORICAL'!$C3434</f>
        <v>2797.9</v>
      </c>
      <c r="D2789" s="53">
        <f t="shared" si="86"/>
        <v>-1.0181026662415354E-3</v>
      </c>
      <c r="E2789" s="53">
        <v>-1.6163361187120503E-3</v>
      </c>
      <c r="G2789" s="90">
        <v>2781</v>
      </c>
      <c r="H2789" s="90">
        <f t="shared" ca="1" si="87"/>
        <v>-1.8038287438929823E-3</v>
      </c>
    </row>
    <row r="2790" spans="2:8" x14ac:dyDescent="0.3">
      <c r="B2790" s="58">
        <f>'DATA HISTORICAL'!$B3435</f>
        <v>41799</v>
      </c>
      <c r="C2790" s="60">
        <f>'DATA HISTORICAL'!$C3435</f>
        <v>2800.75</v>
      </c>
      <c r="D2790" s="53">
        <f t="shared" si="86"/>
        <v>4.6050013930665108E-2</v>
      </c>
      <c r="E2790" s="53">
        <v>-1.6419810925083203E-3</v>
      </c>
      <c r="G2790" s="90">
        <v>2782</v>
      </c>
      <c r="H2790" s="90">
        <f t="shared" ca="1" si="87"/>
        <v>2.4068791819893215E-2</v>
      </c>
    </row>
    <row r="2791" spans="2:8" x14ac:dyDescent="0.3">
      <c r="B2791" s="58">
        <f>'DATA HISTORICAL'!$B3436</f>
        <v>41796</v>
      </c>
      <c r="C2791" s="60">
        <f>'DATA HISTORICAL'!$C3436</f>
        <v>2674.7</v>
      </c>
      <c r="D2791" s="53">
        <f t="shared" si="86"/>
        <v>1.5903259500036897E-2</v>
      </c>
      <c r="E2791" s="53">
        <v>-1.6484504718385954E-3</v>
      </c>
      <c r="G2791" s="90">
        <v>2783</v>
      </c>
      <c r="H2791" s="90">
        <f t="shared" ca="1" si="87"/>
        <v>4.7427800019639406E-3</v>
      </c>
    </row>
    <row r="2792" spans="2:8" x14ac:dyDescent="0.3">
      <c r="B2792" s="58">
        <f>'DATA HISTORICAL'!$B3437</f>
        <v>41795</v>
      </c>
      <c r="C2792" s="60">
        <f>'DATA HISTORICAL'!$C3437</f>
        <v>2632.5</v>
      </c>
      <c r="D2792" s="53">
        <f t="shared" si="86"/>
        <v>2.3308480724570084E-2</v>
      </c>
      <c r="E2792" s="53">
        <v>-1.6617463449982079E-3</v>
      </c>
      <c r="G2792" s="90">
        <v>2784</v>
      </c>
      <c r="H2792" s="90">
        <f t="shared" ca="1" si="87"/>
        <v>1.4044591663433933E-3</v>
      </c>
    </row>
    <row r="2793" spans="2:8" x14ac:dyDescent="0.3">
      <c r="B2793" s="58">
        <f>'DATA HISTORICAL'!$B3438</f>
        <v>41794</v>
      </c>
      <c r="C2793" s="60">
        <f>'DATA HISTORICAL'!$C3438</f>
        <v>2571.85</v>
      </c>
      <c r="D2793" s="53">
        <f t="shared" si="86"/>
        <v>7.1605171958619186E-3</v>
      </c>
      <c r="E2793" s="53">
        <v>-1.6724409584559716E-3</v>
      </c>
      <c r="G2793" s="90">
        <v>2785</v>
      </c>
      <c r="H2793" s="90">
        <f t="shared" ca="1" si="87"/>
        <v>1.6536655862769051E-2</v>
      </c>
    </row>
    <row r="2794" spans="2:8" x14ac:dyDescent="0.3">
      <c r="B2794" s="58">
        <f>'DATA HISTORICAL'!$B3439</f>
        <v>41793</v>
      </c>
      <c r="C2794" s="60">
        <f>'DATA HISTORICAL'!$C3439</f>
        <v>2553.5</v>
      </c>
      <c r="D2794" s="53">
        <f t="shared" si="86"/>
        <v>4.1254501065598463E-2</v>
      </c>
      <c r="E2794" s="53">
        <v>-1.6802147361439429E-3</v>
      </c>
      <c r="G2794" s="90">
        <v>2786</v>
      </c>
      <c r="H2794" s="90">
        <f t="shared" ca="1" si="87"/>
        <v>5.5196718173260044E-2</v>
      </c>
    </row>
    <row r="2795" spans="2:8" x14ac:dyDescent="0.3">
      <c r="B2795" s="58">
        <f>'DATA HISTORICAL'!$B3440</f>
        <v>41792</v>
      </c>
      <c r="C2795" s="60">
        <f>'DATA HISTORICAL'!$C3440</f>
        <v>2450.3000000000002</v>
      </c>
      <c r="D2795" s="53">
        <f t="shared" si="86"/>
        <v>2.8186035575299764E-2</v>
      </c>
      <c r="E2795" s="53">
        <v>-1.6847176066569574E-3</v>
      </c>
      <c r="G2795" s="90">
        <v>2787</v>
      </c>
      <c r="H2795" s="90">
        <f t="shared" ca="1" si="87"/>
        <v>1.6597070971110302E-2</v>
      </c>
    </row>
    <row r="2796" spans="2:8" x14ac:dyDescent="0.3">
      <c r="B2796" s="58">
        <f>'DATA HISTORICAL'!$B3441</f>
        <v>41789</v>
      </c>
      <c r="C2796" s="60">
        <f>'DATA HISTORICAL'!$C3441</f>
        <v>2382.1999999999998</v>
      </c>
      <c r="D2796" s="53">
        <f t="shared" si="86"/>
        <v>-4.1472107699414415E-3</v>
      </c>
      <c r="E2796" s="53">
        <v>-1.6896080445704847E-3</v>
      </c>
      <c r="G2796" s="90">
        <v>2788</v>
      </c>
      <c r="H2796" s="90">
        <f t="shared" ca="1" si="87"/>
        <v>1.9272075243832736E-3</v>
      </c>
    </row>
    <row r="2797" spans="2:8" x14ac:dyDescent="0.3">
      <c r="B2797" s="58">
        <f>'DATA HISTORICAL'!$B3442</f>
        <v>41788</v>
      </c>
      <c r="C2797" s="60">
        <f>'DATA HISTORICAL'!$C3442</f>
        <v>2392.1</v>
      </c>
      <c r="D2797" s="53">
        <f t="shared" si="86"/>
        <v>6.9426516108972627E-3</v>
      </c>
      <c r="E2797" s="53">
        <v>-1.6939989560129686E-3</v>
      </c>
      <c r="G2797" s="90">
        <v>2789</v>
      </c>
      <c r="H2797" s="90">
        <f t="shared" ca="1" si="87"/>
        <v>-6.3386888908766098E-3</v>
      </c>
    </row>
    <row r="2798" spans="2:8" x14ac:dyDescent="0.3">
      <c r="B2798" s="58">
        <f>'DATA HISTORICAL'!$B3443</f>
        <v>41787</v>
      </c>
      <c r="C2798" s="60">
        <f>'DATA HISTORICAL'!$C3443</f>
        <v>2375.5500000000002</v>
      </c>
      <c r="D2798" s="53">
        <f t="shared" si="86"/>
        <v>4.745557492538454E-2</v>
      </c>
      <c r="E2798" s="53">
        <v>-1.6977932770943359E-3</v>
      </c>
      <c r="G2798" s="90">
        <v>2790</v>
      </c>
      <c r="H2798" s="90">
        <f t="shared" ca="1" si="87"/>
        <v>3.3808188604004051E-2</v>
      </c>
    </row>
    <row r="2799" spans="2:8" x14ac:dyDescent="0.3">
      <c r="B2799" s="58">
        <f>'DATA HISTORICAL'!$B3444</f>
        <v>41786</v>
      </c>
      <c r="C2799" s="60">
        <f>'DATA HISTORICAL'!$C3444</f>
        <v>2265.4499999999998</v>
      </c>
      <c r="D2799" s="53">
        <f t="shared" si="86"/>
        <v>1.2905984527970005E-2</v>
      </c>
      <c r="E2799" s="53">
        <v>-1.6999154136052561E-3</v>
      </c>
      <c r="G2799" s="90">
        <v>2791</v>
      </c>
      <c r="H2799" s="90">
        <f t="shared" ca="1" si="87"/>
        <v>4.3101160467308823E-3</v>
      </c>
    </row>
    <row r="2800" spans="2:8" x14ac:dyDescent="0.3">
      <c r="B2800" s="58">
        <f>'DATA HISTORICAL'!$B3445</f>
        <v>41785</v>
      </c>
      <c r="C2800" s="60">
        <f>'DATA HISTORICAL'!$C3445</f>
        <v>2236.4</v>
      </c>
      <c r="D2800" s="53">
        <f t="shared" si="86"/>
        <v>-1.4956453216095253E-2</v>
      </c>
      <c r="E2800" s="53">
        <v>-1.7054716259421237E-3</v>
      </c>
      <c r="G2800" s="90">
        <v>2792</v>
      </c>
      <c r="H2800" s="90">
        <f t="shared" ca="1" si="87"/>
        <v>-2.3683220010194832E-2</v>
      </c>
    </row>
    <row r="2801" spans="2:8" x14ac:dyDescent="0.3">
      <c r="B2801" s="58">
        <f>'DATA HISTORICAL'!$B3446</f>
        <v>41782</v>
      </c>
      <c r="C2801" s="60">
        <f>'DATA HISTORICAL'!$C3446</f>
        <v>2270.1</v>
      </c>
      <c r="D2801" s="53">
        <f t="shared" si="86"/>
        <v>2.2270496399139231E-3</v>
      </c>
      <c r="E2801" s="53">
        <v>-1.7111638141947825E-3</v>
      </c>
      <c r="G2801" s="90">
        <v>2793</v>
      </c>
      <c r="H2801" s="90">
        <f t="shared" ca="1" si="87"/>
        <v>2.3966275804242237E-2</v>
      </c>
    </row>
    <row r="2802" spans="2:8" x14ac:dyDescent="0.3">
      <c r="B2802" s="58">
        <f>'DATA HISTORICAL'!$B3447</f>
        <v>41781</v>
      </c>
      <c r="C2802" s="60">
        <f>'DATA HISTORICAL'!$C3447</f>
        <v>2265.0500000000002</v>
      </c>
      <c r="D2802" s="53">
        <f t="shared" si="86"/>
        <v>-2.6014124017980436E-3</v>
      </c>
      <c r="E2802" s="53">
        <v>-1.7202243353155199E-3</v>
      </c>
      <c r="G2802" s="90">
        <v>2794</v>
      </c>
      <c r="H2802" s="90">
        <f t="shared" ca="1" si="87"/>
        <v>-9.5009120496173834E-3</v>
      </c>
    </row>
    <row r="2803" spans="2:8" x14ac:dyDescent="0.3">
      <c r="B2803" s="58">
        <f>'DATA HISTORICAL'!$B3448</f>
        <v>41780</v>
      </c>
      <c r="C2803" s="60">
        <f>'DATA HISTORICAL'!$C3448</f>
        <v>2270.9499999999998</v>
      </c>
      <c r="D2803" s="53">
        <f t="shared" si="86"/>
        <v>-3.2428248956935031E-2</v>
      </c>
      <c r="E2803" s="53">
        <v>-1.7263016059812554E-3</v>
      </c>
      <c r="G2803" s="90">
        <v>2795</v>
      </c>
      <c r="H2803" s="90">
        <f t="shared" ca="1" si="87"/>
        <v>1.6589657295940776E-2</v>
      </c>
    </row>
    <row r="2804" spans="2:8" x14ac:dyDescent="0.3">
      <c r="B2804" s="58">
        <f>'DATA HISTORICAL'!$B3449</f>
        <v>41779</v>
      </c>
      <c r="C2804" s="60">
        <f>'DATA HISTORICAL'!$C3449</f>
        <v>2345.8000000000002</v>
      </c>
      <c r="D2804" s="53">
        <f t="shared" si="86"/>
        <v>3.0526552967345302E-3</v>
      </c>
      <c r="E2804" s="53">
        <v>-1.7354615952004547E-3</v>
      </c>
      <c r="G2804" s="90">
        <v>2796</v>
      </c>
      <c r="H2804" s="90">
        <f t="shared" ca="1" si="87"/>
        <v>3.7634636808285189E-3</v>
      </c>
    </row>
    <row r="2805" spans="2:8" x14ac:dyDescent="0.3">
      <c r="B2805" s="58">
        <f>'DATA HISTORICAL'!$B3450</f>
        <v>41778</v>
      </c>
      <c r="C2805" s="60">
        <f>'DATA HISTORICAL'!$C3450</f>
        <v>2338.65</v>
      </c>
      <c r="D2805" s="53">
        <f t="shared" si="86"/>
        <v>1.9260406570415871E-3</v>
      </c>
      <c r="E2805" s="53">
        <v>-1.7371082994379215E-3</v>
      </c>
      <c r="G2805" s="90">
        <v>2797</v>
      </c>
      <c r="H2805" s="90">
        <f t="shared" ca="1" si="87"/>
        <v>-7.3405609193987623E-3</v>
      </c>
    </row>
    <row r="2806" spans="2:8" x14ac:dyDescent="0.3">
      <c r="B2806" s="58">
        <f>'DATA HISTORICAL'!$B3451</f>
        <v>41775</v>
      </c>
      <c r="C2806" s="60">
        <f>'DATA HISTORICAL'!$C3451</f>
        <v>2334.15</v>
      </c>
      <c r="D2806" s="53">
        <f t="shared" si="86"/>
        <v>4.5332361590892413E-2</v>
      </c>
      <c r="E2806" s="53">
        <v>-1.739858495049875E-3</v>
      </c>
      <c r="G2806" s="90">
        <v>2798</v>
      </c>
      <c r="H2806" s="90">
        <f t="shared" ca="1" si="87"/>
        <v>-1.0917867724620594E-2</v>
      </c>
    </row>
    <row r="2807" spans="2:8" x14ac:dyDescent="0.3">
      <c r="B2807" s="58">
        <f>'DATA HISTORICAL'!$B3452</f>
        <v>41774</v>
      </c>
      <c r="C2807" s="60">
        <f>'DATA HISTORICAL'!$C3452</f>
        <v>2230.6999999999998</v>
      </c>
      <c r="D2807" s="53">
        <f t="shared" si="86"/>
        <v>-4.4282495818868065E-3</v>
      </c>
      <c r="E2807" s="53">
        <v>-1.7420175648876709E-3</v>
      </c>
      <c r="G2807" s="90">
        <v>2799</v>
      </c>
      <c r="H2807" s="90">
        <f t="shared" ca="1" si="87"/>
        <v>1.5639735786388845E-2</v>
      </c>
    </row>
    <row r="2808" spans="2:8" x14ac:dyDescent="0.3">
      <c r="B2808" s="58">
        <f>'DATA HISTORICAL'!$B3453</f>
        <v>41773</v>
      </c>
      <c r="C2808" s="60">
        <f>'DATA HISTORICAL'!$C3453</f>
        <v>2240.6</v>
      </c>
      <c r="D2808" s="53">
        <f t="shared" si="86"/>
        <v>8.9887741949553086E-3</v>
      </c>
      <c r="E2808" s="53">
        <v>-1.7524446469760859E-3</v>
      </c>
      <c r="G2808" s="90">
        <v>2800</v>
      </c>
      <c r="H2808" s="90">
        <f t="shared" ca="1" si="87"/>
        <v>-1.4667004108879722E-2</v>
      </c>
    </row>
    <row r="2809" spans="2:8" x14ac:dyDescent="0.3">
      <c r="B2809" s="58">
        <f>'DATA HISTORICAL'!$B3454</f>
        <v>41772</v>
      </c>
      <c r="C2809" s="60">
        <f>'DATA HISTORICAL'!$C3454</f>
        <v>2220.5500000000002</v>
      </c>
      <c r="D2809" s="53">
        <f t="shared" si="86"/>
        <v>2.8040287218706588E-2</v>
      </c>
      <c r="E2809" s="53">
        <v>-1.7692672565541038E-3</v>
      </c>
      <c r="G2809" s="90">
        <v>2801</v>
      </c>
      <c r="H2809" s="90">
        <f t="shared" ca="1" si="87"/>
        <v>9.2521293602172254E-3</v>
      </c>
    </row>
    <row r="2810" spans="2:8" x14ac:dyDescent="0.3">
      <c r="B2810" s="58">
        <f>'DATA HISTORICAL'!$B3455</f>
        <v>41771</v>
      </c>
      <c r="C2810" s="60">
        <f>'DATA HISTORICAL'!$C3455</f>
        <v>2159.15</v>
      </c>
      <c r="D2810" s="53">
        <f t="shared" si="86"/>
        <v>3.753905820140032E-2</v>
      </c>
      <c r="E2810" s="53">
        <v>-1.7813289102110628E-3</v>
      </c>
      <c r="G2810" s="90">
        <v>2802</v>
      </c>
      <c r="H2810" s="90">
        <f t="shared" ca="1" si="87"/>
        <v>-3.5896721051528593E-2</v>
      </c>
    </row>
    <row r="2811" spans="2:8" x14ac:dyDescent="0.3">
      <c r="B2811" s="58">
        <f>'DATA HISTORICAL'!$B3456</f>
        <v>41768</v>
      </c>
      <c r="C2811" s="60">
        <f>'DATA HISTORICAL'!$C3456</f>
        <v>2079.6</v>
      </c>
      <c r="D2811" s="53">
        <f t="shared" si="86"/>
        <v>4.905347061456683E-2</v>
      </c>
      <c r="E2811" s="53">
        <v>-1.7873105740958627E-3</v>
      </c>
      <c r="G2811" s="90">
        <v>2803</v>
      </c>
      <c r="H2811" s="90">
        <f t="shared" ca="1" si="87"/>
        <v>1.7557860901602305E-2</v>
      </c>
    </row>
    <row r="2812" spans="2:8" x14ac:dyDescent="0.3">
      <c r="B2812" s="58">
        <f>'DATA HISTORICAL'!$B3457</f>
        <v>41767</v>
      </c>
      <c r="C2812" s="60">
        <f>'DATA HISTORICAL'!$C3457</f>
        <v>1980.05</v>
      </c>
      <c r="D2812" s="53">
        <f t="shared" si="86"/>
        <v>5.6470857472069721E-3</v>
      </c>
      <c r="E2812" s="53">
        <v>-1.7936291997129512E-3</v>
      </c>
      <c r="G2812" s="90">
        <v>2804</v>
      </c>
      <c r="H2812" s="90">
        <f t="shared" ca="1" si="87"/>
        <v>-9.3042609997266955E-3</v>
      </c>
    </row>
    <row r="2813" spans="2:8" x14ac:dyDescent="0.3">
      <c r="B2813" s="58">
        <f>'DATA HISTORICAL'!$B3458</f>
        <v>41766</v>
      </c>
      <c r="C2813" s="60">
        <f>'DATA HISTORICAL'!$C3458</f>
        <v>1968.9</v>
      </c>
      <c r="D2813" s="53">
        <f t="shared" si="86"/>
        <v>-2.7501921147872775E-2</v>
      </c>
      <c r="E2813" s="53">
        <v>-1.8118471855547811E-3</v>
      </c>
      <c r="G2813" s="90">
        <v>2805</v>
      </c>
      <c r="H2813" s="90">
        <f t="shared" ca="1" si="87"/>
        <v>-9.8994760822507105E-3</v>
      </c>
    </row>
    <row r="2814" spans="2:8" x14ac:dyDescent="0.3">
      <c r="B2814" s="58">
        <f>'DATA HISTORICAL'!$B3459</f>
        <v>41765</v>
      </c>
      <c r="C2814" s="60">
        <f>'DATA HISTORICAL'!$C3459</f>
        <v>2023.8</v>
      </c>
      <c r="D2814" s="53">
        <f t="shared" si="86"/>
        <v>-3.4528717775796801E-3</v>
      </c>
      <c r="E2814" s="53">
        <v>-1.8120576453267484E-3</v>
      </c>
      <c r="G2814" s="90">
        <v>2806</v>
      </c>
      <c r="H2814" s="90">
        <f t="shared" ca="1" si="87"/>
        <v>2.5607424765299258E-2</v>
      </c>
    </row>
    <row r="2815" spans="2:8" x14ac:dyDescent="0.3">
      <c r="B2815" s="58">
        <f>'DATA HISTORICAL'!$B3460</f>
        <v>41764</v>
      </c>
      <c r="C2815" s="60">
        <f>'DATA HISTORICAL'!$C3460</f>
        <v>2030.8</v>
      </c>
      <c r="D2815" s="53">
        <f t="shared" si="86"/>
        <v>-2.5327363388445447E-3</v>
      </c>
      <c r="E2815" s="53">
        <v>-1.8168609649018026E-3</v>
      </c>
      <c r="G2815" s="90">
        <v>2807</v>
      </c>
      <c r="H2815" s="90">
        <f t="shared" ca="1" si="87"/>
        <v>9.434013474392846E-3</v>
      </c>
    </row>
    <row r="2816" spans="2:8" x14ac:dyDescent="0.3">
      <c r="B2816" s="58">
        <f>'DATA HISTORICAL'!$B3461</f>
        <v>41761</v>
      </c>
      <c r="C2816" s="60">
        <f>'DATA HISTORICAL'!$C3461</f>
        <v>2035.95</v>
      </c>
      <c r="D2816" s="53">
        <f t="shared" si="86"/>
        <v>4.3316747113418107E-3</v>
      </c>
      <c r="E2816" s="53">
        <v>-1.8172564436372423E-3</v>
      </c>
      <c r="G2816" s="90">
        <v>2808</v>
      </c>
      <c r="H2816" s="90">
        <f t="shared" ca="1" si="87"/>
        <v>2.4166951807543923E-2</v>
      </c>
    </row>
    <row r="2817" spans="2:8" x14ac:dyDescent="0.3">
      <c r="B2817" s="58">
        <f>'DATA HISTORICAL'!$B3462</f>
        <v>41759</v>
      </c>
      <c r="C2817" s="60">
        <f>'DATA HISTORICAL'!$C3462</f>
        <v>2027.15</v>
      </c>
      <c r="D2817" s="53">
        <f t="shared" si="86"/>
        <v>-1.9225489251045103E-2</v>
      </c>
      <c r="E2817" s="53">
        <v>-1.8200220117437211E-3</v>
      </c>
      <c r="G2817" s="90">
        <v>2809</v>
      </c>
      <c r="H2817" s="90">
        <f t="shared" ca="1" si="87"/>
        <v>2.5238434475873782E-2</v>
      </c>
    </row>
    <row r="2818" spans="2:8" x14ac:dyDescent="0.3">
      <c r="B2818" s="58">
        <f>'DATA HISTORICAL'!$B3463</f>
        <v>41758</v>
      </c>
      <c r="C2818" s="60">
        <f>'DATA HISTORICAL'!$C3463</f>
        <v>2066.5</v>
      </c>
      <c r="D2818" s="53">
        <f t="shared" si="86"/>
        <v>7.6507750689276772E-3</v>
      </c>
      <c r="E2818" s="53">
        <v>-1.8414457373545036E-3</v>
      </c>
      <c r="G2818" s="90">
        <v>2810</v>
      </c>
      <c r="H2818" s="90">
        <f t="shared" ca="1" si="87"/>
        <v>1.0505103737620187E-2</v>
      </c>
    </row>
    <row r="2819" spans="2:8" x14ac:dyDescent="0.3">
      <c r="B2819" s="58">
        <f>'DATA HISTORICAL'!$B3464</f>
        <v>41757</v>
      </c>
      <c r="C2819" s="60">
        <f>'DATA HISTORICAL'!$C3464</f>
        <v>2050.75</v>
      </c>
      <c r="D2819" s="53">
        <f t="shared" si="86"/>
        <v>-1.3969987626701338E-2</v>
      </c>
      <c r="E2819" s="53">
        <v>-1.8437304437908353E-3</v>
      </c>
      <c r="G2819" s="90">
        <v>2811</v>
      </c>
      <c r="H2819" s="90">
        <f t="shared" ca="1" si="87"/>
        <v>5.8914134397200866E-3</v>
      </c>
    </row>
    <row r="2820" spans="2:8" x14ac:dyDescent="0.3">
      <c r="B2820" s="58">
        <f>'DATA HISTORICAL'!$B3465</f>
        <v>41754</v>
      </c>
      <c r="C2820" s="60">
        <f>'DATA HISTORICAL'!$C3465</f>
        <v>2079.6</v>
      </c>
      <c r="D2820" s="53">
        <f t="shared" si="86"/>
        <v>-4.2413341619765357E-2</v>
      </c>
      <c r="E2820" s="53">
        <v>-1.8455146396535258E-3</v>
      </c>
      <c r="G2820" s="90">
        <v>2812</v>
      </c>
      <c r="H2820" s="90">
        <f t="shared" ca="1" si="87"/>
        <v>2.1922171034120523E-2</v>
      </c>
    </row>
    <row r="2821" spans="2:8" x14ac:dyDescent="0.3">
      <c r="B2821" s="58">
        <f>'DATA HISTORICAL'!$B3466</f>
        <v>41752</v>
      </c>
      <c r="C2821" s="60">
        <f>'DATA HISTORICAL'!$C3466</f>
        <v>2169.6999999999998</v>
      </c>
      <c r="D2821" s="53">
        <f t="shared" si="86"/>
        <v>-1.4822541382820419E-2</v>
      </c>
      <c r="E2821" s="53">
        <v>-1.8538096472803876E-3</v>
      </c>
      <c r="G2821" s="90">
        <v>2813</v>
      </c>
      <c r="H2821" s="90">
        <f t="shared" ca="1" si="87"/>
        <v>3.4971091759579569E-2</v>
      </c>
    </row>
    <row r="2822" spans="2:8" x14ac:dyDescent="0.3">
      <c r="B2822" s="58">
        <f>'DATA HISTORICAL'!$B3467</f>
        <v>41751</v>
      </c>
      <c r="C2822" s="60">
        <f>'DATA HISTORICAL'!$C3467</f>
        <v>2202.1</v>
      </c>
      <c r="D2822" s="53">
        <f t="shared" si="86"/>
        <v>-7.7578504362822518E-3</v>
      </c>
      <c r="E2822" s="53">
        <v>-1.8631861146399453E-3</v>
      </c>
      <c r="G2822" s="90">
        <v>2814</v>
      </c>
      <c r="H2822" s="90">
        <f t="shared" ca="1" si="87"/>
        <v>-1.5107073192770729E-2</v>
      </c>
    </row>
    <row r="2823" spans="2:8" x14ac:dyDescent="0.3">
      <c r="B2823" s="58">
        <f>'DATA HISTORICAL'!$B3468</f>
        <v>41750</v>
      </c>
      <c r="C2823" s="60">
        <f>'DATA HISTORICAL'!$C3468</f>
        <v>2219.25</v>
      </c>
      <c r="D2823" s="53">
        <f t="shared" si="86"/>
        <v>7.437709528446807E-4</v>
      </c>
      <c r="E2823" s="53">
        <v>-1.8694090101666499E-3</v>
      </c>
      <c r="G2823" s="90">
        <v>2815</v>
      </c>
      <c r="H2823" s="90">
        <f t="shared" ca="1" si="87"/>
        <v>5.1084194608695038E-2</v>
      </c>
    </row>
    <row r="2824" spans="2:8" x14ac:dyDescent="0.3">
      <c r="B2824" s="58">
        <f>'DATA HISTORICAL'!$B3469</f>
        <v>41746</v>
      </c>
      <c r="C2824" s="60">
        <f>'DATA HISTORICAL'!$C3469</f>
        <v>2217.6</v>
      </c>
      <c r="D2824" s="53">
        <f t="shared" si="86"/>
        <v>7.9681696491768813E-3</v>
      </c>
      <c r="E2824" s="53">
        <v>-1.8731993949973403E-3</v>
      </c>
      <c r="G2824" s="90">
        <v>2816</v>
      </c>
      <c r="H2824" s="90">
        <f t="shared" ca="1" si="87"/>
        <v>3.7733982140197224E-3</v>
      </c>
    </row>
    <row r="2825" spans="2:8" x14ac:dyDescent="0.3">
      <c r="B2825" s="58">
        <f>'DATA HISTORICAL'!$B3470</f>
        <v>41745</v>
      </c>
      <c r="C2825" s="60">
        <f>'DATA HISTORICAL'!$C3470</f>
        <v>2200</v>
      </c>
      <c r="D2825" s="53">
        <f t="shared" ref="D2825:D2888" si="88">LN(C2825/C2826)</f>
        <v>-5.5075329315934724E-3</v>
      </c>
      <c r="E2825" s="53">
        <v>-1.877773065646661E-3</v>
      </c>
      <c r="G2825" s="90">
        <v>2817</v>
      </c>
      <c r="H2825" s="90">
        <f t="shared" ref="H2825:H2888" ca="1" si="89">_xlfn.NORM.INV(RAND(),N$10,N$11)</f>
        <v>1.7912027342063631E-2</v>
      </c>
    </row>
    <row r="2826" spans="2:8" x14ac:dyDescent="0.3">
      <c r="B2826" s="58">
        <f>'DATA HISTORICAL'!$B3471</f>
        <v>41744</v>
      </c>
      <c r="C2826" s="60">
        <f>'DATA HISTORICAL'!$C3471</f>
        <v>2212.15</v>
      </c>
      <c r="D2826" s="53">
        <f t="shared" si="88"/>
        <v>-2.1068006504064478E-2</v>
      </c>
      <c r="E2826" s="53">
        <v>-1.8895298976056936E-3</v>
      </c>
      <c r="G2826" s="90">
        <v>2818</v>
      </c>
      <c r="H2826" s="90">
        <f t="shared" ca="1" si="89"/>
        <v>-4.5965455678717458E-3</v>
      </c>
    </row>
    <row r="2827" spans="2:8" x14ac:dyDescent="0.3">
      <c r="B2827" s="58">
        <f>'DATA HISTORICAL'!$B3472</f>
        <v>41740</v>
      </c>
      <c r="C2827" s="60">
        <f>'DATA HISTORICAL'!$C3472</f>
        <v>2259.25</v>
      </c>
      <c r="D2827" s="53">
        <f t="shared" si="88"/>
        <v>5.9710946436267523E-3</v>
      </c>
      <c r="E2827" s="53">
        <v>-1.8958707901821522E-3</v>
      </c>
      <c r="G2827" s="90">
        <v>2819</v>
      </c>
      <c r="H2827" s="90">
        <f t="shared" ca="1" si="89"/>
        <v>2.370136403100102E-4</v>
      </c>
    </row>
    <row r="2828" spans="2:8" x14ac:dyDescent="0.3">
      <c r="B2828" s="58">
        <f>'DATA HISTORICAL'!$B3473</f>
        <v>41739</v>
      </c>
      <c r="C2828" s="60">
        <f>'DATA HISTORICAL'!$C3473</f>
        <v>2245.8000000000002</v>
      </c>
      <c r="D2828" s="53">
        <f t="shared" si="88"/>
        <v>9.91181525328798E-3</v>
      </c>
      <c r="E2828" s="53">
        <v>-1.9005914079638293E-3</v>
      </c>
      <c r="G2828" s="90">
        <v>2820</v>
      </c>
      <c r="H2828" s="90">
        <f t="shared" ca="1" si="89"/>
        <v>1.599512493631523E-2</v>
      </c>
    </row>
    <row r="2829" spans="2:8" x14ac:dyDescent="0.3">
      <c r="B2829" s="58">
        <f>'DATA HISTORICAL'!$B3474</f>
        <v>41738</v>
      </c>
      <c r="C2829" s="60">
        <f>'DATA HISTORICAL'!$C3474</f>
        <v>2223.65</v>
      </c>
      <c r="D2829" s="53">
        <f t="shared" si="88"/>
        <v>-8.5408617976193016E-4</v>
      </c>
      <c r="E2829" s="53">
        <v>-1.9017777973978594E-3</v>
      </c>
      <c r="G2829" s="90">
        <v>2821</v>
      </c>
      <c r="H2829" s="90">
        <f t="shared" ca="1" si="89"/>
        <v>1.6887499641607465E-2</v>
      </c>
    </row>
    <row r="2830" spans="2:8" x14ac:dyDescent="0.3">
      <c r="B2830" s="58">
        <f>'DATA HISTORICAL'!$B3475</f>
        <v>41736</v>
      </c>
      <c r="C2830" s="60">
        <f>'DATA HISTORICAL'!$C3475</f>
        <v>2225.5500000000002</v>
      </c>
      <c r="D2830" s="53">
        <f t="shared" si="88"/>
        <v>3.4443215013784785E-2</v>
      </c>
      <c r="E2830" s="53">
        <v>-1.9071200352963531E-3</v>
      </c>
      <c r="G2830" s="90">
        <v>2822</v>
      </c>
      <c r="H2830" s="90">
        <f t="shared" ca="1" si="89"/>
        <v>-4.6440690963818363E-3</v>
      </c>
    </row>
    <row r="2831" spans="2:8" x14ac:dyDescent="0.3">
      <c r="B2831" s="58">
        <f>'DATA HISTORICAL'!$B3476</f>
        <v>41733</v>
      </c>
      <c r="C2831" s="60">
        <f>'DATA HISTORICAL'!$C3476</f>
        <v>2150.1999999999998</v>
      </c>
      <c r="D2831" s="53">
        <f t="shared" si="88"/>
        <v>1.2564861927171728E-3</v>
      </c>
      <c r="E2831" s="53">
        <v>-1.9126160062501835E-3</v>
      </c>
      <c r="G2831" s="90">
        <v>2823</v>
      </c>
      <c r="H2831" s="90">
        <f t="shared" ca="1" si="89"/>
        <v>3.2063778891234407E-2</v>
      </c>
    </row>
    <row r="2832" spans="2:8" x14ac:dyDescent="0.3">
      <c r="B2832" s="58">
        <f>'DATA HISTORICAL'!$B3477</f>
        <v>41732</v>
      </c>
      <c r="C2832" s="60">
        <f>'DATA HISTORICAL'!$C3477</f>
        <v>2147.5</v>
      </c>
      <c r="D2832" s="53">
        <f t="shared" si="88"/>
        <v>8.8398882514664472E-3</v>
      </c>
      <c r="E2832" s="53">
        <v>-1.9127322029956725E-3</v>
      </c>
      <c r="G2832" s="90">
        <v>2824</v>
      </c>
      <c r="H2832" s="90">
        <f t="shared" ca="1" si="89"/>
        <v>-3.0646414691919014E-3</v>
      </c>
    </row>
    <row r="2833" spans="2:8" x14ac:dyDescent="0.3">
      <c r="B2833" s="58">
        <f>'DATA HISTORICAL'!$B3478</f>
        <v>41731</v>
      </c>
      <c r="C2833" s="60">
        <f>'DATA HISTORICAL'!$C3478</f>
        <v>2128.6</v>
      </c>
      <c r="D2833" s="53">
        <f t="shared" si="88"/>
        <v>-1.3740549544207959E-2</v>
      </c>
      <c r="E2833" s="53">
        <v>-1.916033271439058E-3</v>
      </c>
      <c r="G2833" s="90">
        <v>2825</v>
      </c>
      <c r="H2833" s="90">
        <f t="shared" ca="1" si="89"/>
        <v>6.7890430527781254E-3</v>
      </c>
    </row>
    <row r="2834" spans="2:8" x14ac:dyDescent="0.3">
      <c r="B2834" s="58">
        <f>'DATA HISTORICAL'!$B3479</f>
        <v>41730</v>
      </c>
      <c r="C2834" s="60">
        <f>'DATA HISTORICAL'!$C3479</f>
        <v>2158.0500000000002</v>
      </c>
      <c r="D2834" s="53">
        <f t="shared" si="88"/>
        <v>-1.3302842895726582E-2</v>
      </c>
      <c r="E2834" s="53">
        <v>-1.9212301778939326E-3</v>
      </c>
      <c r="G2834" s="90">
        <v>2826</v>
      </c>
      <c r="H2834" s="90">
        <f t="shared" ca="1" si="89"/>
        <v>1.6231842455331033E-2</v>
      </c>
    </row>
    <row r="2835" spans="2:8" x14ac:dyDescent="0.3">
      <c r="B2835" s="58">
        <f>'DATA HISTORICAL'!$B3480</f>
        <v>41729</v>
      </c>
      <c r="C2835" s="60">
        <f>'DATA HISTORICAL'!$C3480</f>
        <v>2186.9499999999998</v>
      </c>
      <c r="D2835" s="53">
        <f t="shared" si="88"/>
        <v>1.8389784634216994E-2</v>
      </c>
      <c r="E2835" s="53">
        <v>-1.9333655578859773E-3</v>
      </c>
      <c r="G2835" s="90">
        <v>2827</v>
      </c>
      <c r="H2835" s="90">
        <f t="shared" ca="1" si="89"/>
        <v>3.2869582970837155E-2</v>
      </c>
    </row>
    <row r="2836" spans="2:8" x14ac:dyDescent="0.3">
      <c r="B2836" s="58">
        <f>'DATA HISTORICAL'!$B3481</f>
        <v>41726</v>
      </c>
      <c r="C2836" s="60">
        <f>'DATA HISTORICAL'!$C3481</f>
        <v>2147.1</v>
      </c>
      <c r="D2836" s="53">
        <f t="shared" si="88"/>
        <v>4.2019091920811311E-2</v>
      </c>
      <c r="E2836" s="53">
        <v>-1.9647693680067599E-3</v>
      </c>
      <c r="G2836" s="90">
        <v>2828</v>
      </c>
      <c r="H2836" s="90">
        <f t="shared" ca="1" si="89"/>
        <v>2.0194494465425126E-2</v>
      </c>
    </row>
    <row r="2837" spans="2:8" x14ac:dyDescent="0.3">
      <c r="B2837" s="58">
        <f>'DATA HISTORICAL'!$B3482</f>
        <v>41725</v>
      </c>
      <c r="C2837" s="60">
        <f>'DATA HISTORICAL'!$C3482</f>
        <v>2058.75</v>
      </c>
      <c r="D2837" s="53">
        <f t="shared" si="88"/>
        <v>3.4240783883378562E-2</v>
      </c>
      <c r="E2837" s="53">
        <v>-1.981523372360842E-3</v>
      </c>
      <c r="G2837" s="90">
        <v>2829</v>
      </c>
      <c r="H2837" s="90">
        <f t="shared" ca="1" si="89"/>
        <v>-7.5542455293903547E-3</v>
      </c>
    </row>
    <row r="2838" spans="2:8" x14ac:dyDescent="0.3">
      <c r="B2838" s="58">
        <f>'DATA HISTORICAL'!$B3483</f>
        <v>41724</v>
      </c>
      <c r="C2838" s="60">
        <f>'DATA HISTORICAL'!$C3483</f>
        <v>1989.45</v>
      </c>
      <c r="D2838" s="53">
        <f t="shared" si="88"/>
        <v>4.6603689200573799E-3</v>
      </c>
      <c r="E2838" s="53">
        <v>-1.9894032614779381E-3</v>
      </c>
      <c r="G2838" s="90">
        <v>2830</v>
      </c>
      <c r="H2838" s="90">
        <f t="shared" ca="1" si="89"/>
        <v>-1.2554706523998701E-2</v>
      </c>
    </row>
    <row r="2839" spans="2:8" x14ac:dyDescent="0.3">
      <c r="B2839" s="58">
        <f>'DATA HISTORICAL'!$B3484</f>
        <v>41723</v>
      </c>
      <c r="C2839" s="60">
        <f>'DATA HISTORICAL'!$C3484</f>
        <v>1980.2</v>
      </c>
      <c r="D2839" s="53">
        <f t="shared" si="88"/>
        <v>3.5919397129993156E-3</v>
      </c>
      <c r="E2839" s="53">
        <v>-1.9934258542106402E-3</v>
      </c>
      <c r="G2839" s="90">
        <v>2831</v>
      </c>
      <c r="H2839" s="90">
        <f t="shared" ca="1" si="89"/>
        <v>-8.1556862403372038E-3</v>
      </c>
    </row>
    <row r="2840" spans="2:8" x14ac:dyDescent="0.3">
      <c r="B2840" s="58">
        <f>'DATA HISTORICAL'!$B3485</f>
        <v>41722</v>
      </c>
      <c r="C2840" s="60">
        <f>'DATA HISTORICAL'!$C3485</f>
        <v>1973.1</v>
      </c>
      <c r="D2840" s="53">
        <f t="shared" si="88"/>
        <v>1.0572134796600409E-2</v>
      </c>
      <c r="E2840" s="53">
        <v>-2.0047013488294924E-3</v>
      </c>
      <c r="G2840" s="90">
        <v>2832</v>
      </c>
      <c r="H2840" s="90">
        <f t="shared" ca="1" si="89"/>
        <v>4.7064161623703027E-2</v>
      </c>
    </row>
    <row r="2841" spans="2:8" x14ac:dyDescent="0.3">
      <c r="B2841" s="58">
        <f>'DATA HISTORICAL'!$B3486</f>
        <v>41720</v>
      </c>
      <c r="C2841" s="60">
        <f>'DATA HISTORICAL'!$C3486</f>
        <v>1952.35</v>
      </c>
      <c r="D2841" s="53">
        <f t="shared" si="88"/>
        <v>-1.5098591534144898E-3</v>
      </c>
      <c r="E2841" s="53">
        <v>-2.0183096305776979E-3</v>
      </c>
      <c r="G2841" s="90">
        <v>2833</v>
      </c>
      <c r="H2841" s="90">
        <f t="shared" ca="1" si="89"/>
        <v>-2.8508672000082388E-2</v>
      </c>
    </row>
    <row r="2842" spans="2:8" x14ac:dyDescent="0.3">
      <c r="B2842" s="58">
        <f>'DATA HISTORICAL'!$B3487</f>
        <v>41719</v>
      </c>
      <c r="C2842" s="60">
        <f>'DATA HISTORICAL'!$C3487</f>
        <v>1955.3</v>
      </c>
      <c r="D2842" s="53">
        <f t="shared" si="88"/>
        <v>5.5130465159733896E-3</v>
      </c>
      <c r="E2842" s="53">
        <v>-2.0228678841679656E-3</v>
      </c>
      <c r="G2842" s="90">
        <v>2834</v>
      </c>
      <c r="H2842" s="90">
        <f t="shared" ca="1" si="89"/>
        <v>-4.4017563467002585E-4</v>
      </c>
    </row>
    <row r="2843" spans="2:8" x14ac:dyDescent="0.3">
      <c r="B2843" s="58">
        <f>'DATA HISTORICAL'!$B3488</f>
        <v>41718</v>
      </c>
      <c r="C2843" s="60">
        <f>'DATA HISTORICAL'!$C3488</f>
        <v>1944.55</v>
      </c>
      <c r="D2843" s="53">
        <f t="shared" si="88"/>
        <v>-1.7485280057165726E-2</v>
      </c>
      <c r="E2843" s="53">
        <v>-2.0472427690135988E-3</v>
      </c>
      <c r="G2843" s="90">
        <v>2835</v>
      </c>
      <c r="H2843" s="90">
        <f t="shared" ca="1" si="89"/>
        <v>-1.7873369947880975E-2</v>
      </c>
    </row>
    <row r="2844" spans="2:8" x14ac:dyDescent="0.3">
      <c r="B2844" s="58">
        <f>'DATA HISTORICAL'!$B3489</f>
        <v>41717</v>
      </c>
      <c r="C2844" s="60">
        <f>'DATA HISTORICAL'!$C3489</f>
        <v>1978.85</v>
      </c>
      <c r="D2844" s="53">
        <f t="shared" si="88"/>
        <v>5.3964484085361475E-3</v>
      </c>
      <c r="E2844" s="53">
        <v>-2.0480092270415652E-3</v>
      </c>
      <c r="G2844" s="90">
        <v>2836</v>
      </c>
      <c r="H2844" s="90">
        <f t="shared" ca="1" si="89"/>
        <v>1.535281127043012E-2</v>
      </c>
    </row>
    <row r="2845" spans="2:8" x14ac:dyDescent="0.3">
      <c r="B2845" s="58">
        <f>'DATA HISTORICAL'!$B3490</f>
        <v>41716</v>
      </c>
      <c r="C2845" s="60">
        <f>'DATA HISTORICAL'!$C3490</f>
        <v>1968.2</v>
      </c>
      <c r="D2845" s="53">
        <f t="shared" si="88"/>
        <v>-8.8874223439341373E-4</v>
      </c>
      <c r="E2845" s="53">
        <v>-2.0608896070863619E-3</v>
      </c>
      <c r="G2845" s="90">
        <v>2837</v>
      </c>
      <c r="H2845" s="90">
        <f t="shared" ca="1" si="89"/>
        <v>-7.1217963272461561E-3</v>
      </c>
    </row>
    <row r="2846" spans="2:8" x14ac:dyDescent="0.3">
      <c r="B2846" s="58">
        <f>'DATA HISTORICAL'!$B3491</f>
        <v>41712</v>
      </c>
      <c r="C2846" s="60">
        <f>'DATA HISTORICAL'!$C3491</f>
        <v>1969.95</v>
      </c>
      <c r="D2846" s="53">
        <f t="shared" si="88"/>
        <v>5.8803483812716259E-3</v>
      </c>
      <c r="E2846" s="53">
        <v>-2.0642124621084732E-3</v>
      </c>
      <c r="G2846" s="90">
        <v>2838</v>
      </c>
      <c r="H2846" s="90">
        <f t="shared" ca="1" si="89"/>
        <v>-6.3828206540740137E-3</v>
      </c>
    </row>
    <row r="2847" spans="2:8" x14ac:dyDescent="0.3">
      <c r="B2847" s="58">
        <f>'DATA HISTORICAL'!$B3492</f>
        <v>41711</v>
      </c>
      <c r="C2847" s="60">
        <f>'DATA HISTORICAL'!$C3492</f>
        <v>1958.4</v>
      </c>
      <c r="D2847" s="53">
        <f t="shared" si="88"/>
        <v>-3.0844945877077324E-3</v>
      </c>
      <c r="E2847" s="53">
        <v>-2.0677315282549738E-3</v>
      </c>
      <c r="G2847" s="90">
        <v>2839</v>
      </c>
      <c r="H2847" s="90">
        <f t="shared" ca="1" si="89"/>
        <v>3.9457887066136434E-2</v>
      </c>
    </row>
    <row r="2848" spans="2:8" x14ac:dyDescent="0.3">
      <c r="B2848" s="58">
        <f>'DATA HISTORICAL'!$B3493</f>
        <v>41710</v>
      </c>
      <c r="C2848" s="60">
        <f>'DATA HISTORICAL'!$C3493</f>
        <v>1964.45</v>
      </c>
      <c r="D2848" s="53">
        <f t="shared" si="88"/>
        <v>-1.958351288189206E-2</v>
      </c>
      <c r="E2848" s="53">
        <v>-2.0726013196427024E-3</v>
      </c>
      <c r="G2848" s="90">
        <v>2840</v>
      </c>
      <c r="H2848" s="90">
        <f t="shared" ca="1" si="89"/>
        <v>2.5413701299092043E-2</v>
      </c>
    </row>
    <row r="2849" spans="2:8" x14ac:dyDescent="0.3">
      <c r="B2849" s="58">
        <f>'DATA HISTORICAL'!$B3494</f>
        <v>41709</v>
      </c>
      <c r="C2849" s="60">
        <f>'DATA HISTORICAL'!$C3494</f>
        <v>2003.3</v>
      </c>
      <c r="D2849" s="53">
        <f t="shared" si="88"/>
        <v>6.7868181016480875E-3</v>
      </c>
      <c r="E2849" s="53">
        <v>-2.1220829334146142E-3</v>
      </c>
      <c r="G2849" s="90">
        <v>2841</v>
      </c>
      <c r="H2849" s="90">
        <f t="shared" ca="1" si="89"/>
        <v>-1.0914545281453915E-3</v>
      </c>
    </row>
    <row r="2850" spans="2:8" x14ac:dyDescent="0.3">
      <c r="B2850" s="58">
        <f>'DATA HISTORICAL'!$B3495</f>
        <v>41708</v>
      </c>
      <c r="C2850" s="60">
        <f>'DATA HISTORICAL'!$C3495</f>
        <v>1989.75</v>
      </c>
      <c r="D2850" s="53">
        <f t="shared" si="88"/>
        <v>8.0737161161068965E-3</v>
      </c>
      <c r="E2850" s="53">
        <v>-2.1289754624716538E-3</v>
      </c>
      <c r="G2850" s="90">
        <v>2842</v>
      </c>
      <c r="H2850" s="90">
        <f t="shared" ca="1" si="89"/>
        <v>-1.2039783162327766E-3</v>
      </c>
    </row>
    <row r="2851" spans="2:8" x14ac:dyDescent="0.3">
      <c r="B2851" s="58">
        <f>'DATA HISTORICAL'!$B3496</f>
        <v>41705</v>
      </c>
      <c r="C2851" s="60">
        <f>'DATA HISTORICAL'!$C3496</f>
        <v>1973.75</v>
      </c>
      <c r="D2851" s="53">
        <f t="shared" si="88"/>
        <v>6.9653034665870233E-3</v>
      </c>
      <c r="E2851" s="53">
        <v>-2.1312712807525242E-3</v>
      </c>
      <c r="G2851" s="90">
        <v>2843</v>
      </c>
      <c r="H2851" s="90">
        <f t="shared" ca="1" si="89"/>
        <v>2.3800272139127322E-2</v>
      </c>
    </row>
    <row r="2852" spans="2:8" x14ac:dyDescent="0.3">
      <c r="B2852" s="58">
        <f>'DATA HISTORICAL'!$B3497</f>
        <v>41704</v>
      </c>
      <c r="C2852" s="60">
        <f>'DATA HISTORICAL'!$C3497</f>
        <v>1960.05</v>
      </c>
      <c r="D2852" s="53">
        <f t="shared" si="88"/>
        <v>3.2195626799882436E-2</v>
      </c>
      <c r="E2852" s="53">
        <v>-2.1382972632538783E-3</v>
      </c>
      <c r="G2852" s="90">
        <v>2844</v>
      </c>
      <c r="H2852" s="90">
        <f t="shared" ca="1" si="89"/>
        <v>1.9456933097462346E-2</v>
      </c>
    </row>
    <row r="2853" spans="2:8" x14ac:dyDescent="0.3">
      <c r="B2853" s="58">
        <f>'DATA HISTORICAL'!$B3498</f>
        <v>41703</v>
      </c>
      <c r="C2853" s="60">
        <f>'DATA HISTORICAL'!$C3498</f>
        <v>1897.95</v>
      </c>
      <c r="D2853" s="53">
        <f t="shared" si="88"/>
        <v>1.0806620861240276E-2</v>
      </c>
      <c r="E2853" s="53">
        <v>-2.1431885902309308E-3</v>
      </c>
      <c r="G2853" s="90">
        <v>2845</v>
      </c>
      <c r="H2853" s="90">
        <f t="shared" ca="1" si="89"/>
        <v>2.7353457841976202E-2</v>
      </c>
    </row>
    <row r="2854" spans="2:8" x14ac:dyDescent="0.3">
      <c r="B2854" s="58">
        <f>'DATA HISTORICAL'!$B3499</f>
        <v>41702</v>
      </c>
      <c r="C2854" s="60">
        <f>'DATA HISTORICAL'!$C3499</f>
        <v>1877.55</v>
      </c>
      <c r="D2854" s="53">
        <f t="shared" si="88"/>
        <v>2.7429303770815042E-2</v>
      </c>
      <c r="E2854" s="53">
        <v>-2.1663662313186503E-3</v>
      </c>
      <c r="G2854" s="90">
        <v>2846</v>
      </c>
      <c r="H2854" s="90">
        <f t="shared" ca="1" si="89"/>
        <v>1.4880049370354389E-2</v>
      </c>
    </row>
    <row r="2855" spans="2:8" x14ac:dyDescent="0.3">
      <c r="B2855" s="58">
        <f>'DATA HISTORICAL'!$B3500</f>
        <v>41701</v>
      </c>
      <c r="C2855" s="60">
        <f>'DATA HISTORICAL'!$C3500</f>
        <v>1826.75</v>
      </c>
      <c r="D2855" s="53">
        <f t="shared" si="88"/>
        <v>-6.7922627776446347E-3</v>
      </c>
      <c r="E2855" s="53">
        <v>-2.1710321970064414E-3</v>
      </c>
      <c r="G2855" s="90">
        <v>2847</v>
      </c>
      <c r="H2855" s="90">
        <f t="shared" ca="1" si="89"/>
        <v>1.4323812346627725E-2</v>
      </c>
    </row>
    <row r="2856" spans="2:8" x14ac:dyDescent="0.3">
      <c r="B2856" s="58">
        <f>'DATA HISTORICAL'!$B3501</f>
        <v>41698</v>
      </c>
      <c r="C2856" s="60">
        <f>'DATA HISTORICAL'!$C3501</f>
        <v>1839.2</v>
      </c>
      <c r="D2856" s="53">
        <f t="shared" si="88"/>
        <v>-2.6606591321015347E-3</v>
      </c>
      <c r="E2856" s="53">
        <v>-2.1773351808860399E-3</v>
      </c>
      <c r="G2856" s="90">
        <v>2848</v>
      </c>
      <c r="H2856" s="90">
        <f t="shared" ca="1" si="89"/>
        <v>-2.0833764398472766E-2</v>
      </c>
    </row>
    <row r="2857" spans="2:8" x14ac:dyDescent="0.3">
      <c r="B2857" s="58">
        <f>'DATA HISTORICAL'!$B3502</f>
        <v>41696</v>
      </c>
      <c r="C2857" s="60">
        <f>'DATA HISTORICAL'!$C3502</f>
        <v>1844.1</v>
      </c>
      <c r="D2857" s="53">
        <f t="shared" si="88"/>
        <v>-1.1671763430423457E-2</v>
      </c>
      <c r="E2857" s="53">
        <v>-2.1907390110085792E-3</v>
      </c>
      <c r="G2857" s="90">
        <v>2849</v>
      </c>
      <c r="H2857" s="90">
        <f t="shared" ca="1" si="89"/>
        <v>-1.498273252929988E-2</v>
      </c>
    </row>
    <row r="2858" spans="2:8" x14ac:dyDescent="0.3">
      <c r="B2858" s="58">
        <f>'DATA HISTORICAL'!$B3503</f>
        <v>41695</v>
      </c>
      <c r="C2858" s="60">
        <f>'DATA HISTORICAL'!$C3503</f>
        <v>1865.75</v>
      </c>
      <c r="D2858" s="53">
        <f t="shared" si="88"/>
        <v>1.4903485979678683E-2</v>
      </c>
      <c r="E2858" s="53">
        <v>-2.2103677935530119E-3</v>
      </c>
      <c r="G2858" s="90">
        <v>2850</v>
      </c>
      <c r="H2858" s="90">
        <f t="shared" ca="1" si="89"/>
        <v>2.7399705643821534E-2</v>
      </c>
    </row>
    <row r="2859" spans="2:8" x14ac:dyDescent="0.3">
      <c r="B2859" s="58">
        <f>'DATA HISTORICAL'!$B3504</f>
        <v>41694</v>
      </c>
      <c r="C2859" s="60">
        <f>'DATA HISTORICAL'!$C3504</f>
        <v>1838.15</v>
      </c>
      <c r="D2859" s="53">
        <f t="shared" si="88"/>
        <v>2.1000744311149625E-2</v>
      </c>
      <c r="E2859" s="53">
        <v>-2.2149835656677711E-3</v>
      </c>
      <c r="G2859" s="90">
        <v>2851</v>
      </c>
      <c r="H2859" s="90">
        <f t="shared" ca="1" si="89"/>
        <v>1.623004709545372E-3</v>
      </c>
    </row>
    <row r="2860" spans="2:8" x14ac:dyDescent="0.3">
      <c r="B2860" s="58">
        <f>'DATA HISTORICAL'!$B3505</f>
        <v>41691</v>
      </c>
      <c r="C2860" s="60">
        <f>'DATA HISTORICAL'!$C3505</f>
        <v>1799.95</v>
      </c>
      <c r="D2860" s="53">
        <f t="shared" si="88"/>
        <v>5.5925479815560578E-2</v>
      </c>
      <c r="E2860" s="53">
        <v>-2.2175456867786726E-3</v>
      </c>
      <c r="G2860" s="90">
        <v>2852</v>
      </c>
      <c r="H2860" s="90">
        <f t="shared" ca="1" si="89"/>
        <v>-1.7548863077931409E-2</v>
      </c>
    </row>
    <row r="2861" spans="2:8" x14ac:dyDescent="0.3">
      <c r="B2861" s="58">
        <f>'DATA HISTORICAL'!$B3506</f>
        <v>41690</v>
      </c>
      <c r="C2861" s="60">
        <f>'DATA HISTORICAL'!$C3506</f>
        <v>1702.05</v>
      </c>
      <c r="D2861" s="53">
        <f t="shared" si="88"/>
        <v>-2.5817822761056227E-3</v>
      </c>
      <c r="E2861" s="53">
        <v>-2.2510832016720255E-3</v>
      </c>
      <c r="G2861" s="90">
        <v>2853</v>
      </c>
      <c r="H2861" s="90">
        <f t="shared" ca="1" si="89"/>
        <v>1.8201651038763304E-2</v>
      </c>
    </row>
    <row r="2862" spans="2:8" x14ac:dyDescent="0.3">
      <c r="B2862" s="58">
        <f>'DATA HISTORICAL'!$B3507</f>
        <v>41689</v>
      </c>
      <c r="C2862" s="60">
        <f>'DATA HISTORICAL'!$C3507</f>
        <v>1706.45</v>
      </c>
      <c r="D2862" s="53">
        <f t="shared" si="88"/>
        <v>9.1542576368301449E-3</v>
      </c>
      <c r="E2862" s="53">
        <v>-2.2606010821948023E-3</v>
      </c>
      <c r="G2862" s="90">
        <v>2854</v>
      </c>
      <c r="H2862" s="90">
        <f t="shared" ca="1" si="89"/>
        <v>-1.0601249461259531E-2</v>
      </c>
    </row>
    <row r="2863" spans="2:8" x14ac:dyDescent="0.3">
      <c r="B2863" s="58">
        <f>'DATA HISTORICAL'!$B3508</f>
        <v>41688</v>
      </c>
      <c r="C2863" s="60">
        <f>'DATA HISTORICAL'!$C3508</f>
        <v>1690.9</v>
      </c>
      <c r="D2863" s="53">
        <f t="shared" si="88"/>
        <v>1.3935432754604798E-2</v>
      </c>
      <c r="E2863" s="53">
        <v>-2.2641254021903063E-3</v>
      </c>
      <c r="G2863" s="90">
        <v>2855</v>
      </c>
      <c r="H2863" s="90">
        <f t="shared" ca="1" si="89"/>
        <v>-1.6355407324971767E-2</v>
      </c>
    </row>
    <row r="2864" spans="2:8" x14ac:dyDescent="0.3">
      <c r="B2864" s="58">
        <f>'DATA HISTORICAL'!$B3509</f>
        <v>41687</v>
      </c>
      <c r="C2864" s="60">
        <f>'DATA HISTORICAL'!$C3509</f>
        <v>1667.5</v>
      </c>
      <c r="D2864" s="53">
        <f t="shared" si="88"/>
        <v>6.8989309393786868E-4</v>
      </c>
      <c r="E2864" s="53">
        <v>-2.2894976508511253E-3</v>
      </c>
      <c r="G2864" s="90">
        <v>2856</v>
      </c>
      <c r="H2864" s="90">
        <f t="shared" ca="1" si="89"/>
        <v>6.8560085455760273E-3</v>
      </c>
    </row>
    <row r="2865" spans="2:8" x14ac:dyDescent="0.3">
      <c r="B2865" s="58">
        <f>'DATA HISTORICAL'!$B3510</f>
        <v>41684</v>
      </c>
      <c r="C2865" s="60">
        <f>'DATA HISTORICAL'!$C3510</f>
        <v>1666.35</v>
      </c>
      <c r="D2865" s="53">
        <f t="shared" si="88"/>
        <v>-1.3175342609605744E-2</v>
      </c>
      <c r="E2865" s="53">
        <v>-2.2910337567135625E-3</v>
      </c>
      <c r="G2865" s="90">
        <v>2857</v>
      </c>
      <c r="H2865" s="90">
        <f t="shared" ca="1" si="89"/>
        <v>-3.6050173101080012E-3</v>
      </c>
    </row>
    <row r="2866" spans="2:8" x14ac:dyDescent="0.3">
      <c r="B2866" s="58">
        <f>'DATA HISTORICAL'!$B3511</f>
        <v>41683</v>
      </c>
      <c r="C2866" s="60">
        <f>'DATA HISTORICAL'!$C3511</f>
        <v>1688.45</v>
      </c>
      <c r="D2866" s="53">
        <f t="shared" si="88"/>
        <v>-1.0164635341380587E-2</v>
      </c>
      <c r="E2866" s="53">
        <v>-2.2932695872615464E-3</v>
      </c>
      <c r="G2866" s="90">
        <v>2858</v>
      </c>
      <c r="H2866" s="90">
        <f t="shared" ca="1" si="89"/>
        <v>7.1660957285647094E-3</v>
      </c>
    </row>
    <row r="2867" spans="2:8" x14ac:dyDescent="0.3">
      <c r="B2867" s="58">
        <f>'DATA HISTORICAL'!$B3512</f>
        <v>41682</v>
      </c>
      <c r="C2867" s="60">
        <f>'DATA HISTORICAL'!$C3512</f>
        <v>1705.7</v>
      </c>
      <c r="D2867" s="53">
        <f t="shared" si="88"/>
        <v>3.7297586592200749E-3</v>
      </c>
      <c r="E2867" s="53">
        <v>-2.2954409205600394E-3</v>
      </c>
      <c r="G2867" s="90">
        <v>2859</v>
      </c>
      <c r="H2867" s="90">
        <f t="shared" ca="1" si="89"/>
        <v>2.6977820508348033E-2</v>
      </c>
    </row>
    <row r="2868" spans="2:8" x14ac:dyDescent="0.3">
      <c r="B2868" s="58">
        <f>'DATA HISTORICAL'!$B3513</f>
        <v>41681</v>
      </c>
      <c r="C2868" s="60">
        <f>'DATA HISTORICAL'!$C3513</f>
        <v>1699.35</v>
      </c>
      <c r="D2868" s="53">
        <f t="shared" si="88"/>
        <v>-1.4894265175176174E-2</v>
      </c>
      <c r="E2868" s="53">
        <v>-2.2979711376236453E-3</v>
      </c>
      <c r="G2868" s="90">
        <v>2860</v>
      </c>
      <c r="H2868" s="90">
        <f t="shared" ca="1" si="89"/>
        <v>9.9940683729399411E-3</v>
      </c>
    </row>
    <row r="2869" spans="2:8" x14ac:dyDescent="0.3">
      <c r="B2869" s="58">
        <f>'DATA HISTORICAL'!$B3514</f>
        <v>41680</v>
      </c>
      <c r="C2869" s="60">
        <f>'DATA HISTORICAL'!$C3514</f>
        <v>1724.85</v>
      </c>
      <c r="D2869" s="53">
        <f t="shared" si="88"/>
        <v>-2.4320345523478363E-3</v>
      </c>
      <c r="E2869" s="53">
        <v>-2.2982773044199802E-3</v>
      </c>
      <c r="G2869" s="90">
        <v>2861</v>
      </c>
      <c r="H2869" s="90">
        <f t="shared" ca="1" si="89"/>
        <v>-5.8625458539192212E-3</v>
      </c>
    </row>
    <row r="2870" spans="2:8" x14ac:dyDescent="0.3">
      <c r="B2870" s="58">
        <f>'DATA HISTORICAL'!$B3515</f>
        <v>41677</v>
      </c>
      <c r="C2870" s="60">
        <f>'DATA HISTORICAL'!$C3515</f>
        <v>1729.05</v>
      </c>
      <c r="D2870" s="53">
        <f t="shared" si="88"/>
        <v>1.8857468131263481E-2</v>
      </c>
      <c r="E2870" s="53">
        <v>-2.3031797703892002E-3</v>
      </c>
      <c r="G2870" s="90">
        <v>2862</v>
      </c>
      <c r="H2870" s="90">
        <f t="shared" ca="1" si="89"/>
        <v>-1.9092946400968022E-2</v>
      </c>
    </row>
    <row r="2871" spans="2:8" x14ac:dyDescent="0.3">
      <c r="B2871" s="58">
        <f>'DATA HISTORICAL'!$B3516</f>
        <v>41676</v>
      </c>
      <c r="C2871" s="60">
        <f>'DATA HISTORICAL'!$C3516</f>
        <v>1696.75</v>
      </c>
      <c r="D2871" s="53">
        <f t="shared" si="88"/>
        <v>1.0129218224299906E-2</v>
      </c>
      <c r="E2871" s="53">
        <v>-2.3274748666070591E-3</v>
      </c>
      <c r="G2871" s="90">
        <v>2863</v>
      </c>
      <c r="H2871" s="90">
        <f t="shared" ca="1" si="89"/>
        <v>-7.3857016700706992E-3</v>
      </c>
    </row>
    <row r="2872" spans="2:8" x14ac:dyDescent="0.3">
      <c r="B2872" s="58">
        <f>'DATA HISTORICAL'!$B3517</f>
        <v>41675</v>
      </c>
      <c r="C2872" s="60">
        <f>'DATA HISTORICAL'!$C3517</f>
        <v>1679.65</v>
      </c>
      <c r="D2872" s="53">
        <f t="shared" si="88"/>
        <v>3.3097309378288067E-3</v>
      </c>
      <c r="E2872" s="53">
        <v>-2.3325265540326558E-3</v>
      </c>
      <c r="G2872" s="90">
        <v>2864</v>
      </c>
      <c r="H2872" s="90">
        <f t="shared" ca="1" si="89"/>
        <v>8.066269937929341E-3</v>
      </c>
    </row>
    <row r="2873" spans="2:8" x14ac:dyDescent="0.3">
      <c r="B2873" s="58">
        <f>'DATA HISTORICAL'!$B3518</f>
        <v>41674</v>
      </c>
      <c r="C2873" s="60">
        <f>'DATA HISTORICAL'!$C3518</f>
        <v>1674.1</v>
      </c>
      <c r="D2873" s="53">
        <f t="shared" si="88"/>
        <v>-9.4824068565455381E-3</v>
      </c>
      <c r="E2873" s="53">
        <v>-2.3417168137628451E-3</v>
      </c>
      <c r="G2873" s="90">
        <v>2865</v>
      </c>
      <c r="H2873" s="90">
        <f t="shared" ca="1" si="89"/>
        <v>8.8148938118853999E-3</v>
      </c>
    </row>
    <row r="2874" spans="2:8" x14ac:dyDescent="0.3">
      <c r="B2874" s="58">
        <f>'DATA HISTORICAL'!$B3519</f>
        <v>41673</v>
      </c>
      <c r="C2874" s="60">
        <f>'DATA HISTORICAL'!$C3519</f>
        <v>1690.05</v>
      </c>
      <c r="D2874" s="53">
        <f t="shared" si="88"/>
        <v>-1.2144529179961677E-2</v>
      </c>
      <c r="E2874" s="53">
        <v>-2.3440447698005935E-3</v>
      </c>
      <c r="G2874" s="90">
        <v>2866</v>
      </c>
      <c r="H2874" s="90">
        <f t="shared" ca="1" si="89"/>
        <v>-1.5827055290456381E-2</v>
      </c>
    </row>
    <row r="2875" spans="2:8" x14ac:dyDescent="0.3">
      <c r="B2875" s="58">
        <f>'DATA HISTORICAL'!$B3520</f>
        <v>41670</v>
      </c>
      <c r="C2875" s="60">
        <f>'DATA HISTORICAL'!$C3520</f>
        <v>1710.7</v>
      </c>
      <c r="D2875" s="53">
        <f t="shared" si="88"/>
        <v>1.4454819882330518E-2</v>
      </c>
      <c r="E2875" s="53">
        <v>-2.3523887582787991E-3</v>
      </c>
      <c r="G2875" s="90">
        <v>2867</v>
      </c>
      <c r="H2875" s="90">
        <f t="shared" ca="1" si="89"/>
        <v>8.8921409073778393E-3</v>
      </c>
    </row>
    <row r="2876" spans="2:8" x14ac:dyDescent="0.3">
      <c r="B2876" s="58">
        <f>'DATA HISTORICAL'!$B3521</f>
        <v>41669</v>
      </c>
      <c r="C2876" s="60">
        <f>'DATA HISTORICAL'!$C3521</f>
        <v>1686.15</v>
      </c>
      <c r="D2876" s="53">
        <f t="shared" si="88"/>
        <v>-1.0149076641666489E-2</v>
      </c>
      <c r="E2876" s="53">
        <v>-2.3553215747313099E-3</v>
      </c>
      <c r="G2876" s="90">
        <v>2868</v>
      </c>
      <c r="H2876" s="90">
        <f t="shared" ca="1" si="89"/>
        <v>-2.77339874193733E-3</v>
      </c>
    </row>
    <row r="2877" spans="2:8" x14ac:dyDescent="0.3">
      <c r="B2877" s="58">
        <f>'DATA HISTORICAL'!$B3522</f>
        <v>41668</v>
      </c>
      <c r="C2877" s="60">
        <f>'DATA HISTORICAL'!$C3522</f>
        <v>1703.35</v>
      </c>
      <c r="D2877" s="53">
        <f t="shared" si="88"/>
        <v>5.0321604651781225E-3</v>
      </c>
      <c r="E2877" s="53">
        <v>-2.3555846439573757E-3</v>
      </c>
      <c r="G2877" s="90">
        <v>2869</v>
      </c>
      <c r="H2877" s="90">
        <f t="shared" ca="1" si="89"/>
        <v>1.8850952474521572E-2</v>
      </c>
    </row>
    <row r="2878" spans="2:8" x14ac:dyDescent="0.3">
      <c r="B2878" s="58">
        <f>'DATA HISTORICAL'!$B3523</f>
        <v>41667</v>
      </c>
      <c r="C2878" s="60">
        <f>'DATA HISTORICAL'!$C3523</f>
        <v>1694.8</v>
      </c>
      <c r="D2878" s="53">
        <f t="shared" si="88"/>
        <v>-3.0929226240916851E-3</v>
      </c>
      <c r="E2878" s="53">
        <v>-2.3719401247678669E-3</v>
      </c>
      <c r="G2878" s="90">
        <v>2870</v>
      </c>
      <c r="H2878" s="90">
        <f t="shared" ca="1" si="89"/>
        <v>6.0400589846827312E-3</v>
      </c>
    </row>
    <row r="2879" spans="2:8" x14ac:dyDescent="0.3">
      <c r="B2879" s="58">
        <f>'DATA HISTORICAL'!$B3524</f>
        <v>41666</v>
      </c>
      <c r="C2879" s="60">
        <f>'DATA HISTORICAL'!$C3524</f>
        <v>1700.05</v>
      </c>
      <c r="D2879" s="53">
        <f t="shared" si="88"/>
        <v>1.7648096992678214E-4</v>
      </c>
      <c r="E2879" s="53">
        <v>-2.3769016630658733E-3</v>
      </c>
      <c r="G2879" s="90">
        <v>2871</v>
      </c>
      <c r="H2879" s="90">
        <f t="shared" ca="1" si="89"/>
        <v>2.8741428194270372E-3</v>
      </c>
    </row>
    <row r="2880" spans="2:8" x14ac:dyDescent="0.3">
      <c r="B2880" s="58">
        <f>'DATA HISTORICAL'!$B3525</f>
        <v>41663</v>
      </c>
      <c r="C2880" s="60">
        <f>'DATA HISTORICAL'!$C3525</f>
        <v>1699.75</v>
      </c>
      <c r="D2880" s="53">
        <f t="shared" si="88"/>
        <v>-3.6995755391387411E-3</v>
      </c>
      <c r="E2880" s="53">
        <v>-2.3775115832697703E-3</v>
      </c>
      <c r="G2880" s="90">
        <v>2872</v>
      </c>
      <c r="H2880" s="90">
        <f t="shared" ca="1" si="89"/>
        <v>3.3736205210716241E-3</v>
      </c>
    </row>
    <row r="2881" spans="2:8" x14ac:dyDescent="0.3">
      <c r="B2881" s="58">
        <f>'DATA HISTORICAL'!$B3526</f>
        <v>41662</v>
      </c>
      <c r="C2881" s="60">
        <f>'DATA HISTORICAL'!$C3526</f>
        <v>1706.05</v>
      </c>
      <c r="D2881" s="53">
        <f t="shared" si="88"/>
        <v>6.6750229463816172E-3</v>
      </c>
      <c r="E2881" s="53">
        <v>-2.3799056011116733E-3</v>
      </c>
      <c r="G2881" s="90">
        <v>2873</v>
      </c>
      <c r="H2881" s="90">
        <f t="shared" ca="1" si="89"/>
        <v>8.1848452795007295E-3</v>
      </c>
    </row>
    <row r="2882" spans="2:8" x14ac:dyDescent="0.3">
      <c r="B2882" s="58">
        <f>'DATA HISTORICAL'!$B3527</f>
        <v>41661</v>
      </c>
      <c r="C2882" s="60">
        <f>'DATA HISTORICAL'!$C3527</f>
        <v>1694.7</v>
      </c>
      <c r="D2882" s="53">
        <f t="shared" si="88"/>
        <v>-2.9754474072428662E-3</v>
      </c>
      <c r="E2882" s="53">
        <v>-2.3915536898553784E-3</v>
      </c>
      <c r="G2882" s="90">
        <v>2874</v>
      </c>
      <c r="H2882" s="90">
        <f t="shared" ca="1" si="89"/>
        <v>-9.9930743667512971E-3</v>
      </c>
    </row>
    <row r="2883" spans="2:8" x14ac:dyDescent="0.3">
      <c r="B2883" s="58">
        <f>'DATA HISTORICAL'!$B3528</f>
        <v>41660</v>
      </c>
      <c r="C2883" s="60">
        <f>'DATA HISTORICAL'!$C3528</f>
        <v>1699.75</v>
      </c>
      <c r="D2883" s="53">
        <f t="shared" si="88"/>
        <v>-1.1232457874953352E-2</v>
      </c>
      <c r="E2883" s="53">
        <v>-2.3933306658907322E-3</v>
      </c>
      <c r="G2883" s="90">
        <v>2875</v>
      </c>
      <c r="H2883" s="90">
        <f t="shared" ca="1" si="89"/>
        <v>-4.2739826883795269E-3</v>
      </c>
    </row>
    <row r="2884" spans="2:8" x14ac:dyDescent="0.3">
      <c r="B2884" s="58">
        <f>'DATA HISTORICAL'!$B3529</f>
        <v>41659</v>
      </c>
      <c r="C2884" s="60">
        <f>'DATA HISTORICAL'!$C3529</f>
        <v>1718.95</v>
      </c>
      <c r="D2884" s="53">
        <f t="shared" si="88"/>
        <v>-1.7450991842322679E-4</v>
      </c>
      <c r="E2884" s="53">
        <v>-2.4043363595718961E-3</v>
      </c>
      <c r="G2884" s="90">
        <v>2876</v>
      </c>
      <c r="H2884" s="90">
        <f t="shared" ca="1" si="89"/>
        <v>8.5586259097088536E-3</v>
      </c>
    </row>
    <row r="2885" spans="2:8" x14ac:dyDescent="0.3">
      <c r="B2885" s="58">
        <f>'DATA HISTORICAL'!$B3530</f>
        <v>41656</v>
      </c>
      <c r="C2885" s="60">
        <f>'DATA HISTORICAL'!$C3530</f>
        <v>1719.25</v>
      </c>
      <c r="D2885" s="53">
        <f t="shared" si="88"/>
        <v>-1.6126357350640434E-2</v>
      </c>
      <c r="E2885" s="53">
        <v>-2.4059337639973934E-3</v>
      </c>
      <c r="G2885" s="90">
        <v>2877</v>
      </c>
      <c r="H2885" s="90">
        <f t="shared" ca="1" si="89"/>
        <v>-1.7028065043656188E-2</v>
      </c>
    </row>
    <row r="2886" spans="2:8" x14ac:dyDescent="0.3">
      <c r="B2886" s="58">
        <f>'DATA HISTORICAL'!$B3531</f>
        <v>41655</v>
      </c>
      <c r="C2886" s="60">
        <f>'DATA HISTORICAL'!$C3531</f>
        <v>1747.2</v>
      </c>
      <c r="D2886" s="53">
        <f t="shared" si="88"/>
        <v>2.1462658231577992E-2</v>
      </c>
      <c r="E2886" s="53">
        <v>-2.4100393070282389E-3</v>
      </c>
      <c r="G2886" s="90">
        <v>2878</v>
      </c>
      <c r="H2886" s="90">
        <f t="shared" ca="1" si="89"/>
        <v>-3.2450653724956993E-2</v>
      </c>
    </row>
    <row r="2887" spans="2:8" x14ac:dyDescent="0.3">
      <c r="B2887" s="58">
        <f>'DATA HISTORICAL'!$B3532</f>
        <v>41654</v>
      </c>
      <c r="C2887" s="60">
        <f>'DATA HISTORICAL'!$C3532</f>
        <v>1710.1</v>
      </c>
      <c r="D2887" s="53">
        <f t="shared" si="88"/>
        <v>3.6989416849591096E-2</v>
      </c>
      <c r="E2887" s="53">
        <v>-2.4226355113239205E-3</v>
      </c>
      <c r="G2887" s="90">
        <v>2879</v>
      </c>
      <c r="H2887" s="90">
        <f t="shared" ca="1" si="89"/>
        <v>4.7763337367231373E-2</v>
      </c>
    </row>
    <row r="2888" spans="2:8" x14ac:dyDescent="0.3">
      <c r="B2888" s="58">
        <f>'DATA HISTORICAL'!$B3533</f>
        <v>41653</v>
      </c>
      <c r="C2888" s="60">
        <f>'DATA HISTORICAL'!$C3533</f>
        <v>1648</v>
      </c>
      <c r="D2888" s="53">
        <f t="shared" si="88"/>
        <v>-1.2991697552380088E-2</v>
      </c>
      <c r="E2888" s="53">
        <v>-2.4289799670740991E-3</v>
      </c>
      <c r="G2888" s="90">
        <v>2880</v>
      </c>
      <c r="H2888" s="90">
        <f t="shared" ca="1" si="89"/>
        <v>-7.6126832759221197E-3</v>
      </c>
    </row>
    <row r="2889" spans="2:8" x14ac:dyDescent="0.3">
      <c r="B2889" s="58">
        <f>'DATA HISTORICAL'!$B3534</f>
        <v>41652</v>
      </c>
      <c r="C2889" s="60">
        <f>'DATA HISTORICAL'!$C3534</f>
        <v>1669.55</v>
      </c>
      <c r="D2889" s="53">
        <f t="shared" ref="D2889:D2952" si="90">LN(C2889/C2890)</f>
        <v>-1.3467612432585842E-3</v>
      </c>
      <c r="E2889" s="53">
        <v>-2.4377063025345352E-3</v>
      </c>
      <c r="G2889" s="90">
        <v>2881</v>
      </c>
      <c r="H2889" s="90">
        <f t="shared" ref="H2889:H2952" ca="1" si="91">_xlfn.NORM.INV(RAND(),N$10,N$11)</f>
        <v>-1.1018783668514661E-2</v>
      </c>
    </row>
    <row r="2890" spans="2:8" x14ac:dyDescent="0.3">
      <c r="B2890" s="58">
        <f>'DATA HISTORICAL'!$B3535</f>
        <v>41649</v>
      </c>
      <c r="C2890" s="60">
        <f>'DATA HISTORICAL'!$C3535</f>
        <v>1671.8</v>
      </c>
      <c r="D2890" s="53">
        <f t="shared" si="90"/>
        <v>-9.9692822038669228E-3</v>
      </c>
      <c r="E2890" s="53">
        <v>-2.4459904317671857E-3</v>
      </c>
      <c r="G2890" s="90">
        <v>2882</v>
      </c>
      <c r="H2890" s="90">
        <f t="shared" ca="1" si="91"/>
        <v>5.4081344578708534E-3</v>
      </c>
    </row>
    <row r="2891" spans="2:8" x14ac:dyDescent="0.3">
      <c r="B2891" s="58">
        <f>'DATA HISTORICAL'!$B3536</f>
        <v>41648</v>
      </c>
      <c r="C2891" s="60">
        <f>'DATA HISTORICAL'!$C3536</f>
        <v>1688.55</v>
      </c>
      <c r="D2891" s="53">
        <f t="shared" si="90"/>
        <v>-7.2579536170357863E-3</v>
      </c>
      <c r="E2891" s="53">
        <v>-2.4467000468969369E-3</v>
      </c>
      <c r="G2891" s="90">
        <v>2883</v>
      </c>
      <c r="H2891" s="90">
        <f t="shared" ca="1" si="91"/>
        <v>4.4644532988727141E-3</v>
      </c>
    </row>
    <row r="2892" spans="2:8" x14ac:dyDescent="0.3">
      <c r="B2892" s="58">
        <f>'DATA HISTORICAL'!$B3537</f>
        <v>41647</v>
      </c>
      <c r="C2892" s="60">
        <f>'DATA HISTORICAL'!$C3537</f>
        <v>1700.85</v>
      </c>
      <c r="D2892" s="53">
        <f t="shared" si="90"/>
        <v>6.2812609755765296E-3</v>
      </c>
      <c r="E2892" s="53">
        <v>-2.4585998372588123E-3</v>
      </c>
      <c r="G2892" s="90">
        <v>2884</v>
      </c>
      <c r="H2892" s="90">
        <f t="shared" ca="1" si="91"/>
        <v>-5.6444866914098793E-2</v>
      </c>
    </row>
    <row r="2893" spans="2:8" x14ac:dyDescent="0.3">
      <c r="B2893" s="58">
        <f>'DATA HISTORICAL'!$B3538</f>
        <v>41646</v>
      </c>
      <c r="C2893" s="60">
        <f>'DATA HISTORICAL'!$C3538</f>
        <v>1690.2</v>
      </c>
      <c r="D2893" s="53">
        <f t="shared" si="90"/>
        <v>-1.9974305895703971E-2</v>
      </c>
      <c r="E2893" s="53">
        <v>-2.4599958524757302E-3</v>
      </c>
      <c r="G2893" s="90">
        <v>2885</v>
      </c>
      <c r="H2893" s="90">
        <f t="shared" ca="1" si="91"/>
        <v>-3.0636086092864908E-3</v>
      </c>
    </row>
    <row r="2894" spans="2:8" x14ac:dyDescent="0.3">
      <c r="B2894" s="58">
        <f>'DATA HISTORICAL'!$B3539</f>
        <v>41645</v>
      </c>
      <c r="C2894" s="60">
        <f>'DATA HISTORICAL'!$C3539</f>
        <v>1724.3</v>
      </c>
      <c r="D2894" s="53">
        <f t="shared" si="90"/>
        <v>-1.6804291945117609E-3</v>
      </c>
      <c r="E2894" s="53">
        <v>-2.4608825159993242E-3</v>
      </c>
      <c r="G2894" s="90">
        <v>2886</v>
      </c>
      <c r="H2894" s="90">
        <f t="shared" ca="1" si="91"/>
        <v>1.0314078395536511E-2</v>
      </c>
    </row>
    <row r="2895" spans="2:8" x14ac:dyDescent="0.3">
      <c r="B2895" s="58">
        <f>'DATA HISTORICAL'!$B3540</f>
        <v>41642</v>
      </c>
      <c r="C2895" s="60">
        <f>'DATA HISTORICAL'!$C3540</f>
        <v>1727.2</v>
      </c>
      <c r="D2895" s="53">
        <f t="shared" si="90"/>
        <v>-2.2554443820861697E-3</v>
      </c>
      <c r="E2895" s="53">
        <v>-2.4654247529816249E-3</v>
      </c>
      <c r="G2895" s="90">
        <v>2887</v>
      </c>
      <c r="H2895" s="90">
        <f t="shared" ca="1" si="91"/>
        <v>2.9453456056543814E-2</v>
      </c>
    </row>
    <row r="2896" spans="2:8" x14ac:dyDescent="0.3">
      <c r="B2896" s="58">
        <f>'DATA HISTORICAL'!$B3541</f>
        <v>41641</v>
      </c>
      <c r="C2896" s="60">
        <f>'DATA HISTORICAL'!$C3541</f>
        <v>1731.1</v>
      </c>
      <c r="D2896" s="53">
        <f t="shared" si="90"/>
        <v>-2.1798683373210347E-2</v>
      </c>
      <c r="E2896" s="53">
        <v>-2.4775050653096302E-3</v>
      </c>
      <c r="G2896" s="90">
        <v>2888</v>
      </c>
      <c r="H2896" s="90">
        <f t="shared" ca="1" si="91"/>
        <v>-7.0264193572512979E-3</v>
      </c>
    </row>
    <row r="2897" spans="2:8" x14ac:dyDescent="0.3">
      <c r="B2897" s="58">
        <f>'DATA HISTORICAL'!$B3542</f>
        <v>41640</v>
      </c>
      <c r="C2897" s="60">
        <f>'DATA HISTORICAL'!$C3542</f>
        <v>1769.25</v>
      </c>
      <c r="D2897" s="53">
        <f t="shared" si="90"/>
        <v>2.9150826535339425E-3</v>
      </c>
      <c r="E2897" s="53">
        <v>-2.4955242235267356E-3</v>
      </c>
      <c r="G2897" s="90">
        <v>2889</v>
      </c>
      <c r="H2897" s="90">
        <f t="shared" ca="1" si="91"/>
        <v>2.2709944900803941E-2</v>
      </c>
    </row>
    <row r="2898" spans="2:8" x14ac:dyDescent="0.3">
      <c r="B2898" s="58">
        <f>'DATA HISTORICAL'!$B3543</f>
        <v>41639</v>
      </c>
      <c r="C2898" s="60">
        <f>'DATA HISTORICAL'!$C3543</f>
        <v>1764.1</v>
      </c>
      <c r="D2898" s="53">
        <f t="shared" si="90"/>
        <v>1.4215407935415019E-2</v>
      </c>
      <c r="E2898" s="53">
        <v>-2.4966168004341522E-3</v>
      </c>
      <c r="G2898" s="90">
        <v>2890</v>
      </c>
      <c r="H2898" s="90">
        <f t="shared" ca="1" si="91"/>
        <v>1.4673223370564644E-2</v>
      </c>
    </row>
    <row r="2899" spans="2:8" x14ac:dyDescent="0.3">
      <c r="B2899" s="58">
        <f>'DATA HISTORICAL'!$B3544</f>
        <v>41638</v>
      </c>
      <c r="C2899" s="60">
        <f>'DATA HISTORICAL'!$C3544</f>
        <v>1739.2</v>
      </c>
      <c r="D2899" s="53">
        <f t="shared" si="90"/>
        <v>-1.7582557389516612E-2</v>
      </c>
      <c r="E2899" s="53">
        <v>-2.4994672273344967E-3</v>
      </c>
      <c r="G2899" s="90">
        <v>2891</v>
      </c>
      <c r="H2899" s="90">
        <f t="shared" ca="1" si="91"/>
        <v>5.1577368310416977E-3</v>
      </c>
    </row>
    <row r="2900" spans="2:8" x14ac:dyDescent="0.3">
      <c r="B2900" s="58">
        <f>'DATA HISTORICAL'!$B3545</f>
        <v>41635</v>
      </c>
      <c r="C2900" s="60">
        <f>'DATA HISTORICAL'!$C3545</f>
        <v>1770.05</v>
      </c>
      <c r="D2900" s="53">
        <f t="shared" si="90"/>
        <v>-5.5493881762457686E-3</v>
      </c>
      <c r="E2900" s="53">
        <v>-2.5014029517506338E-3</v>
      </c>
      <c r="G2900" s="90">
        <v>2892</v>
      </c>
      <c r="H2900" s="90">
        <f t="shared" ca="1" si="91"/>
        <v>8.9382588814040272E-3</v>
      </c>
    </row>
    <row r="2901" spans="2:8" x14ac:dyDescent="0.3">
      <c r="B2901" s="58">
        <f>'DATA HISTORICAL'!$B3546</f>
        <v>41634</v>
      </c>
      <c r="C2901" s="60">
        <f>'DATA HISTORICAL'!$C3546</f>
        <v>1779.9</v>
      </c>
      <c r="D2901" s="53">
        <f t="shared" si="90"/>
        <v>-9.25531233819968E-3</v>
      </c>
      <c r="E2901" s="53">
        <v>-2.5169422774278774E-3</v>
      </c>
      <c r="G2901" s="90">
        <v>2893</v>
      </c>
      <c r="H2901" s="90">
        <f t="shared" ca="1" si="91"/>
        <v>2.2101723432860553E-2</v>
      </c>
    </row>
    <row r="2902" spans="2:8" x14ac:dyDescent="0.3">
      <c r="B2902" s="58">
        <f>'DATA HISTORICAL'!$B3547</f>
        <v>41632</v>
      </c>
      <c r="C2902" s="60">
        <f>'DATA HISTORICAL'!$C3547</f>
        <v>1796.45</v>
      </c>
      <c r="D2902" s="53">
        <f t="shared" si="90"/>
        <v>1.6897224748177963E-2</v>
      </c>
      <c r="E2902" s="53">
        <v>-2.5276054430732886E-3</v>
      </c>
      <c r="G2902" s="90">
        <v>2894</v>
      </c>
      <c r="H2902" s="90">
        <f t="shared" ca="1" si="91"/>
        <v>3.1947457269899199E-2</v>
      </c>
    </row>
    <row r="2903" spans="2:8" x14ac:dyDescent="0.3">
      <c r="B2903" s="58">
        <f>'DATA HISTORICAL'!$B3548</f>
        <v>41631</v>
      </c>
      <c r="C2903" s="60">
        <f>'DATA HISTORICAL'!$C3548</f>
        <v>1766.35</v>
      </c>
      <c r="D2903" s="53">
        <f t="shared" si="90"/>
        <v>1.2619272729843735E-2</v>
      </c>
      <c r="E2903" s="53">
        <v>-2.5421768590694802E-3</v>
      </c>
      <c r="G2903" s="90">
        <v>2895</v>
      </c>
      <c r="H2903" s="90">
        <f t="shared" ca="1" si="91"/>
        <v>6.3681916343540177E-4</v>
      </c>
    </row>
    <row r="2904" spans="2:8" x14ac:dyDescent="0.3">
      <c r="B2904" s="58">
        <f>'DATA HISTORICAL'!$B3549</f>
        <v>41628</v>
      </c>
      <c r="C2904" s="60">
        <f>'DATA HISTORICAL'!$C3549</f>
        <v>1744.2</v>
      </c>
      <c r="D2904" s="53">
        <f t="shared" si="90"/>
        <v>8.1456879846037496E-3</v>
      </c>
      <c r="E2904" s="53">
        <v>-2.5468730205094373E-3</v>
      </c>
      <c r="G2904" s="90">
        <v>2896</v>
      </c>
      <c r="H2904" s="90">
        <f t="shared" ca="1" si="91"/>
        <v>1.3658214274241673E-2</v>
      </c>
    </row>
    <row r="2905" spans="2:8" x14ac:dyDescent="0.3">
      <c r="B2905" s="58">
        <f>'DATA HISTORICAL'!$B3550</f>
        <v>41627</v>
      </c>
      <c r="C2905" s="60">
        <f>'DATA HISTORICAL'!$C3550</f>
        <v>1730.05</v>
      </c>
      <c r="D2905" s="53">
        <f t="shared" si="90"/>
        <v>-1.3377933913607405E-2</v>
      </c>
      <c r="E2905" s="53">
        <v>-2.5594137444973027E-3</v>
      </c>
      <c r="G2905" s="90">
        <v>2897</v>
      </c>
      <c r="H2905" s="90">
        <f t="shared" ca="1" si="91"/>
        <v>5.0518088499379284E-2</v>
      </c>
    </row>
    <row r="2906" spans="2:8" x14ac:dyDescent="0.3">
      <c r="B2906" s="58">
        <f>'DATA HISTORICAL'!$B3551</f>
        <v>41626</v>
      </c>
      <c r="C2906" s="60">
        <f>'DATA HISTORICAL'!$C3551</f>
        <v>1753.35</v>
      </c>
      <c r="D2906" s="53">
        <f t="shared" si="90"/>
        <v>-2.8512773915795558E-4</v>
      </c>
      <c r="E2906" s="53">
        <v>-2.5651839964160612E-3</v>
      </c>
      <c r="G2906" s="90">
        <v>2898</v>
      </c>
      <c r="H2906" s="90">
        <f t="shared" ca="1" si="91"/>
        <v>6.4060952151715348E-3</v>
      </c>
    </row>
    <row r="2907" spans="2:8" x14ac:dyDescent="0.3">
      <c r="B2907" s="58">
        <f>'DATA HISTORICAL'!$B3552</f>
        <v>41625</v>
      </c>
      <c r="C2907" s="60">
        <f>'DATA HISTORICAL'!$C3552</f>
        <v>1753.85</v>
      </c>
      <c r="D2907" s="53">
        <f t="shared" si="90"/>
        <v>-9.3356522701858718E-3</v>
      </c>
      <c r="E2907" s="53">
        <v>-2.5671935524523384E-3</v>
      </c>
      <c r="G2907" s="90">
        <v>2899</v>
      </c>
      <c r="H2907" s="90">
        <f t="shared" ca="1" si="91"/>
        <v>-2.07233848649316E-2</v>
      </c>
    </row>
    <row r="2908" spans="2:8" x14ac:dyDescent="0.3">
      <c r="B2908" s="58">
        <f>'DATA HISTORICAL'!$B3553</f>
        <v>41624</v>
      </c>
      <c r="C2908" s="60">
        <f>'DATA HISTORICAL'!$C3553</f>
        <v>1770.3</v>
      </c>
      <c r="D2908" s="53">
        <f t="shared" si="90"/>
        <v>-1.7026454444227058E-2</v>
      </c>
      <c r="E2908" s="53">
        <v>-2.5711843888837366E-3</v>
      </c>
      <c r="G2908" s="90">
        <v>2900</v>
      </c>
      <c r="H2908" s="90">
        <f t="shared" ca="1" si="91"/>
        <v>4.6304903741319819E-2</v>
      </c>
    </row>
    <row r="2909" spans="2:8" x14ac:dyDescent="0.3">
      <c r="B2909" s="58">
        <f>'DATA HISTORICAL'!$B3554</f>
        <v>41621</v>
      </c>
      <c r="C2909" s="60">
        <f>'DATA HISTORICAL'!$C3554</f>
        <v>1800.7</v>
      </c>
      <c r="D2909" s="53">
        <f t="shared" si="90"/>
        <v>-3.8511335666352793E-2</v>
      </c>
      <c r="E2909" s="53">
        <v>-2.5715969753401895E-3</v>
      </c>
      <c r="G2909" s="90">
        <v>2901</v>
      </c>
      <c r="H2909" s="90">
        <f t="shared" ca="1" si="91"/>
        <v>-1.9605459550719392E-2</v>
      </c>
    </row>
    <row r="2910" spans="2:8" x14ac:dyDescent="0.3">
      <c r="B2910" s="58">
        <f>'DATA HISTORICAL'!$B3555</f>
        <v>41620</v>
      </c>
      <c r="C2910" s="60">
        <f>'DATA HISTORICAL'!$C3555</f>
        <v>1871.4</v>
      </c>
      <c r="D2910" s="53">
        <f t="shared" si="90"/>
        <v>-1.9316346891452518E-2</v>
      </c>
      <c r="E2910" s="53">
        <v>-2.5798143943763347E-3</v>
      </c>
      <c r="G2910" s="90">
        <v>2902</v>
      </c>
      <c r="H2910" s="90">
        <f t="shared" ca="1" si="91"/>
        <v>-1.5903403354139416E-2</v>
      </c>
    </row>
    <row r="2911" spans="2:8" x14ac:dyDescent="0.3">
      <c r="B2911" s="58">
        <f>'DATA HISTORICAL'!$B3556</f>
        <v>41619</v>
      </c>
      <c r="C2911" s="60">
        <f>'DATA HISTORICAL'!$C3556</f>
        <v>1907.9</v>
      </c>
      <c r="D2911" s="53">
        <f t="shared" si="90"/>
        <v>-8.1952696702424048E-3</v>
      </c>
      <c r="E2911" s="53">
        <v>-2.580212335673912E-3</v>
      </c>
      <c r="G2911" s="90">
        <v>2903</v>
      </c>
      <c r="H2911" s="90">
        <f t="shared" ca="1" si="91"/>
        <v>-1.003597805295724E-2</v>
      </c>
    </row>
    <row r="2912" spans="2:8" x14ac:dyDescent="0.3">
      <c r="B2912" s="58">
        <f>'DATA HISTORICAL'!$B3557</f>
        <v>41618</v>
      </c>
      <c r="C2912" s="60">
        <f>'DATA HISTORICAL'!$C3557</f>
        <v>1923.6</v>
      </c>
      <c r="D2912" s="53">
        <f t="shared" si="90"/>
        <v>-2.5440682447749607E-3</v>
      </c>
      <c r="E2912" s="53">
        <v>-2.5859703804001891E-3</v>
      </c>
      <c r="G2912" s="90">
        <v>2904</v>
      </c>
      <c r="H2912" s="90">
        <f t="shared" ca="1" si="91"/>
        <v>1.7867791519448534E-2</v>
      </c>
    </row>
    <row r="2913" spans="2:8" x14ac:dyDescent="0.3">
      <c r="B2913" s="58">
        <f>'DATA HISTORICAL'!$B3558</f>
        <v>41617</v>
      </c>
      <c r="C2913" s="60">
        <f>'DATA HISTORICAL'!$C3558</f>
        <v>1928.5</v>
      </c>
      <c r="D2913" s="53">
        <f t="shared" si="90"/>
        <v>2.4752894417655189E-2</v>
      </c>
      <c r="E2913" s="53">
        <v>-2.5958509324021653E-3</v>
      </c>
      <c r="G2913" s="90">
        <v>2905</v>
      </c>
      <c r="H2913" s="90">
        <f t="shared" ca="1" si="91"/>
        <v>-1.0120897396442705E-2</v>
      </c>
    </row>
    <row r="2914" spans="2:8" x14ac:dyDescent="0.3">
      <c r="B2914" s="58">
        <f>'DATA HISTORICAL'!$B3559</f>
        <v>41614</v>
      </c>
      <c r="C2914" s="60">
        <f>'DATA HISTORICAL'!$C3559</f>
        <v>1881.35</v>
      </c>
      <c r="D2914" s="53">
        <f t="shared" si="90"/>
        <v>5.1692094853421112E-3</v>
      </c>
      <c r="E2914" s="53">
        <v>-2.603233699559625E-3</v>
      </c>
      <c r="G2914" s="90">
        <v>2906</v>
      </c>
      <c r="H2914" s="90">
        <f t="shared" ca="1" si="91"/>
        <v>-5.2861545338347268E-3</v>
      </c>
    </row>
    <row r="2915" spans="2:8" x14ac:dyDescent="0.3">
      <c r="B2915" s="58">
        <f>'DATA HISTORICAL'!$B3560</f>
        <v>41613</v>
      </c>
      <c r="C2915" s="60">
        <f>'DATA HISTORICAL'!$C3560</f>
        <v>1871.65</v>
      </c>
      <c r="D2915" s="53">
        <f t="shared" si="90"/>
        <v>-2.1082134701458956E-3</v>
      </c>
      <c r="E2915" s="53">
        <v>-2.6078507369404359E-3</v>
      </c>
      <c r="G2915" s="90">
        <v>2907</v>
      </c>
      <c r="H2915" s="90">
        <f t="shared" ca="1" si="91"/>
        <v>2.8682605417677396E-2</v>
      </c>
    </row>
    <row r="2916" spans="2:8" x14ac:dyDescent="0.3">
      <c r="B2916" s="58">
        <f>'DATA HISTORICAL'!$B3561</f>
        <v>41612</v>
      </c>
      <c r="C2916" s="60">
        <f>'DATA HISTORICAL'!$C3561</f>
        <v>1875.6</v>
      </c>
      <c r="D2916" s="53">
        <f t="shared" si="90"/>
        <v>-1.0685930365613678E-2</v>
      </c>
      <c r="E2916" s="53">
        <v>-2.6158874567866613E-3</v>
      </c>
      <c r="G2916" s="90">
        <v>2908</v>
      </c>
      <c r="H2916" s="90">
        <f t="shared" ca="1" si="91"/>
        <v>1.0864219861668453E-2</v>
      </c>
    </row>
    <row r="2917" spans="2:8" x14ac:dyDescent="0.3">
      <c r="B2917" s="58">
        <f>'DATA HISTORICAL'!$B3562</f>
        <v>41611</v>
      </c>
      <c r="C2917" s="60">
        <f>'DATA HISTORICAL'!$C3562</f>
        <v>1895.75</v>
      </c>
      <c r="D2917" s="53">
        <f t="shared" si="90"/>
        <v>-1.9235082278072906E-3</v>
      </c>
      <c r="E2917" s="53">
        <v>-2.6248669458741702E-3</v>
      </c>
      <c r="G2917" s="90">
        <v>2909</v>
      </c>
      <c r="H2917" s="90">
        <f t="shared" ca="1" si="91"/>
        <v>-1.5678181469306347E-2</v>
      </c>
    </row>
    <row r="2918" spans="2:8" x14ac:dyDescent="0.3">
      <c r="B2918" s="58">
        <f>'DATA HISTORICAL'!$B3563</f>
        <v>41610</v>
      </c>
      <c r="C2918" s="60">
        <f>'DATA HISTORICAL'!$C3563</f>
        <v>1899.4</v>
      </c>
      <c r="D2918" s="53">
        <f t="shared" si="90"/>
        <v>-4.4126989022555E-3</v>
      </c>
      <c r="E2918" s="53">
        <v>-2.6405317214810765E-3</v>
      </c>
      <c r="G2918" s="90">
        <v>2910</v>
      </c>
      <c r="H2918" s="90">
        <f t="shared" ca="1" si="91"/>
        <v>-2.4319060178535416E-2</v>
      </c>
    </row>
    <row r="2919" spans="2:8" x14ac:dyDescent="0.3">
      <c r="B2919" s="58">
        <f>'DATA HISTORICAL'!$B3564</f>
        <v>41607</v>
      </c>
      <c r="C2919" s="60">
        <f>'DATA HISTORICAL'!$C3564</f>
        <v>1907.8</v>
      </c>
      <c r="D2919" s="53">
        <f t="shared" si="90"/>
        <v>-1.3618984871753036E-3</v>
      </c>
      <c r="E2919" s="53">
        <v>-2.6427731448705949E-3</v>
      </c>
      <c r="G2919" s="90">
        <v>2911</v>
      </c>
      <c r="H2919" s="90">
        <f t="shared" ca="1" si="91"/>
        <v>-1.7948988159509443E-2</v>
      </c>
    </row>
    <row r="2920" spans="2:8" x14ac:dyDescent="0.3">
      <c r="B2920" s="58">
        <f>'DATA HISTORICAL'!$B3565</f>
        <v>41606</v>
      </c>
      <c r="C2920" s="60">
        <f>'DATA HISTORICAL'!$C3565</f>
        <v>1910.4</v>
      </c>
      <c r="D2920" s="53">
        <f t="shared" si="90"/>
        <v>2.0759429106184755E-2</v>
      </c>
      <c r="E2920" s="53">
        <v>-2.6543616465476432E-3</v>
      </c>
      <c r="G2920" s="90">
        <v>2912</v>
      </c>
      <c r="H2920" s="90">
        <f t="shared" ca="1" si="91"/>
        <v>1.1746153940040634E-2</v>
      </c>
    </row>
    <row r="2921" spans="2:8" x14ac:dyDescent="0.3">
      <c r="B2921" s="58">
        <f>'DATA HISTORICAL'!$B3566</f>
        <v>41605</v>
      </c>
      <c r="C2921" s="60">
        <f>'DATA HISTORICAL'!$C3566</f>
        <v>1871.15</v>
      </c>
      <c r="D2921" s="53">
        <f t="shared" si="90"/>
        <v>9.4774715013113391E-3</v>
      </c>
      <c r="E2921" s="53">
        <v>-2.6689813668424479E-3</v>
      </c>
      <c r="G2921" s="90">
        <v>2913</v>
      </c>
      <c r="H2921" s="90">
        <f t="shared" ca="1" si="91"/>
        <v>-1.8298409654898849E-2</v>
      </c>
    </row>
    <row r="2922" spans="2:8" x14ac:dyDescent="0.3">
      <c r="B2922" s="58">
        <f>'DATA HISTORICAL'!$B3567</f>
        <v>41604</v>
      </c>
      <c r="C2922" s="60">
        <f>'DATA HISTORICAL'!$C3567</f>
        <v>1853.5</v>
      </c>
      <c r="D2922" s="53">
        <f t="shared" si="90"/>
        <v>-1.881301811101348E-2</v>
      </c>
      <c r="E2922" s="53">
        <v>-2.6863768550596822E-3</v>
      </c>
      <c r="G2922" s="90">
        <v>2914</v>
      </c>
      <c r="H2922" s="90">
        <f t="shared" ca="1" si="91"/>
        <v>1.4302861449686309E-2</v>
      </c>
    </row>
    <row r="2923" spans="2:8" x14ac:dyDescent="0.3">
      <c r="B2923" s="58">
        <f>'DATA HISTORICAL'!$B3568</f>
        <v>41603</v>
      </c>
      <c r="C2923" s="60">
        <f>'DATA HISTORICAL'!$C3568</f>
        <v>1888.7</v>
      </c>
      <c r="D2923" s="53">
        <f t="shared" si="90"/>
        <v>3.9665562441444223E-2</v>
      </c>
      <c r="E2923" s="53">
        <v>-2.7009231963662757E-3</v>
      </c>
      <c r="G2923" s="90">
        <v>2915</v>
      </c>
      <c r="H2923" s="90">
        <f t="shared" ca="1" si="91"/>
        <v>9.3300819193711942E-3</v>
      </c>
    </row>
    <row r="2924" spans="2:8" x14ac:dyDescent="0.3">
      <c r="B2924" s="58">
        <f>'DATA HISTORICAL'!$B3569</f>
        <v>41600</v>
      </c>
      <c r="C2924" s="60">
        <f>'DATA HISTORICAL'!$C3569</f>
        <v>1815.25</v>
      </c>
      <c r="D2924" s="53">
        <f t="shared" si="90"/>
        <v>-1.6391570389805567E-2</v>
      </c>
      <c r="E2924" s="53">
        <v>-2.7032867252878988E-3</v>
      </c>
      <c r="G2924" s="90">
        <v>2916</v>
      </c>
      <c r="H2924" s="90">
        <f t="shared" ca="1" si="91"/>
        <v>5.2475046664767376E-3</v>
      </c>
    </row>
    <row r="2925" spans="2:8" x14ac:dyDescent="0.3">
      <c r="B2925" s="58">
        <f>'DATA HISTORICAL'!$B3570</f>
        <v>41599</v>
      </c>
      <c r="C2925" s="60">
        <f>'DATA HISTORICAL'!$C3570</f>
        <v>1845.25</v>
      </c>
      <c r="D2925" s="53">
        <f t="shared" si="90"/>
        <v>-2.6313789272301481E-2</v>
      </c>
      <c r="E2925" s="53">
        <v>-2.7244133531432015E-3</v>
      </c>
      <c r="G2925" s="90">
        <v>2917</v>
      </c>
      <c r="H2925" s="90">
        <f t="shared" ca="1" si="91"/>
        <v>2.5027630259883721E-2</v>
      </c>
    </row>
    <row r="2926" spans="2:8" x14ac:dyDescent="0.3">
      <c r="B2926" s="58">
        <f>'DATA HISTORICAL'!$B3571</f>
        <v>41598</v>
      </c>
      <c r="C2926" s="60">
        <f>'DATA HISTORICAL'!$C3571</f>
        <v>1894.45</v>
      </c>
      <c r="D2926" s="53">
        <f t="shared" si="90"/>
        <v>-1.4463765837559726E-2</v>
      </c>
      <c r="E2926" s="53">
        <v>-2.7450217711621327E-3</v>
      </c>
      <c r="G2926" s="90">
        <v>2918</v>
      </c>
      <c r="H2926" s="90">
        <f t="shared" ca="1" si="91"/>
        <v>1.0057002477592461E-2</v>
      </c>
    </row>
    <row r="2927" spans="2:8" x14ac:dyDescent="0.3">
      <c r="B2927" s="58">
        <f>'DATA HISTORICAL'!$B3572</f>
        <v>41597</v>
      </c>
      <c r="C2927" s="60">
        <f>'DATA HISTORICAL'!$C3572</f>
        <v>1922.05</v>
      </c>
      <c r="D2927" s="53">
        <f t="shared" si="90"/>
        <v>-6.6633207818601898E-3</v>
      </c>
      <c r="E2927" s="53">
        <v>-2.7494660819130552E-3</v>
      </c>
      <c r="G2927" s="90">
        <v>2919</v>
      </c>
      <c r="H2927" s="90">
        <f t="shared" ca="1" si="91"/>
        <v>-1.7379507045317759E-2</v>
      </c>
    </row>
    <row r="2928" spans="2:8" x14ac:dyDescent="0.3">
      <c r="B2928" s="58">
        <f>'DATA HISTORICAL'!$B3573</f>
        <v>41596</v>
      </c>
      <c r="C2928" s="60">
        <f>'DATA HISTORICAL'!$C3573</f>
        <v>1934.9</v>
      </c>
      <c r="D2928" s="53">
        <f t="shared" si="90"/>
        <v>3.0274340621620398E-2</v>
      </c>
      <c r="E2928" s="53">
        <v>-2.7505653161116164E-3</v>
      </c>
      <c r="G2928" s="90">
        <v>2920</v>
      </c>
      <c r="H2928" s="90">
        <f t="shared" ca="1" si="91"/>
        <v>-1.7143206343736232E-2</v>
      </c>
    </row>
    <row r="2929" spans="2:8" x14ac:dyDescent="0.3">
      <c r="B2929" s="58">
        <f>'DATA HISTORICAL'!$B3574</f>
        <v>41592</v>
      </c>
      <c r="C2929" s="60">
        <f>'DATA HISTORICAL'!$C3574</f>
        <v>1877.2</v>
      </c>
      <c r="D2929" s="53">
        <f t="shared" si="90"/>
        <v>5.7430740305126991E-3</v>
      </c>
      <c r="E2929" s="53">
        <v>-2.7517127361002232E-3</v>
      </c>
      <c r="G2929" s="90">
        <v>2921</v>
      </c>
      <c r="H2929" s="90">
        <f t="shared" ca="1" si="91"/>
        <v>-9.816598633317599E-3</v>
      </c>
    </row>
    <row r="2930" spans="2:8" x14ac:dyDescent="0.3">
      <c r="B2930" s="58">
        <f>'DATA HISTORICAL'!$B3575</f>
        <v>41591</v>
      </c>
      <c r="C2930" s="60">
        <f>'DATA HISTORICAL'!$C3575</f>
        <v>1866.45</v>
      </c>
      <c r="D2930" s="53">
        <f t="shared" si="90"/>
        <v>-9.5181682386948005E-3</v>
      </c>
      <c r="E2930" s="53">
        <v>-2.7836907605700129E-3</v>
      </c>
      <c r="G2930" s="90">
        <v>2922</v>
      </c>
      <c r="H2930" s="90">
        <f t="shared" ca="1" si="91"/>
        <v>-1.2860841522281868E-2</v>
      </c>
    </row>
    <row r="2931" spans="2:8" x14ac:dyDescent="0.3">
      <c r="B2931" s="58">
        <f>'DATA HISTORICAL'!$B3576</f>
        <v>41590</v>
      </c>
      <c r="C2931" s="60">
        <f>'DATA HISTORICAL'!$C3576</f>
        <v>1884.3</v>
      </c>
      <c r="D2931" s="53">
        <f t="shared" si="90"/>
        <v>-1.0610599191919052E-2</v>
      </c>
      <c r="E2931" s="53">
        <v>-2.8046813238922358E-3</v>
      </c>
      <c r="G2931" s="90">
        <v>2923</v>
      </c>
      <c r="H2931" s="90">
        <f t="shared" ca="1" si="91"/>
        <v>1.440606522883079E-2</v>
      </c>
    </row>
    <row r="2932" spans="2:8" x14ac:dyDescent="0.3">
      <c r="B2932" s="58">
        <f>'DATA HISTORICAL'!$B3577</f>
        <v>41589</v>
      </c>
      <c r="C2932" s="60">
        <f>'DATA HISTORICAL'!$C3577</f>
        <v>1904.4</v>
      </c>
      <c r="D2932" s="53">
        <f t="shared" si="90"/>
        <v>-1.1563840211286444E-2</v>
      </c>
      <c r="E2932" s="53">
        <v>-2.8110436231435615E-3</v>
      </c>
      <c r="G2932" s="90">
        <v>2924</v>
      </c>
      <c r="H2932" s="90">
        <f t="shared" ca="1" si="91"/>
        <v>2.8265911550063669E-2</v>
      </c>
    </row>
    <row r="2933" spans="2:8" x14ac:dyDescent="0.3">
      <c r="B2933" s="58">
        <f>'DATA HISTORICAL'!$B3578</f>
        <v>41586</v>
      </c>
      <c r="C2933" s="60">
        <f>'DATA HISTORICAL'!$C3578</f>
        <v>1926.55</v>
      </c>
      <c r="D2933" s="53">
        <f t="shared" si="90"/>
        <v>-4.6865173875132518E-3</v>
      </c>
      <c r="E2933" s="53">
        <v>-2.8141407733182555E-3</v>
      </c>
      <c r="G2933" s="90">
        <v>2925</v>
      </c>
      <c r="H2933" s="90">
        <f t="shared" ca="1" si="91"/>
        <v>6.6970716957263981E-3</v>
      </c>
    </row>
    <row r="2934" spans="2:8" x14ac:dyDescent="0.3">
      <c r="B2934" s="58">
        <f>'DATA HISTORICAL'!$B3579</f>
        <v>41585</v>
      </c>
      <c r="C2934" s="60">
        <f>'DATA HISTORICAL'!$C3579</f>
        <v>1935.6</v>
      </c>
      <c r="D2934" s="53">
        <f t="shared" si="90"/>
        <v>-5.5641565501494718E-3</v>
      </c>
      <c r="E2934" s="53">
        <v>-2.8305999247680322E-3</v>
      </c>
      <c r="G2934" s="90">
        <v>2926</v>
      </c>
      <c r="H2934" s="90">
        <f t="shared" ca="1" si="91"/>
        <v>2.1219842315484294E-2</v>
      </c>
    </row>
    <row r="2935" spans="2:8" x14ac:dyDescent="0.3">
      <c r="B2935" s="58">
        <f>'DATA HISTORICAL'!$B3580</f>
        <v>41584</v>
      </c>
      <c r="C2935" s="60">
        <f>'DATA HISTORICAL'!$C3580</f>
        <v>1946.4</v>
      </c>
      <c r="D2935" s="53">
        <f t="shared" si="90"/>
        <v>-2.4118036065400566E-3</v>
      </c>
      <c r="E2935" s="53">
        <v>-2.8414802091420339E-3</v>
      </c>
      <c r="G2935" s="90">
        <v>2927</v>
      </c>
      <c r="H2935" s="90">
        <f t="shared" ca="1" si="91"/>
        <v>3.0062310065781285E-2</v>
      </c>
    </row>
    <row r="2936" spans="2:8" x14ac:dyDescent="0.3">
      <c r="B2936" s="58">
        <f>'DATA HISTORICAL'!$B3581</f>
        <v>41583</v>
      </c>
      <c r="C2936" s="60">
        <f>'DATA HISTORICAL'!$C3581</f>
        <v>1951.1</v>
      </c>
      <c r="D2936" s="53">
        <f t="shared" si="90"/>
        <v>-5.8258545807105015E-3</v>
      </c>
      <c r="E2936" s="53">
        <v>-2.8643366515201376E-3</v>
      </c>
      <c r="G2936" s="90">
        <v>2928</v>
      </c>
      <c r="H2936" s="90">
        <f t="shared" ca="1" si="91"/>
        <v>-9.4930820336792121E-3</v>
      </c>
    </row>
    <row r="2937" spans="2:8" x14ac:dyDescent="0.3">
      <c r="B2937" s="58">
        <f>'DATA HISTORICAL'!$B3582</f>
        <v>41579</v>
      </c>
      <c r="C2937" s="60">
        <f>'DATA HISTORICAL'!$C3582</f>
        <v>1962.5</v>
      </c>
      <c r="D2937" s="53">
        <f t="shared" si="90"/>
        <v>-2.2141075633747933E-3</v>
      </c>
      <c r="E2937" s="53">
        <v>-2.8674590641140363E-3</v>
      </c>
      <c r="G2937" s="90">
        <v>2929</v>
      </c>
      <c r="H2937" s="90">
        <f t="shared" ca="1" si="91"/>
        <v>5.2246716085391628E-3</v>
      </c>
    </row>
    <row r="2938" spans="2:8" x14ac:dyDescent="0.3">
      <c r="B2938" s="58">
        <f>'DATA HISTORICAL'!$B3583</f>
        <v>41578</v>
      </c>
      <c r="C2938" s="60">
        <f>'DATA HISTORICAL'!$C3583</f>
        <v>1966.85</v>
      </c>
      <c r="D2938" s="53">
        <f t="shared" si="90"/>
        <v>-2.0823817774259529E-3</v>
      </c>
      <c r="E2938" s="53">
        <v>-2.876276116604304E-3</v>
      </c>
      <c r="G2938" s="90">
        <v>2930</v>
      </c>
      <c r="H2938" s="90">
        <f t="shared" ca="1" si="91"/>
        <v>-2.5416783978684927E-2</v>
      </c>
    </row>
    <row r="2939" spans="2:8" x14ac:dyDescent="0.3">
      <c r="B2939" s="58">
        <f>'DATA HISTORICAL'!$B3584</f>
        <v>41577</v>
      </c>
      <c r="C2939" s="60">
        <f>'DATA HISTORICAL'!$C3584</f>
        <v>1970.95</v>
      </c>
      <c r="D2939" s="53">
        <f t="shared" si="90"/>
        <v>-7.7831237158788261E-3</v>
      </c>
      <c r="E2939" s="53">
        <v>-2.8818240496739957E-3</v>
      </c>
      <c r="G2939" s="90">
        <v>2931</v>
      </c>
      <c r="H2939" s="90">
        <f t="shared" ca="1" si="91"/>
        <v>1.2992408281094724E-2</v>
      </c>
    </row>
    <row r="2940" spans="2:8" x14ac:dyDescent="0.3">
      <c r="B2940" s="58">
        <f>'DATA HISTORICAL'!$B3585</f>
        <v>41576</v>
      </c>
      <c r="C2940" s="60">
        <f>'DATA HISTORICAL'!$C3585</f>
        <v>1986.35</v>
      </c>
      <c r="D2940" s="53">
        <f t="shared" si="90"/>
        <v>2.1499638686649069E-2</v>
      </c>
      <c r="E2940" s="53">
        <v>-2.8870281151222817E-3</v>
      </c>
      <c r="G2940" s="90">
        <v>2932</v>
      </c>
      <c r="H2940" s="90">
        <f t="shared" ca="1" si="91"/>
        <v>3.1007149366652699E-2</v>
      </c>
    </row>
    <row r="2941" spans="2:8" x14ac:dyDescent="0.3">
      <c r="B2941" s="58">
        <f>'DATA HISTORICAL'!$B3586</f>
        <v>41575</v>
      </c>
      <c r="C2941" s="60">
        <f>'DATA HISTORICAL'!$C3586</f>
        <v>1944.1</v>
      </c>
      <c r="D2941" s="53">
        <f t="shared" si="90"/>
        <v>-2.773784396057904E-3</v>
      </c>
      <c r="E2941" s="53">
        <v>-2.8906520210693265E-3</v>
      </c>
      <c r="G2941" s="90">
        <v>2933</v>
      </c>
      <c r="H2941" s="90">
        <f t="shared" ca="1" si="91"/>
        <v>-9.3843996589165965E-3</v>
      </c>
    </row>
    <row r="2942" spans="2:8" x14ac:dyDescent="0.3">
      <c r="B2942" s="58">
        <f>'DATA HISTORICAL'!$B3587</f>
        <v>41572</v>
      </c>
      <c r="C2942" s="60">
        <f>'DATA HISTORICAL'!$C3587</f>
        <v>1949.5</v>
      </c>
      <c r="D2942" s="53">
        <f t="shared" si="90"/>
        <v>-6.666154132454658E-4</v>
      </c>
      <c r="E2942" s="53">
        <v>-2.8968088532638544E-3</v>
      </c>
      <c r="G2942" s="90">
        <v>2934</v>
      </c>
      <c r="H2942" s="90">
        <f t="shared" ca="1" si="91"/>
        <v>-2.0810979590583634E-2</v>
      </c>
    </row>
    <row r="2943" spans="2:8" x14ac:dyDescent="0.3">
      <c r="B2943" s="58">
        <f>'DATA HISTORICAL'!$B3588</f>
        <v>41571</v>
      </c>
      <c r="C2943" s="60">
        <f>'DATA HISTORICAL'!$C3588</f>
        <v>1950.8</v>
      </c>
      <c r="D2943" s="53">
        <f t="shared" si="90"/>
        <v>7.1507879877038272E-3</v>
      </c>
      <c r="E2943" s="53">
        <v>-2.898748421242579E-3</v>
      </c>
      <c r="G2943" s="90">
        <v>2935</v>
      </c>
      <c r="H2943" s="90">
        <f t="shared" ca="1" si="91"/>
        <v>4.8520210072677036E-4</v>
      </c>
    </row>
    <row r="2944" spans="2:8" x14ac:dyDescent="0.3">
      <c r="B2944" s="58">
        <f>'DATA HISTORICAL'!$B3589</f>
        <v>41570</v>
      </c>
      <c r="C2944" s="60">
        <f>'DATA HISTORICAL'!$C3589</f>
        <v>1936.9</v>
      </c>
      <c r="D2944" s="53">
        <f t="shared" si="90"/>
        <v>-1.2289295836596603E-2</v>
      </c>
      <c r="E2944" s="53">
        <v>-2.9020075297203963E-3</v>
      </c>
      <c r="G2944" s="90">
        <v>2936</v>
      </c>
      <c r="H2944" s="90">
        <f t="shared" ca="1" si="91"/>
        <v>-1.6887325439444593E-2</v>
      </c>
    </row>
    <row r="2945" spans="2:8" x14ac:dyDescent="0.3">
      <c r="B2945" s="58">
        <f>'DATA HISTORICAL'!$B3590</f>
        <v>41569</v>
      </c>
      <c r="C2945" s="60">
        <f>'DATA HISTORICAL'!$C3590</f>
        <v>1960.85</v>
      </c>
      <c r="D2945" s="53">
        <f t="shared" si="90"/>
        <v>1.0460118566278803E-3</v>
      </c>
      <c r="E2945" s="53">
        <v>-2.9205222065970295E-3</v>
      </c>
      <c r="G2945" s="90">
        <v>2937</v>
      </c>
      <c r="H2945" s="90">
        <f t="shared" ca="1" si="91"/>
        <v>3.0622067890817492E-2</v>
      </c>
    </row>
    <row r="2946" spans="2:8" x14ac:dyDescent="0.3">
      <c r="B2946" s="58">
        <f>'DATA HISTORICAL'!$B3591</f>
        <v>41568</v>
      </c>
      <c r="C2946" s="60">
        <f>'DATA HISTORICAL'!$C3591</f>
        <v>1958.8</v>
      </c>
      <c r="D2946" s="53">
        <f t="shared" si="90"/>
        <v>-2.9566214126068328E-3</v>
      </c>
      <c r="E2946" s="53">
        <v>-2.9235037876091338E-3</v>
      </c>
      <c r="G2946" s="90">
        <v>2938</v>
      </c>
      <c r="H2946" s="90">
        <f t="shared" ca="1" si="91"/>
        <v>1.3803029957237853E-2</v>
      </c>
    </row>
    <row r="2947" spans="2:8" x14ac:dyDescent="0.3">
      <c r="B2947" s="58">
        <f>'DATA HISTORICAL'!$B3592</f>
        <v>41565</v>
      </c>
      <c r="C2947" s="60">
        <f>'DATA HISTORICAL'!$C3592</f>
        <v>1964.6</v>
      </c>
      <c r="D2947" s="53">
        <f t="shared" si="90"/>
        <v>2.3186791375043275E-3</v>
      </c>
      <c r="E2947" s="53">
        <v>-2.9248505183304936E-3</v>
      </c>
      <c r="G2947" s="90">
        <v>2939</v>
      </c>
      <c r="H2947" s="90">
        <f t="shared" ca="1" si="91"/>
        <v>1.3843345476536564E-2</v>
      </c>
    </row>
    <row r="2948" spans="2:8" x14ac:dyDescent="0.3">
      <c r="B2948" s="58">
        <f>'DATA HISTORICAL'!$B3593</f>
        <v>41564</v>
      </c>
      <c r="C2948" s="60">
        <f>'DATA HISTORICAL'!$C3593</f>
        <v>1960.05</v>
      </c>
      <c r="D2948" s="53">
        <f t="shared" si="90"/>
        <v>-7.2439220269182852E-3</v>
      </c>
      <c r="E2948" s="53">
        <v>-2.9273871643837818E-3</v>
      </c>
      <c r="G2948" s="90">
        <v>2940</v>
      </c>
      <c r="H2948" s="90">
        <f t="shared" ca="1" si="91"/>
        <v>-1.3767410024237293E-2</v>
      </c>
    </row>
    <row r="2949" spans="2:8" x14ac:dyDescent="0.3">
      <c r="B2949" s="58">
        <f>'DATA HISTORICAL'!$B3594</f>
        <v>41562</v>
      </c>
      <c r="C2949" s="60">
        <f>'DATA HISTORICAL'!$C3594</f>
        <v>1974.3</v>
      </c>
      <c r="D2949" s="53">
        <f t="shared" si="90"/>
        <v>-1.3413478759007897E-3</v>
      </c>
      <c r="E2949" s="53">
        <v>-2.9278896944370542E-3</v>
      </c>
      <c r="G2949" s="90">
        <v>2941</v>
      </c>
      <c r="H2949" s="90">
        <f t="shared" ca="1" si="91"/>
        <v>-8.3317292449793037E-3</v>
      </c>
    </row>
    <row r="2950" spans="2:8" x14ac:dyDescent="0.3">
      <c r="B2950" s="58">
        <f>'DATA HISTORICAL'!$B3595</f>
        <v>41561</v>
      </c>
      <c r="C2950" s="60">
        <f>'DATA HISTORICAL'!$C3595</f>
        <v>1976.95</v>
      </c>
      <c r="D2950" s="53">
        <f t="shared" si="90"/>
        <v>3.3440610799830243E-3</v>
      </c>
      <c r="E2950" s="53">
        <v>-2.9364476078809023E-3</v>
      </c>
      <c r="G2950" s="90">
        <v>2942</v>
      </c>
      <c r="H2950" s="90">
        <f t="shared" ca="1" si="91"/>
        <v>1.4410217486320088E-2</v>
      </c>
    </row>
    <row r="2951" spans="2:8" x14ac:dyDescent="0.3">
      <c r="B2951" s="58">
        <f>'DATA HISTORICAL'!$B3596</f>
        <v>41558</v>
      </c>
      <c r="C2951" s="60">
        <f>'DATA HISTORICAL'!$C3596</f>
        <v>1970.35</v>
      </c>
      <c r="D2951" s="53">
        <f t="shared" si="90"/>
        <v>-2.6356486531397697E-3</v>
      </c>
      <c r="E2951" s="53">
        <v>-2.939339201931119E-3</v>
      </c>
      <c r="G2951" s="90">
        <v>2943</v>
      </c>
      <c r="H2951" s="90">
        <f t="shared" ca="1" si="91"/>
        <v>-7.0233118519053917E-3</v>
      </c>
    </row>
    <row r="2952" spans="2:8" x14ac:dyDescent="0.3">
      <c r="B2952" s="58">
        <f>'DATA HISTORICAL'!$B3597</f>
        <v>41557</v>
      </c>
      <c r="C2952" s="60">
        <f>'DATA HISTORICAL'!$C3597</f>
        <v>1975.55</v>
      </c>
      <c r="D2952" s="53">
        <f t="shared" si="90"/>
        <v>2.7879174586313963E-3</v>
      </c>
      <c r="E2952" s="53">
        <v>-2.9431744983761323E-3</v>
      </c>
      <c r="G2952" s="90">
        <v>2944</v>
      </c>
      <c r="H2952" s="90">
        <f t="shared" ca="1" si="91"/>
        <v>2.8171279837507741E-2</v>
      </c>
    </row>
    <row r="2953" spans="2:8" x14ac:dyDescent="0.3">
      <c r="B2953" s="58">
        <f>'DATA HISTORICAL'!$B3598</f>
        <v>41556</v>
      </c>
      <c r="C2953" s="60">
        <f>'DATA HISTORICAL'!$C3598</f>
        <v>1970.05</v>
      </c>
      <c r="D2953" s="53">
        <f t="shared" ref="D2953:D3016" si="92">LN(C2953/C2954)</f>
        <v>1.2976910846870278E-2</v>
      </c>
      <c r="E2953" s="53">
        <v>-2.9458675216647075E-3</v>
      </c>
      <c r="G2953" s="90">
        <v>2945</v>
      </c>
      <c r="H2953" s="90">
        <f t="shared" ref="H2953:H3016" ca="1" si="93">_xlfn.NORM.INV(RAND(),N$10,N$11)</f>
        <v>-8.168137013867427E-3</v>
      </c>
    </row>
    <row r="2954" spans="2:8" x14ac:dyDescent="0.3">
      <c r="B2954" s="58">
        <f>'DATA HISTORICAL'!$B3599</f>
        <v>41555</v>
      </c>
      <c r="C2954" s="60">
        <f>'DATA HISTORICAL'!$C3599</f>
        <v>1944.65</v>
      </c>
      <c r="D2954" s="53">
        <f t="shared" si="92"/>
        <v>2.0390052001059904E-2</v>
      </c>
      <c r="E2954" s="53">
        <v>-2.9550225188417355E-3</v>
      </c>
      <c r="G2954" s="90">
        <v>2946</v>
      </c>
      <c r="H2954" s="90">
        <f t="shared" ca="1" si="93"/>
        <v>2.7265974159003163E-2</v>
      </c>
    </row>
    <row r="2955" spans="2:8" x14ac:dyDescent="0.3">
      <c r="B2955" s="58">
        <f>'DATA HISTORICAL'!$B3600</f>
        <v>41554</v>
      </c>
      <c r="C2955" s="60">
        <f>'DATA HISTORICAL'!$C3600</f>
        <v>1905.4</v>
      </c>
      <c r="D2955" s="53">
        <f t="shared" si="92"/>
        <v>-2.6206839256039754E-3</v>
      </c>
      <c r="E2955" s="53">
        <v>-2.96089001344815E-3</v>
      </c>
      <c r="G2955" s="90">
        <v>2947</v>
      </c>
      <c r="H2955" s="90">
        <f t="shared" ca="1" si="93"/>
        <v>1.8960045872043668E-2</v>
      </c>
    </row>
    <row r="2956" spans="2:8" x14ac:dyDescent="0.3">
      <c r="B2956" s="58">
        <f>'DATA HISTORICAL'!$B3601</f>
        <v>41551</v>
      </c>
      <c r="C2956" s="60">
        <f>'DATA HISTORICAL'!$C3601</f>
        <v>1910.4</v>
      </c>
      <c r="D2956" s="53">
        <f t="shared" si="92"/>
        <v>9.6781735864593845E-3</v>
      </c>
      <c r="E2956" s="53">
        <v>-2.9644290483789395E-3</v>
      </c>
      <c r="G2956" s="90">
        <v>2948</v>
      </c>
      <c r="H2956" s="90">
        <f t="shared" ca="1" si="93"/>
        <v>6.2817200222097525E-3</v>
      </c>
    </row>
    <row r="2957" spans="2:8" x14ac:dyDescent="0.3">
      <c r="B2957" s="58">
        <f>'DATA HISTORICAL'!$B3602</f>
        <v>41550</v>
      </c>
      <c r="C2957" s="60">
        <f>'DATA HISTORICAL'!$C3602</f>
        <v>1892</v>
      </c>
      <c r="D2957" s="53">
        <f t="shared" si="92"/>
        <v>4.248608095184378E-2</v>
      </c>
      <c r="E2957" s="53">
        <v>-2.9667609920294479E-3</v>
      </c>
      <c r="G2957" s="90">
        <v>2949</v>
      </c>
      <c r="H2957" s="90">
        <f t="shared" ca="1" si="93"/>
        <v>3.282955128873815E-2</v>
      </c>
    </row>
    <row r="2958" spans="2:8" x14ac:dyDescent="0.3">
      <c r="B2958" s="58">
        <f>'DATA HISTORICAL'!$B3603</f>
        <v>41548</v>
      </c>
      <c r="C2958" s="60">
        <f>'DATA HISTORICAL'!$C3603</f>
        <v>1813.3</v>
      </c>
      <c r="D2958" s="53">
        <f t="shared" si="92"/>
        <v>2.2083595349290429E-3</v>
      </c>
      <c r="E2958" s="53">
        <v>-2.9790817011671774E-3</v>
      </c>
      <c r="G2958" s="90">
        <v>2950</v>
      </c>
      <c r="H2958" s="90">
        <f t="shared" ca="1" si="93"/>
        <v>1.5144235275475003E-2</v>
      </c>
    </row>
    <row r="2959" spans="2:8" x14ac:dyDescent="0.3">
      <c r="B2959" s="58">
        <f>'DATA HISTORICAL'!$B3604</f>
        <v>41547</v>
      </c>
      <c r="C2959" s="60">
        <f>'DATA HISTORICAL'!$C3604</f>
        <v>1809.3</v>
      </c>
      <c r="D2959" s="53">
        <f t="shared" si="92"/>
        <v>-1.0829339265814912E-2</v>
      </c>
      <c r="E2959" s="53">
        <v>-2.9877118714070044E-3</v>
      </c>
      <c r="G2959" s="90">
        <v>2951</v>
      </c>
      <c r="H2959" s="90">
        <f t="shared" ca="1" si="93"/>
        <v>-3.0074893108068467E-3</v>
      </c>
    </row>
    <row r="2960" spans="2:8" x14ac:dyDescent="0.3">
      <c r="B2960" s="58">
        <f>'DATA HISTORICAL'!$B3605</f>
        <v>41544</v>
      </c>
      <c r="C2960" s="60">
        <f>'DATA HISTORICAL'!$C3605</f>
        <v>1829</v>
      </c>
      <c r="D2960" s="53">
        <f t="shared" si="92"/>
        <v>1.1161014227396031E-2</v>
      </c>
      <c r="E2960" s="53">
        <v>-3.0065522486662473E-3</v>
      </c>
      <c r="G2960" s="90">
        <v>2952</v>
      </c>
      <c r="H2960" s="90">
        <f t="shared" ca="1" si="93"/>
        <v>-4.1196811717127127E-3</v>
      </c>
    </row>
    <row r="2961" spans="2:8" x14ac:dyDescent="0.3">
      <c r="B2961" s="58">
        <f>'DATA HISTORICAL'!$B3606</f>
        <v>41543</v>
      </c>
      <c r="C2961" s="60">
        <f>'DATA HISTORICAL'!$C3606</f>
        <v>1808.7</v>
      </c>
      <c r="D2961" s="53">
        <f t="shared" si="92"/>
        <v>6.5175719183727275E-3</v>
      </c>
      <c r="E2961" s="53">
        <v>-3.0067637757410642E-3</v>
      </c>
      <c r="G2961" s="90">
        <v>2953</v>
      </c>
      <c r="H2961" s="90">
        <f t="shared" ca="1" si="93"/>
        <v>1.4996663458152818E-2</v>
      </c>
    </row>
    <row r="2962" spans="2:8" x14ac:dyDescent="0.3">
      <c r="B2962" s="58">
        <f>'DATA HISTORICAL'!$B3607</f>
        <v>41542</v>
      </c>
      <c r="C2962" s="60">
        <f>'DATA HISTORICAL'!$C3607</f>
        <v>1796.95</v>
      </c>
      <c r="D2962" s="53">
        <f t="shared" si="92"/>
        <v>-1.2663296846811039E-2</v>
      </c>
      <c r="E2962" s="53">
        <v>-3.0089350393201005E-3</v>
      </c>
      <c r="G2962" s="90">
        <v>2954</v>
      </c>
      <c r="H2962" s="90">
        <f t="shared" ca="1" si="93"/>
        <v>2.0796028440496855E-3</v>
      </c>
    </row>
    <row r="2963" spans="2:8" x14ac:dyDescent="0.3">
      <c r="B2963" s="58">
        <f>'DATA HISTORICAL'!$B3608</f>
        <v>41541</v>
      </c>
      <c r="C2963" s="60">
        <f>'DATA HISTORICAL'!$C3608</f>
        <v>1819.85</v>
      </c>
      <c r="D2963" s="53">
        <f t="shared" si="92"/>
        <v>1.6203320891852332E-2</v>
      </c>
      <c r="E2963" s="53">
        <v>-3.0119341609588725E-3</v>
      </c>
      <c r="G2963" s="90">
        <v>2955</v>
      </c>
      <c r="H2963" s="90">
        <f t="shared" ca="1" si="93"/>
        <v>-2.1898459951503916E-2</v>
      </c>
    </row>
    <row r="2964" spans="2:8" x14ac:dyDescent="0.3">
      <c r="B2964" s="58">
        <f>'DATA HISTORICAL'!$B3609</f>
        <v>41540</v>
      </c>
      <c r="C2964" s="60">
        <f>'DATA HISTORICAL'!$C3609</f>
        <v>1790.6</v>
      </c>
      <c r="D2964" s="53">
        <f t="shared" si="92"/>
        <v>-3.5010434385431728E-2</v>
      </c>
      <c r="E2964" s="53">
        <v>-3.0194174084833773E-3</v>
      </c>
      <c r="G2964" s="90">
        <v>2956</v>
      </c>
      <c r="H2964" s="90">
        <f t="shared" ca="1" si="93"/>
        <v>-1.4671410263779064E-2</v>
      </c>
    </row>
    <row r="2965" spans="2:8" x14ac:dyDescent="0.3">
      <c r="B2965" s="58">
        <f>'DATA HISTORICAL'!$B3610</f>
        <v>41537</v>
      </c>
      <c r="C2965" s="60">
        <f>'DATA HISTORICAL'!$C3610</f>
        <v>1854.4</v>
      </c>
      <c r="D2965" s="53">
        <f t="shared" si="92"/>
        <v>4.8476095720148063E-2</v>
      </c>
      <c r="E2965" s="53">
        <v>-3.020278871823131E-3</v>
      </c>
      <c r="G2965" s="90">
        <v>2957</v>
      </c>
      <c r="H2965" s="90">
        <f t="shared" ca="1" si="93"/>
        <v>1.7356248414923951E-2</v>
      </c>
    </row>
    <row r="2966" spans="2:8" x14ac:dyDescent="0.3">
      <c r="B2966" s="58">
        <f>'DATA HISTORICAL'!$B3611</f>
        <v>41536</v>
      </c>
      <c r="C2966" s="60">
        <f>'DATA HISTORICAL'!$C3611</f>
        <v>1766.65</v>
      </c>
      <c r="D2966" s="53">
        <f t="shared" si="92"/>
        <v>2.8477395832744255E-2</v>
      </c>
      <c r="E2966" s="53">
        <v>-3.0240393121955121E-3</v>
      </c>
      <c r="G2966" s="90">
        <v>2958</v>
      </c>
      <c r="H2966" s="90">
        <f t="shared" ca="1" si="93"/>
        <v>-1.3636638703920168E-2</v>
      </c>
    </row>
    <row r="2967" spans="2:8" x14ac:dyDescent="0.3">
      <c r="B2967" s="58">
        <f>'DATA HISTORICAL'!$B3612</f>
        <v>41535</v>
      </c>
      <c r="C2967" s="60">
        <f>'DATA HISTORICAL'!$C3612</f>
        <v>1717.05</v>
      </c>
      <c r="D2967" s="53">
        <f t="shared" si="92"/>
        <v>1.0185354537909764E-2</v>
      </c>
      <c r="E2967" s="53">
        <v>-3.0378804533699182E-3</v>
      </c>
      <c r="G2967" s="90">
        <v>2959</v>
      </c>
      <c r="H2967" s="90">
        <f t="shared" ca="1" si="93"/>
        <v>3.1692901616178396E-2</v>
      </c>
    </row>
    <row r="2968" spans="2:8" x14ac:dyDescent="0.3">
      <c r="B2968" s="58">
        <f>'DATA HISTORICAL'!$B3613</f>
        <v>41534</v>
      </c>
      <c r="C2968" s="60">
        <f>'DATA HISTORICAL'!$C3613</f>
        <v>1699.65</v>
      </c>
      <c r="D2968" s="53">
        <f t="shared" si="92"/>
        <v>3.040492246316084E-2</v>
      </c>
      <c r="E2968" s="53">
        <v>-3.0435401577403459E-3</v>
      </c>
      <c r="G2968" s="90">
        <v>2960</v>
      </c>
      <c r="H2968" s="90">
        <f t="shared" ca="1" si="93"/>
        <v>1.9560675948617556E-2</v>
      </c>
    </row>
    <row r="2969" spans="2:8" x14ac:dyDescent="0.3">
      <c r="B2969" s="58">
        <f>'DATA HISTORICAL'!$B3614</f>
        <v>41533</v>
      </c>
      <c r="C2969" s="60">
        <f>'DATA HISTORICAL'!$C3614</f>
        <v>1648.75</v>
      </c>
      <c r="D2969" s="53">
        <f t="shared" si="92"/>
        <v>-4.2800929752776738E-2</v>
      </c>
      <c r="E2969" s="53">
        <v>-3.046853553548392E-3</v>
      </c>
      <c r="G2969" s="90">
        <v>2961</v>
      </c>
      <c r="H2969" s="90">
        <f t="shared" ca="1" si="93"/>
        <v>-1.1804890816933818E-2</v>
      </c>
    </row>
    <row r="2970" spans="2:8" x14ac:dyDescent="0.3">
      <c r="B2970" s="58">
        <f>'DATA HISTORICAL'!$B3615</f>
        <v>41530</v>
      </c>
      <c r="C2970" s="60">
        <f>'DATA HISTORICAL'!$C3615</f>
        <v>1720.85</v>
      </c>
      <c r="D2970" s="53">
        <f t="shared" si="92"/>
        <v>-2.1841831592231971E-2</v>
      </c>
      <c r="E2970" s="53">
        <v>-3.0571147993294079E-3</v>
      </c>
      <c r="G2970" s="90">
        <v>2962</v>
      </c>
      <c r="H2970" s="90">
        <f t="shared" ca="1" si="93"/>
        <v>-2.1785788317797362E-2</v>
      </c>
    </row>
    <row r="2971" spans="2:8" x14ac:dyDescent="0.3">
      <c r="B2971" s="58">
        <f>'DATA HISTORICAL'!$B3616</f>
        <v>41529</v>
      </c>
      <c r="C2971" s="60">
        <f>'DATA HISTORICAL'!$C3616</f>
        <v>1758.85</v>
      </c>
      <c r="D2971" s="53">
        <f t="shared" si="92"/>
        <v>1.3739232064463282E-2</v>
      </c>
      <c r="E2971" s="53">
        <v>-3.0576335768897384E-3</v>
      </c>
      <c r="G2971" s="90">
        <v>2963</v>
      </c>
      <c r="H2971" s="90">
        <f t="shared" ca="1" si="93"/>
        <v>2.7374741018089413E-2</v>
      </c>
    </row>
    <row r="2972" spans="2:8" x14ac:dyDescent="0.3">
      <c r="B2972" s="58">
        <f>'DATA HISTORICAL'!$B3617</f>
        <v>41528</v>
      </c>
      <c r="C2972" s="60">
        <f>'DATA HISTORICAL'!$C3617</f>
        <v>1734.85</v>
      </c>
      <c r="D2972" s="53">
        <f t="shared" si="92"/>
        <v>1.5890641867124685E-2</v>
      </c>
      <c r="E2972" s="53">
        <v>-3.0629618066083048E-3</v>
      </c>
      <c r="G2972" s="90">
        <v>2964</v>
      </c>
      <c r="H2972" s="90">
        <f t="shared" ca="1" si="93"/>
        <v>6.8214834821559928E-3</v>
      </c>
    </row>
    <row r="2973" spans="2:8" x14ac:dyDescent="0.3">
      <c r="B2973" s="58">
        <f>'DATA HISTORICAL'!$B3618</f>
        <v>41527</v>
      </c>
      <c r="C2973" s="60">
        <f>'DATA HISTORICAL'!$C3618</f>
        <v>1707.5</v>
      </c>
      <c r="D2973" s="53">
        <f t="shared" si="92"/>
        <v>6.437064845494235E-2</v>
      </c>
      <c r="E2973" s="53">
        <v>-3.0687558272624953E-3</v>
      </c>
      <c r="G2973" s="90">
        <v>2965</v>
      </c>
      <c r="H2973" s="90">
        <f t="shared" ca="1" si="93"/>
        <v>-1.4834872671897554E-2</v>
      </c>
    </row>
    <row r="2974" spans="2:8" x14ac:dyDescent="0.3">
      <c r="B2974" s="58">
        <f>'DATA HISTORICAL'!$B3619</f>
        <v>41523</v>
      </c>
      <c r="C2974" s="60">
        <f>'DATA HISTORICAL'!$C3619</f>
        <v>1601.05</v>
      </c>
      <c r="D2974" s="53">
        <f t="shared" si="92"/>
        <v>3.9266933889785728E-2</v>
      </c>
      <c r="E2974" s="53">
        <v>-3.069243573898664E-3</v>
      </c>
      <c r="G2974" s="90">
        <v>2966</v>
      </c>
      <c r="H2974" s="90">
        <f t="shared" ca="1" si="93"/>
        <v>-4.7871660148169444E-3</v>
      </c>
    </row>
    <row r="2975" spans="2:8" x14ac:dyDescent="0.3">
      <c r="B2975" s="58">
        <f>'DATA HISTORICAL'!$B3620</f>
        <v>41522</v>
      </c>
      <c r="C2975" s="60">
        <f>'DATA HISTORICAL'!$C3620</f>
        <v>1539.4</v>
      </c>
      <c r="D2975" s="53">
        <f t="shared" si="92"/>
        <v>3.3959793707179983E-2</v>
      </c>
      <c r="E2975" s="53">
        <v>-3.0703344362663196E-3</v>
      </c>
      <c r="G2975" s="90">
        <v>2967</v>
      </c>
      <c r="H2975" s="90">
        <f t="shared" ca="1" si="93"/>
        <v>5.393617624405404E-3</v>
      </c>
    </row>
    <row r="2976" spans="2:8" x14ac:dyDescent="0.3">
      <c r="B2976" s="58">
        <f>'DATA HISTORICAL'!$B3621</f>
        <v>41521</v>
      </c>
      <c r="C2976" s="60">
        <f>'DATA HISTORICAL'!$C3621</f>
        <v>1488</v>
      </c>
      <c r="D2976" s="53">
        <f t="shared" si="92"/>
        <v>2.9531248857701371E-2</v>
      </c>
      <c r="E2976" s="53">
        <v>-3.0881076003332216E-3</v>
      </c>
      <c r="G2976" s="90">
        <v>2968</v>
      </c>
      <c r="H2976" s="90">
        <f t="shared" ca="1" si="93"/>
        <v>-2.3450742770177349E-2</v>
      </c>
    </row>
    <row r="2977" spans="2:8" x14ac:dyDescent="0.3">
      <c r="B2977" s="58">
        <f>'DATA HISTORICAL'!$B3622</f>
        <v>41520</v>
      </c>
      <c r="C2977" s="60">
        <f>'DATA HISTORICAL'!$C3622</f>
        <v>1444.7</v>
      </c>
      <c r="D2977" s="53">
        <f t="shared" si="92"/>
        <v>-3.6496184594543096E-2</v>
      </c>
      <c r="E2977" s="53">
        <v>-3.0908482664367205E-3</v>
      </c>
      <c r="G2977" s="90">
        <v>2969</v>
      </c>
      <c r="H2977" s="90">
        <f t="shared" ca="1" si="93"/>
        <v>3.144210551169016E-2</v>
      </c>
    </row>
    <row r="2978" spans="2:8" x14ac:dyDescent="0.3">
      <c r="B2978" s="58">
        <f>'DATA HISTORICAL'!$B3623</f>
        <v>41519</v>
      </c>
      <c r="C2978" s="60">
        <f>'DATA HISTORICAL'!$C3623</f>
        <v>1498.4</v>
      </c>
      <c r="D2978" s="53">
        <f t="shared" si="92"/>
        <v>1.5841582442491439E-2</v>
      </c>
      <c r="E2978" s="53">
        <v>-3.0936789926082381E-3</v>
      </c>
      <c r="G2978" s="90">
        <v>2970</v>
      </c>
      <c r="H2978" s="90">
        <f t="shared" ca="1" si="93"/>
        <v>1.4913690189404839E-4</v>
      </c>
    </row>
    <row r="2979" spans="2:8" x14ac:dyDescent="0.3">
      <c r="B2979" s="58">
        <f>'DATA HISTORICAL'!$B3624</f>
        <v>41516</v>
      </c>
      <c r="C2979" s="60">
        <f>'DATA HISTORICAL'!$C3624</f>
        <v>1474.85</v>
      </c>
      <c r="D2979" s="53">
        <f t="shared" si="92"/>
        <v>1.8407526724653612E-2</v>
      </c>
      <c r="E2979" s="53">
        <v>-3.0960256312980417E-3</v>
      </c>
      <c r="G2979" s="90">
        <v>2971</v>
      </c>
      <c r="H2979" s="90">
        <f t="shared" ca="1" si="93"/>
        <v>-1.3347355977664704E-2</v>
      </c>
    </row>
    <row r="2980" spans="2:8" x14ac:dyDescent="0.3">
      <c r="B2980" s="58">
        <f>'DATA HISTORICAL'!$B3625</f>
        <v>41515</v>
      </c>
      <c r="C2980" s="60">
        <f>'DATA HISTORICAL'!$C3625</f>
        <v>1447.95</v>
      </c>
      <c r="D2980" s="53">
        <f t="shared" si="92"/>
        <v>-1.0818713527167364E-2</v>
      </c>
      <c r="E2980" s="53">
        <v>-3.0960681331051979E-3</v>
      </c>
      <c r="G2980" s="90">
        <v>2972</v>
      </c>
      <c r="H2980" s="90">
        <f t="shared" ca="1" si="93"/>
        <v>3.6604005927099101E-2</v>
      </c>
    </row>
    <row r="2981" spans="2:8" x14ac:dyDescent="0.3">
      <c r="B2981" s="58">
        <f>'DATA HISTORICAL'!$B3626</f>
        <v>41514</v>
      </c>
      <c r="C2981" s="60">
        <f>'DATA HISTORICAL'!$C3626</f>
        <v>1463.7</v>
      </c>
      <c r="D2981" s="53">
        <f t="shared" si="92"/>
        <v>-5.7738965380202088E-2</v>
      </c>
      <c r="E2981" s="53">
        <v>-3.0974776371577254E-3</v>
      </c>
      <c r="G2981" s="90">
        <v>2973</v>
      </c>
      <c r="H2981" s="90">
        <f t="shared" ca="1" si="93"/>
        <v>6.3935124351613762E-4</v>
      </c>
    </row>
    <row r="2982" spans="2:8" x14ac:dyDescent="0.3">
      <c r="B2982" s="58">
        <f>'DATA HISTORICAL'!$B3627</f>
        <v>41513</v>
      </c>
      <c r="C2982" s="60">
        <f>'DATA HISTORICAL'!$C3627</f>
        <v>1550.7</v>
      </c>
      <c r="D2982" s="53">
        <f t="shared" si="92"/>
        <v>-2.9044652304475525E-2</v>
      </c>
      <c r="E2982" s="53">
        <v>-3.1022965529241588E-3</v>
      </c>
      <c r="G2982" s="90">
        <v>2974</v>
      </c>
      <c r="H2982" s="90">
        <f t="shared" ca="1" si="93"/>
        <v>2.7739131214748441E-2</v>
      </c>
    </row>
    <row r="2983" spans="2:8" x14ac:dyDescent="0.3">
      <c r="B2983" s="58">
        <f>'DATA HISTORICAL'!$B3628</f>
        <v>41512</v>
      </c>
      <c r="C2983" s="60">
        <f>'DATA HISTORICAL'!$C3628</f>
        <v>1596.4</v>
      </c>
      <c r="D2983" s="53">
        <f t="shared" si="92"/>
        <v>9.8833072912290661E-3</v>
      </c>
      <c r="E2983" s="53">
        <v>-3.1156406269982027E-3</v>
      </c>
      <c r="G2983" s="90">
        <v>2975</v>
      </c>
      <c r="H2983" s="90">
        <f t="shared" ca="1" si="93"/>
        <v>1.7704199256182759E-2</v>
      </c>
    </row>
    <row r="2984" spans="2:8" x14ac:dyDescent="0.3">
      <c r="B2984" s="58">
        <f>'DATA HISTORICAL'!$B3629</f>
        <v>41509</v>
      </c>
      <c r="C2984" s="60">
        <f>'DATA HISTORICAL'!$C3629</f>
        <v>1580.7</v>
      </c>
      <c r="D2984" s="53">
        <f t="shared" si="92"/>
        <v>-3.3438569418403737E-2</v>
      </c>
      <c r="E2984" s="53">
        <v>-3.1195479675063011E-3</v>
      </c>
      <c r="G2984" s="90">
        <v>2976</v>
      </c>
      <c r="H2984" s="90">
        <f t="shared" ca="1" si="93"/>
        <v>1.7937358475826701E-2</v>
      </c>
    </row>
    <row r="2985" spans="2:8" x14ac:dyDescent="0.3">
      <c r="B2985" s="58">
        <f>'DATA HISTORICAL'!$B3630</f>
        <v>41508</v>
      </c>
      <c r="C2985" s="60">
        <f>'DATA HISTORICAL'!$C3630</f>
        <v>1634.45</v>
      </c>
      <c r="D2985" s="53">
        <f t="shared" si="92"/>
        <v>5.2448477002441712E-3</v>
      </c>
      <c r="E2985" s="53">
        <v>-3.1323159213876568E-3</v>
      </c>
      <c r="G2985" s="90">
        <v>2977</v>
      </c>
      <c r="H2985" s="90">
        <f t="shared" ca="1" si="93"/>
        <v>-8.2985835321900091E-3</v>
      </c>
    </row>
    <row r="2986" spans="2:8" x14ac:dyDescent="0.3">
      <c r="B2986" s="58">
        <f>'DATA HISTORICAL'!$B3631</f>
        <v>41507</v>
      </c>
      <c r="C2986" s="60">
        <f>'DATA HISTORICAL'!$C3631</f>
        <v>1625.9</v>
      </c>
      <c r="D2986" s="53">
        <f t="shared" si="92"/>
        <v>-1.2954657187120569E-2</v>
      </c>
      <c r="E2986" s="53">
        <v>-3.1347988053713918E-3</v>
      </c>
      <c r="G2986" s="90">
        <v>2978</v>
      </c>
      <c r="H2986" s="90">
        <f t="shared" ca="1" si="93"/>
        <v>3.1344402663342902E-2</v>
      </c>
    </row>
    <row r="2987" spans="2:8" x14ac:dyDescent="0.3">
      <c r="B2987" s="58">
        <f>'DATA HISTORICAL'!$B3632</f>
        <v>41506</v>
      </c>
      <c r="C2987" s="60">
        <f>'DATA HISTORICAL'!$C3632</f>
        <v>1647.1</v>
      </c>
      <c r="D2987" s="53">
        <f t="shared" si="92"/>
        <v>-4.5733402948704037E-3</v>
      </c>
      <c r="E2987" s="53">
        <v>-3.1451994552378405E-3</v>
      </c>
      <c r="G2987" s="90">
        <v>2979</v>
      </c>
      <c r="H2987" s="90">
        <f t="shared" ca="1" si="93"/>
        <v>2.5160688759733787E-2</v>
      </c>
    </row>
    <row r="2988" spans="2:8" x14ac:dyDescent="0.3">
      <c r="B2988" s="58">
        <f>'DATA HISTORICAL'!$B3633</f>
        <v>41505</v>
      </c>
      <c r="C2988" s="60">
        <f>'DATA HISTORICAL'!$C3633</f>
        <v>1654.65</v>
      </c>
      <c r="D2988" s="53">
        <f t="shared" si="92"/>
        <v>-1.7582409718771539E-2</v>
      </c>
      <c r="E2988" s="53">
        <v>-3.1475393265765392E-3</v>
      </c>
      <c r="G2988" s="90">
        <v>2980</v>
      </c>
      <c r="H2988" s="90">
        <f t="shared" ca="1" si="93"/>
        <v>-1.6453139680335377E-2</v>
      </c>
    </row>
    <row r="2989" spans="2:8" x14ac:dyDescent="0.3">
      <c r="B2989" s="58">
        <f>'DATA HISTORICAL'!$B3634</f>
        <v>41502</v>
      </c>
      <c r="C2989" s="60">
        <f>'DATA HISTORICAL'!$C3634</f>
        <v>1684</v>
      </c>
      <c r="D2989" s="53">
        <f t="shared" si="92"/>
        <v>-2.5648068169231632E-2</v>
      </c>
      <c r="E2989" s="53">
        <v>-3.1659858312769159E-3</v>
      </c>
      <c r="G2989" s="90">
        <v>2981</v>
      </c>
      <c r="H2989" s="90">
        <f t="shared" ca="1" si="93"/>
        <v>7.4020711347148067E-3</v>
      </c>
    </row>
    <row r="2990" spans="2:8" x14ac:dyDescent="0.3">
      <c r="B2990" s="58">
        <f>'DATA HISTORICAL'!$B3635</f>
        <v>41500</v>
      </c>
      <c r="C2990" s="60">
        <f>'DATA HISTORICAL'!$C3635</f>
        <v>1727.75</v>
      </c>
      <c r="D2990" s="53">
        <f t="shared" si="92"/>
        <v>1.8724349058421973E-2</v>
      </c>
      <c r="E2990" s="53">
        <v>-3.182338459829126E-3</v>
      </c>
      <c r="G2990" s="90">
        <v>2982</v>
      </c>
      <c r="H2990" s="90">
        <f t="shared" ca="1" si="93"/>
        <v>1.4132220787964767E-2</v>
      </c>
    </row>
    <row r="2991" spans="2:8" x14ac:dyDescent="0.3">
      <c r="B2991" s="58">
        <f>'DATA HISTORICAL'!$B3636</f>
        <v>41499</v>
      </c>
      <c r="C2991" s="60">
        <f>'DATA HISTORICAL'!$C3636</f>
        <v>1695.7</v>
      </c>
      <c r="D2991" s="53">
        <f t="shared" si="92"/>
        <v>4.0478109958325438E-3</v>
      </c>
      <c r="E2991" s="53">
        <v>-3.1825200574000173E-3</v>
      </c>
      <c r="G2991" s="90">
        <v>2983</v>
      </c>
      <c r="H2991" s="90">
        <f t="shared" ca="1" si="93"/>
        <v>2.0348826585262405E-2</v>
      </c>
    </row>
    <row r="2992" spans="2:8" x14ac:dyDescent="0.3">
      <c r="B2992" s="58">
        <f>'DATA HISTORICAL'!$B3637</f>
        <v>41498</v>
      </c>
      <c r="C2992" s="60">
        <f>'DATA HISTORICAL'!$C3637</f>
        <v>1688.85</v>
      </c>
      <c r="D2992" s="53">
        <f t="shared" si="92"/>
        <v>1.0117026215707082E-2</v>
      </c>
      <c r="E2992" s="53">
        <v>-3.1921381927267076E-3</v>
      </c>
      <c r="G2992" s="90">
        <v>2984</v>
      </c>
      <c r="H2992" s="90">
        <f t="shared" ca="1" si="93"/>
        <v>1.5836081482847035E-2</v>
      </c>
    </row>
    <row r="2993" spans="2:8" x14ac:dyDescent="0.3">
      <c r="B2993" s="58">
        <f>'DATA HISTORICAL'!$B3638</f>
        <v>41494</v>
      </c>
      <c r="C2993" s="60">
        <f>'DATA HISTORICAL'!$C3638</f>
        <v>1671.85</v>
      </c>
      <c r="D2993" s="53">
        <f t="shared" si="92"/>
        <v>1.7650445395450159E-2</v>
      </c>
      <c r="E2993" s="53">
        <v>-3.2237268664214447E-3</v>
      </c>
      <c r="G2993" s="90">
        <v>2985</v>
      </c>
      <c r="H2993" s="90">
        <f t="shared" ca="1" si="93"/>
        <v>3.2571551386952377E-2</v>
      </c>
    </row>
    <row r="2994" spans="2:8" x14ac:dyDescent="0.3">
      <c r="B2994" s="58">
        <f>'DATA HISTORICAL'!$B3639</f>
        <v>41493</v>
      </c>
      <c r="C2994" s="60">
        <f>'DATA HISTORICAL'!$C3639</f>
        <v>1642.6</v>
      </c>
      <c r="D2994" s="53">
        <f t="shared" si="92"/>
        <v>-1.690249101571404E-2</v>
      </c>
      <c r="E2994" s="53">
        <v>-3.2273340590826378E-3</v>
      </c>
      <c r="G2994" s="90">
        <v>2986</v>
      </c>
      <c r="H2994" s="90">
        <f t="shared" ca="1" si="93"/>
        <v>7.0767231567145945E-3</v>
      </c>
    </row>
    <row r="2995" spans="2:8" x14ac:dyDescent="0.3">
      <c r="B2995" s="58">
        <f>'DATA HISTORICAL'!$B3640</f>
        <v>41492</v>
      </c>
      <c r="C2995" s="60">
        <f>'DATA HISTORICAL'!$C3640</f>
        <v>1670.6</v>
      </c>
      <c r="D2995" s="53">
        <f t="shared" si="92"/>
        <v>-5.9715764624100783E-2</v>
      </c>
      <c r="E2995" s="53">
        <v>-3.2320515010743189E-3</v>
      </c>
      <c r="G2995" s="90">
        <v>2987</v>
      </c>
      <c r="H2995" s="90">
        <f t="shared" ca="1" si="93"/>
        <v>-3.2080039385790293E-2</v>
      </c>
    </row>
    <row r="2996" spans="2:8" x14ac:dyDescent="0.3">
      <c r="B2996" s="58">
        <f>'DATA HISTORICAL'!$B3641</f>
        <v>41491</v>
      </c>
      <c r="C2996" s="60">
        <f>'DATA HISTORICAL'!$C3641</f>
        <v>1773.4</v>
      </c>
      <c r="D2996" s="53">
        <f t="shared" si="92"/>
        <v>-3.2371141974877941E-3</v>
      </c>
      <c r="E2996" s="53">
        <v>-3.2369655331751256E-3</v>
      </c>
      <c r="G2996" s="90">
        <v>2988</v>
      </c>
      <c r="H2996" s="90">
        <f t="shared" ca="1" si="93"/>
        <v>-7.0887510511395109E-3</v>
      </c>
    </row>
    <row r="2997" spans="2:8" x14ac:dyDescent="0.3">
      <c r="B2997" s="58">
        <f>'DATA HISTORICAL'!$B3642</f>
        <v>41488</v>
      </c>
      <c r="C2997" s="60">
        <f>'DATA HISTORICAL'!$C3642</f>
        <v>1779.15</v>
      </c>
      <c r="D2997" s="53">
        <f t="shared" si="92"/>
        <v>-2.1573770465547037E-2</v>
      </c>
      <c r="E2997" s="53">
        <v>-3.2385214297940773E-3</v>
      </c>
      <c r="G2997" s="90">
        <v>2989</v>
      </c>
      <c r="H2997" s="90">
        <f t="shared" ca="1" si="93"/>
        <v>8.4080402561583587E-3</v>
      </c>
    </row>
    <row r="2998" spans="2:8" x14ac:dyDescent="0.3">
      <c r="B2998" s="58">
        <f>'DATA HISTORICAL'!$B3643</f>
        <v>41487</v>
      </c>
      <c r="C2998" s="60">
        <f>'DATA HISTORICAL'!$C3643</f>
        <v>1817.95</v>
      </c>
      <c r="D2998" s="53">
        <f t="shared" si="92"/>
        <v>-1.0233767418572879E-2</v>
      </c>
      <c r="E2998" s="53">
        <v>-3.2396253769883619E-3</v>
      </c>
      <c r="G2998" s="90">
        <v>2990</v>
      </c>
      <c r="H2998" s="90">
        <f t="shared" ca="1" si="93"/>
        <v>3.5898571154321284E-3</v>
      </c>
    </row>
    <row r="2999" spans="2:8" x14ac:dyDescent="0.3">
      <c r="B2999" s="58">
        <f>'DATA HISTORICAL'!$B3644</f>
        <v>41486</v>
      </c>
      <c r="C2999" s="60">
        <f>'DATA HISTORICAL'!$C3644</f>
        <v>1836.65</v>
      </c>
      <c r="D2999" s="53">
        <f t="shared" si="92"/>
        <v>-1.8930562083280075E-2</v>
      </c>
      <c r="E2999" s="53">
        <v>-3.2426101270275043E-3</v>
      </c>
      <c r="G2999" s="90">
        <v>2991</v>
      </c>
      <c r="H2999" s="90">
        <f t="shared" ca="1" si="93"/>
        <v>6.0072712678437747E-3</v>
      </c>
    </row>
    <row r="3000" spans="2:8" x14ac:dyDescent="0.3">
      <c r="B3000" s="58">
        <f>'DATA HISTORICAL'!$B3645</f>
        <v>41485</v>
      </c>
      <c r="C3000" s="60">
        <f>'DATA HISTORICAL'!$C3645</f>
        <v>1871.75</v>
      </c>
      <c r="D3000" s="53">
        <f t="shared" si="92"/>
        <v>-4.7170527321818484E-3</v>
      </c>
      <c r="E3000" s="53">
        <v>-3.2916523345130773E-3</v>
      </c>
      <c r="G3000" s="90">
        <v>2992</v>
      </c>
      <c r="H3000" s="90">
        <f t="shared" ca="1" si="93"/>
        <v>2.0430189133179222E-2</v>
      </c>
    </row>
    <row r="3001" spans="2:8" x14ac:dyDescent="0.3">
      <c r="B3001" s="58">
        <f>'DATA HISTORICAL'!$B3646</f>
        <v>41484</v>
      </c>
      <c r="C3001" s="60">
        <f>'DATA HISTORICAL'!$C3646</f>
        <v>1880.6</v>
      </c>
      <c r="D3001" s="53">
        <f t="shared" si="92"/>
        <v>8.3566317759202809E-3</v>
      </c>
      <c r="E3001" s="53">
        <v>-3.3070852146884402E-3</v>
      </c>
      <c r="G3001" s="90">
        <v>2993</v>
      </c>
      <c r="H3001" s="90">
        <f t="shared" ca="1" si="93"/>
        <v>1.7293188235492134E-2</v>
      </c>
    </row>
    <row r="3002" spans="2:8" x14ac:dyDescent="0.3">
      <c r="B3002" s="58">
        <f>'DATA HISTORICAL'!$B3647</f>
        <v>41481</v>
      </c>
      <c r="C3002" s="60">
        <f>'DATA HISTORICAL'!$C3647</f>
        <v>1864.95</v>
      </c>
      <c r="D3002" s="53">
        <f t="shared" si="92"/>
        <v>5.8078730651144926E-3</v>
      </c>
      <c r="E3002" s="53">
        <v>-3.3233348957726421E-3</v>
      </c>
      <c r="G3002" s="90">
        <v>2994</v>
      </c>
      <c r="H3002" s="90">
        <f t="shared" ca="1" si="93"/>
        <v>1.0182724505920133E-2</v>
      </c>
    </row>
    <row r="3003" spans="2:8" x14ac:dyDescent="0.3">
      <c r="B3003" s="58">
        <f>'DATA HISTORICAL'!$B3648</f>
        <v>41480</v>
      </c>
      <c r="C3003" s="60">
        <f>'DATA HISTORICAL'!$C3648</f>
        <v>1854.15</v>
      </c>
      <c r="D3003" s="53">
        <f t="shared" si="92"/>
        <v>-3.4273620625966922E-2</v>
      </c>
      <c r="E3003" s="53">
        <v>-3.327790092674691E-3</v>
      </c>
      <c r="G3003" s="90">
        <v>2995</v>
      </c>
      <c r="H3003" s="90">
        <f t="shared" ca="1" si="93"/>
        <v>-1.6055483526286385E-2</v>
      </c>
    </row>
    <row r="3004" spans="2:8" x14ac:dyDescent="0.3">
      <c r="B3004" s="58">
        <f>'DATA HISTORICAL'!$B3649</f>
        <v>41479</v>
      </c>
      <c r="C3004" s="60">
        <f>'DATA HISTORICAL'!$C3649</f>
        <v>1918.8</v>
      </c>
      <c r="D3004" s="53">
        <f t="shared" si="92"/>
        <v>4.2564923448288015E-3</v>
      </c>
      <c r="E3004" s="53">
        <v>-3.3419444745176E-3</v>
      </c>
      <c r="G3004" s="90">
        <v>2996</v>
      </c>
      <c r="H3004" s="90">
        <f t="shared" ca="1" si="93"/>
        <v>-1.6135088930687588E-2</v>
      </c>
    </row>
    <row r="3005" spans="2:8" x14ac:dyDescent="0.3">
      <c r="B3005" s="58">
        <f>'DATA HISTORICAL'!$B3650</f>
        <v>41478</v>
      </c>
      <c r="C3005" s="60">
        <f>'DATA HISTORICAL'!$C3650</f>
        <v>1910.65</v>
      </c>
      <c r="D3005" s="53">
        <f t="shared" si="92"/>
        <v>-4.6733327010104967E-3</v>
      </c>
      <c r="E3005" s="53">
        <v>-3.3589580340097824E-3</v>
      </c>
      <c r="G3005" s="90">
        <v>2997</v>
      </c>
      <c r="H3005" s="90">
        <f t="shared" ca="1" si="93"/>
        <v>3.8663858364099191E-2</v>
      </c>
    </row>
    <row r="3006" spans="2:8" x14ac:dyDescent="0.3">
      <c r="B3006" s="58">
        <f>'DATA HISTORICAL'!$B3651</f>
        <v>41477</v>
      </c>
      <c r="C3006" s="60">
        <f>'DATA HISTORICAL'!$C3651</f>
        <v>1919.6</v>
      </c>
      <c r="D3006" s="53">
        <f t="shared" si="92"/>
        <v>-5.5326972048347824E-3</v>
      </c>
      <c r="E3006" s="53">
        <v>-3.3633559021833148E-3</v>
      </c>
      <c r="G3006" s="90">
        <v>2998</v>
      </c>
      <c r="H3006" s="90">
        <f t="shared" ca="1" si="93"/>
        <v>1.6117815057898756E-2</v>
      </c>
    </row>
    <row r="3007" spans="2:8" x14ac:dyDescent="0.3">
      <c r="B3007" s="58">
        <f>'DATA HISTORICAL'!$B3652</f>
        <v>41474</v>
      </c>
      <c r="C3007" s="60">
        <f>'DATA HISTORICAL'!$C3652</f>
        <v>1930.25</v>
      </c>
      <c r="D3007" s="53">
        <f t="shared" si="92"/>
        <v>3.0612798254663568E-3</v>
      </c>
      <c r="E3007" s="53">
        <v>-3.3920367288869774E-3</v>
      </c>
      <c r="G3007" s="90">
        <v>2999</v>
      </c>
      <c r="H3007" s="90">
        <f t="shared" ca="1" si="93"/>
        <v>-1.9279247172916434E-2</v>
      </c>
    </row>
    <row r="3008" spans="2:8" x14ac:dyDescent="0.3">
      <c r="B3008" s="58">
        <f>'DATA HISTORICAL'!$B3653</f>
        <v>41473</v>
      </c>
      <c r="C3008" s="60">
        <f>'DATA HISTORICAL'!$C3653</f>
        <v>1924.35</v>
      </c>
      <c r="D3008" s="53">
        <f t="shared" si="92"/>
        <v>-8.1770412925386473E-3</v>
      </c>
      <c r="E3008" s="53">
        <v>-3.3987250567140432E-3</v>
      </c>
      <c r="G3008" s="90">
        <v>3000</v>
      </c>
      <c r="H3008" s="90">
        <f t="shared" ca="1" si="93"/>
        <v>8.2237013738485493E-3</v>
      </c>
    </row>
    <row r="3009" spans="2:8" x14ac:dyDescent="0.3">
      <c r="B3009" s="58">
        <f>'DATA HISTORICAL'!$B3654</f>
        <v>41472</v>
      </c>
      <c r="C3009" s="60">
        <f>'DATA HISTORICAL'!$C3654</f>
        <v>1940.15</v>
      </c>
      <c r="D3009" s="53">
        <f t="shared" si="92"/>
        <v>3.4334576086456816E-3</v>
      </c>
      <c r="E3009" s="53">
        <v>-3.4262153375626482E-3</v>
      </c>
      <c r="G3009" s="90">
        <v>3001</v>
      </c>
      <c r="H3009" s="90">
        <f t="shared" ca="1" si="93"/>
        <v>3.6334821280441458E-2</v>
      </c>
    </row>
    <row r="3010" spans="2:8" x14ac:dyDescent="0.3">
      <c r="B3010" s="58">
        <f>'DATA HISTORICAL'!$B3655</f>
        <v>41471</v>
      </c>
      <c r="C3010" s="60">
        <f>'DATA HISTORICAL'!$C3655</f>
        <v>1933.5</v>
      </c>
      <c r="D3010" s="53">
        <f t="shared" si="92"/>
        <v>-4.2062949906126476E-3</v>
      </c>
      <c r="E3010" s="53">
        <v>-3.4282949258194616E-3</v>
      </c>
      <c r="G3010" s="90">
        <v>3002</v>
      </c>
      <c r="H3010" s="90">
        <f t="shared" ca="1" si="93"/>
        <v>4.1013291167122838E-3</v>
      </c>
    </row>
    <row r="3011" spans="2:8" x14ac:dyDescent="0.3">
      <c r="B3011" s="58">
        <f>'DATA HISTORICAL'!$B3656</f>
        <v>41470</v>
      </c>
      <c r="C3011" s="60">
        <f>'DATA HISTORICAL'!$C3656</f>
        <v>1941.65</v>
      </c>
      <c r="D3011" s="53">
        <f t="shared" si="92"/>
        <v>1.0048051137184551E-3</v>
      </c>
      <c r="E3011" s="53">
        <v>-3.4290262513082346E-3</v>
      </c>
      <c r="G3011" s="90">
        <v>3003</v>
      </c>
      <c r="H3011" s="90">
        <f t="shared" ca="1" si="93"/>
        <v>1.1027957017906279E-2</v>
      </c>
    </row>
    <row r="3012" spans="2:8" x14ac:dyDescent="0.3">
      <c r="B3012" s="58">
        <f>'DATA HISTORICAL'!$B3657</f>
        <v>41467</v>
      </c>
      <c r="C3012" s="60">
        <f>'DATA HISTORICAL'!$C3657</f>
        <v>1939.7</v>
      </c>
      <c r="D3012" s="53">
        <f t="shared" si="92"/>
        <v>-2.0639277470632274E-2</v>
      </c>
      <c r="E3012" s="53">
        <v>-3.4344963442105463E-3</v>
      </c>
      <c r="G3012" s="90">
        <v>3004</v>
      </c>
      <c r="H3012" s="90">
        <f t="shared" ca="1" si="93"/>
        <v>-6.4537519706592628E-3</v>
      </c>
    </row>
    <row r="3013" spans="2:8" x14ac:dyDescent="0.3">
      <c r="B3013" s="58">
        <f>'DATA HISTORICAL'!$B3658</f>
        <v>41466</v>
      </c>
      <c r="C3013" s="60">
        <f>'DATA HISTORICAL'!$C3658</f>
        <v>1980.15</v>
      </c>
      <c r="D3013" s="53">
        <f t="shared" si="92"/>
        <v>1.3703546207373091E-2</v>
      </c>
      <c r="E3013" s="53">
        <v>-3.4361146191876023E-3</v>
      </c>
      <c r="G3013" s="90">
        <v>3005</v>
      </c>
      <c r="H3013" s="90">
        <f t="shared" ca="1" si="93"/>
        <v>2.9680535733971756E-2</v>
      </c>
    </row>
    <row r="3014" spans="2:8" x14ac:dyDescent="0.3">
      <c r="B3014" s="58">
        <f>'DATA HISTORICAL'!$B3659</f>
        <v>41465</v>
      </c>
      <c r="C3014" s="60">
        <f>'DATA HISTORICAL'!$C3659</f>
        <v>1953.2</v>
      </c>
      <c r="D3014" s="53">
        <f t="shared" si="92"/>
        <v>1.181952499858E-2</v>
      </c>
      <c r="E3014" s="53">
        <v>-3.452765031599509E-3</v>
      </c>
      <c r="G3014" s="90">
        <v>3006</v>
      </c>
      <c r="H3014" s="90">
        <f t="shared" ca="1" si="93"/>
        <v>-1.281093416160441E-2</v>
      </c>
    </row>
    <row r="3015" spans="2:8" x14ac:dyDescent="0.3">
      <c r="B3015" s="58">
        <f>'DATA HISTORICAL'!$B3660</f>
        <v>41464</v>
      </c>
      <c r="C3015" s="60">
        <f>'DATA HISTORICAL'!$C3660</f>
        <v>1930.25</v>
      </c>
      <c r="D3015" s="53">
        <f t="shared" si="92"/>
        <v>2.210497778330156E-2</v>
      </c>
      <c r="E3015" s="53">
        <v>-3.4541709777010363E-3</v>
      </c>
      <c r="G3015" s="90">
        <v>3007</v>
      </c>
      <c r="H3015" s="90">
        <f t="shared" ca="1" si="93"/>
        <v>2.1801636165393795E-2</v>
      </c>
    </row>
    <row r="3016" spans="2:8" x14ac:dyDescent="0.3">
      <c r="B3016" s="58">
        <f>'DATA HISTORICAL'!$B3661</f>
        <v>41463</v>
      </c>
      <c r="C3016" s="60">
        <f>'DATA HISTORICAL'!$C3661</f>
        <v>1888.05</v>
      </c>
      <c r="D3016" s="53">
        <f t="shared" si="92"/>
        <v>-2.0030557228701892E-2</v>
      </c>
      <c r="E3016" s="53">
        <v>-3.4547186554459422E-3</v>
      </c>
      <c r="G3016" s="90">
        <v>3008</v>
      </c>
      <c r="H3016" s="90">
        <f t="shared" ca="1" si="93"/>
        <v>-8.8927397826636286E-3</v>
      </c>
    </row>
    <row r="3017" spans="2:8" x14ac:dyDescent="0.3">
      <c r="B3017" s="58">
        <f>'DATA HISTORICAL'!$B3662</f>
        <v>41460</v>
      </c>
      <c r="C3017" s="60">
        <f>'DATA HISTORICAL'!$C3662</f>
        <v>1926.25</v>
      </c>
      <c r="D3017" s="53">
        <f t="shared" ref="D3017:D3080" si="94">LN(C3017/C3018)</f>
        <v>1.0043781033906513E-2</v>
      </c>
      <c r="E3017" s="53">
        <v>-3.478786685044216E-3</v>
      </c>
      <c r="G3017" s="90">
        <v>3009</v>
      </c>
      <c r="H3017" s="90">
        <f t="shared" ref="H3017:H3080" ca="1" si="95">_xlfn.NORM.INV(RAND(),N$10,N$11)</f>
        <v>-8.2315795840666416E-3</v>
      </c>
    </row>
    <row r="3018" spans="2:8" x14ac:dyDescent="0.3">
      <c r="B3018" s="58">
        <f>'DATA HISTORICAL'!$B3663</f>
        <v>41459</v>
      </c>
      <c r="C3018" s="60">
        <f>'DATA HISTORICAL'!$C3663</f>
        <v>1907</v>
      </c>
      <c r="D3018" s="53">
        <f t="shared" si="94"/>
        <v>-1.0482181253285274E-3</v>
      </c>
      <c r="E3018" s="53">
        <v>-3.4935997013673652E-3</v>
      </c>
      <c r="G3018" s="90">
        <v>3010</v>
      </c>
      <c r="H3018" s="90">
        <f t="shared" ca="1" si="95"/>
        <v>1.6403518293189607E-2</v>
      </c>
    </row>
    <row r="3019" spans="2:8" x14ac:dyDescent="0.3">
      <c r="B3019" s="58">
        <f>'DATA HISTORICAL'!$B3664</f>
        <v>41458</v>
      </c>
      <c r="C3019" s="60">
        <f>'DATA HISTORICAL'!$C3664</f>
        <v>1909</v>
      </c>
      <c r="D3019" s="53">
        <f t="shared" si="94"/>
        <v>-7.4109206151408771E-3</v>
      </c>
      <c r="E3019" s="53">
        <v>-3.4940900020613598E-3</v>
      </c>
      <c r="G3019" s="90">
        <v>3011</v>
      </c>
      <c r="H3019" s="90">
        <f t="shared" ca="1" si="95"/>
        <v>-2.3178165606581827E-2</v>
      </c>
    </row>
    <row r="3020" spans="2:8" x14ac:dyDescent="0.3">
      <c r="B3020" s="58">
        <f>'DATA HISTORICAL'!$B3665</f>
        <v>41457</v>
      </c>
      <c r="C3020" s="60">
        <f>'DATA HISTORICAL'!$C3665</f>
        <v>1923.2</v>
      </c>
      <c r="D3020" s="53">
        <f t="shared" si="94"/>
        <v>-4.7205378800662797E-3</v>
      </c>
      <c r="E3020" s="53">
        <v>-3.4943579537674357E-3</v>
      </c>
      <c r="G3020" s="90">
        <v>3012</v>
      </c>
      <c r="H3020" s="90">
        <f t="shared" ca="1" si="95"/>
        <v>1.0345859763843491E-2</v>
      </c>
    </row>
    <row r="3021" spans="2:8" x14ac:dyDescent="0.3">
      <c r="B3021" s="58">
        <f>'DATA HISTORICAL'!$B3666</f>
        <v>41456</v>
      </c>
      <c r="C3021" s="60">
        <f>'DATA HISTORICAL'!$C3666</f>
        <v>1932.3</v>
      </c>
      <c r="D3021" s="53">
        <f t="shared" si="94"/>
        <v>2.9036245634445814E-2</v>
      </c>
      <c r="E3021" s="53">
        <v>-3.4948814770059465E-3</v>
      </c>
      <c r="G3021" s="90">
        <v>3013</v>
      </c>
      <c r="H3021" s="90">
        <f t="shared" ca="1" si="95"/>
        <v>1.4824133832445262E-2</v>
      </c>
    </row>
    <row r="3022" spans="2:8" x14ac:dyDescent="0.3">
      <c r="B3022" s="58">
        <f>'DATA HISTORICAL'!$B3667</f>
        <v>41453</v>
      </c>
      <c r="C3022" s="60">
        <f>'DATA HISTORICAL'!$C3667</f>
        <v>1877</v>
      </c>
      <c r="D3022" s="53">
        <f t="shared" si="94"/>
        <v>-3.1960795030493719E-4</v>
      </c>
      <c r="E3022" s="53">
        <v>-3.5026305512021118E-3</v>
      </c>
      <c r="G3022" s="90">
        <v>3014</v>
      </c>
      <c r="H3022" s="90">
        <f t="shared" ca="1" si="95"/>
        <v>7.6199579104841812E-3</v>
      </c>
    </row>
    <row r="3023" spans="2:8" x14ac:dyDescent="0.3">
      <c r="B3023" s="58">
        <f>'DATA HISTORICAL'!$B3668</f>
        <v>41452</v>
      </c>
      <c r="C3023" s="60">
        <f>'DATA HISTORICAL'!$C3668</f>
        <v>1877.6</v>
      </c>
      <c r="D3023" s="53">
        <f t="shared" si="94"/>
        <v>5.5827812478022758E-2</v>
      </c>
      <c r="E3023" s="53">
        <v>-3.5028605994350628E-3</v>
      </c>
      <c r="G3023" s="90">
        <v>3015</v>
      </c>
      <c r="H3023" s="90">
        <f t="shared" ca="1" si="95"/>
        <v>7.022501709821779E-3</v>
      </c>
    </row>
    <row r="3024" spans="2:8" x14ac:dyDescent="0.3">
      <c r="B3024" s="58">
        <f>'DATA HISTORICAL'!$B3669</f>
        <v>41451</v>
      </c>
      <c r="C3024" s="60">
        <f>'DATA HISTORICAL'!$C3669</f>
        <v>1775.65</v>
      </c>
      <c r="D3024" s="53">
        <f t="shared" si="94"/>
        <v>-5.9518971852862172E-3</v>
      </c>
      <c r="E3024" s="53">
        <v>-3.5045946012303326E-3</v>
      </c>
      <c r="G3024" s="90">
        <v>3016</v>
      </c>
      <c r="H3024" s="90">
        <f t="shared" ca="1" si="95"/>
        <v>1.1576773146636748E-2</v>
      </c>
    </row>
    <row r="3025" spans="2:8" x14ac:dyDescent="0.3">
      <c r="B3025" s="58">
        <f>'DATA HISTORICAL'!$B3670</f>
        <v>41450</v>
      </c>
      <c r="C3025" s="60">
        <f>'DATA HISTORICAL'!$C3670</f>
        <v>1786.25</v>
      </c>
      <c r="D3025" s="53">
        <f t="shared" si="94"/>
        <v>2.550485554153012E-3</v>
      </c>
      <c r="E3025" s="53">
        <v>-3.5066036755176367E-3</v>
      </c>
      <c r="G3025" s="90">
        <v>3017</v>
      </c>
      <c r="H3025" s="90">
        <f t="shared" ca="1" si="95"/>
        <v>3.9632842960870777E-3</v>
      </c>
    </row>
    <row r="3026" spans="2:8" x14ac:dyDescent="0.3">
      <c r="B3026" s="58">
        <f>'DATA HISTORICAL'!$B3671</f>
        <v>41449</v>
      </c>
      <c r="C3026" s="60">
        <f>'DATA HISTORICAL'!$C3671</f>
        <v>1781.7</v>
      </c>
      <c r="D3026" s="53">
        <f t="shared" si="94"/>
        <v>-1.749769943953108E-2</v>
      </c>
      <c r="E3026" s="53">
        <v>-3.5131334926317387E-3</v>
      </c>
      <c r="G3026" s="90">
        <v>3018</v>
      </c>
      <c r="H3026" s="90">
        <f t="shared" ca="1" si="95"/>
        <v>3.6032698914661529E-2</v>
      </c>
    </row>
    <row r="3027" spans="2:8" x14ac:dyDescent="0.3">
      <c r="B3027" s="58">
        <f>'DATA HISTORICAL'!$B3672</f>
        <v>41446</v>
      </c>
      <c r="C3027" s="60">
        <f>'DATA HISTORICAL'!$C3672</f>
        <v>1813.15</v>
      </c>
      <c r="D3027" s="53">
        <f t="shared" si="94"/>
        <v>-2.1211252667158956E-3</v>
      </c>
      <c r="E3027" s="53">
        <v>-3.5218226406498643E-3</v>
      </c>
      <c r="G3027" s="90">
        <v>3019</v>
      </c>
      <c r="H3027" s="90">
        <f t="shared" ca="1" si="95"/>
        <v>2.0710674993486659E-2</v>
      </c>
    </row>
    <row r="3028" spans="2:8" x14ac:dyDescent="0.3">
      <c r="B3028" s="58">
        <f>'DATA HISTORICAL'!$B3673</f>
        <v>41445</v>
      </c>
      <c r="C3028" s="60">
        <f>'DATA HISTORICAL'!$C3673</f>
        <v>1817</v>
      </c>
      <c r="D3028" s="53">
        <f t="shared" si="94"/>
        <v>-1.143682607525727E-2</v>
      </c>
      <c r="E3028" s="53">
        <v>-3.5254634578950703E-3</v>
      </c>
      <c r="G3028" s="90">
        <v>3020</v>
      </c>
      <c r="H3028" s="90">
        <f t="shared" ca="1" si="95"/>
        <v>3.9909949298792394E-2</v>
      </c>
    </row>
    <row r="3029" spans="2:8" x14ac:dyDescent="0.3">
      <c r="B3029" s="58">
        <f>'DATA HISTORICAL'!$B3674</f>
        <v>41444</v>
      </c>
      <c r="C3029" s="60">
        <f>'DATA HISTORICAL'!$C3674</f>
        <v>1837.9</v>
      </c>
      <c r="D3029" s="53">
        <f t="shared" si="94"/>
        <v>-1.5119894931774945E-2</v>
      </c>
      <c r="E3029" s="53">
        <v>-3.5404794497486671E-3</v>
      </c>
      <c r="G3029" s="90">
        <v>3021</v>
      </c>
      <c r="H3029" s="90">
        <f t="shared" ca="1" si="95"/>
        <v>8.1882317604273017E-3</v>
      </c>
    </row>
    <row r="3030" spans="2:8" x14ac:dyDescent="0.3">
      <c r="B3030" s="58">
        <f>'DATA HISTORICAL'!$B3675</f>
        <v>41443</v>
      </c>
      <c r="C3030" s="60">
        <f>'DATA HISTORICAL'!$C3675</f>
        <v>1865.9</v>
      </c>
      <c r="D3030" s="53">
        <f t="shared" si="94"/>
        <v>-2.4013967840068665E-2</v>
      </c>
      <c r="E3030" s="53">
        <v>-3.5419794571957186E-3</v>
      </c>
      <c r="G3030" s="90">
        <v>3022</v>
      </c>
      <c r="H3030" s="90">
        <f t="shared" ca="1" si="95"/>
        <v>-1.430136352566019E-2</v>
      </c>
    </row>
    <row r="3031" spans="2:8" x14ac:dyDescent="0.3">
      <c r="B3031" s="58">
        <f>'DATA HISTORICAL'!$B3676</f>
        <v>41442</v>
      </c>
      <c r="C3031" s="60">
        <f>'DATA HISTORICAL'!$C3676</f>
        <v>1911.25</v>
      </c>
      <c r="D3031" s="53">
        <f t="shared" si="94"/>
        <v>1.9682294444904616E-2</v>
      </c>
      <c r="E3031" s="53">
        <v>-3.5447936092043472E-3</v>
      </c>
      <c r="G3031" s="90">
        <v>3023</v>
      </c>
      <c r="H3031" s="90">
        <f t="shared" ca="1" si="95"/>
        <v>4.0695817367538099E-2</v>
      </c>
    </row>
    <row r="3032" spans="2:8" x14ac:dyDescent="0.3">
      <c r="B3032" s="58">
        <f>'DATA HISTORICAL'!$B3677</f>
        <v>41439</v>
      </c>
      <c r="C3032" s="60">
        <f>'DATA HISTORICAL'!$C3677</f>
        <v>1874</v>
      </c>
      <c r="D3032" s="53">
        <f t="shared" si="94"/>
        <v>2.8003182536045168E-2</v>
      </c>
      <c r="E3032" s="53">
        <v>-3.5480709352901495E-3</v>
      </c>
      <c r="G3032" s="90">
        <v>3024</v>
      </c>
      <c r="H3032" s="90">
        <f t="shared" ca="1" si="95"/>
        <v>8.7219504400608792E-3</v>
      </c>
    </row>
    <row r="3033" spans="2:8" x14ac:dyDescent="0.3">
      <c r="B3033" s="58">
        <f>'DATA HISTORICAL'!$B3678</f>
        <v>41438</v>
      </c>
      <c r="C3033" s="60">
        <f>'DATA HISTORICAL'!$C3678</f>
        <v>1822.25</v>
      </c>
      <c r="D3033" s="53">
        <f t="shared" si="94"/>
        <v>-1.0291217800838649E-2</v>
      </c>
      <c r="E3033" s="53">
        <v>-3.5527929519851608E-3</v>
      </c>
      <c r="G3033" s="90">
        <v>3025</v>
      </c>
      <c r="H3033" s="90">
        <f t="shared" ca="1" si="95"/>
        <v>2.1324637270335459E-2</v>
      </c>
    </row>
    <row r="3034" spans="2:8" x14ac:dyDescent="0.3">
      <c r="B3034" s="58">
        <f>'DATA HISTORICAL'!$B3679</f>
        <v>41437</v>
      </c>
      <c r="C3034" s="60">
        <f>'DATA HISTORICAL'!$C3679</f>
        <v>1841.1</v>
      </c>
      <c r="D3034" s="53">
        <f t="shared" si="94"/>
        <v>-8.9759443341974852E-3</v>
      </c>
      <c r="E3034" s="53">
        <v>-3.5690097889706524E-3</v>
      </c>
      <c r="G3034" s="90">
        <v>3026</v>
      </c>
      <c r="H3034" s="90">
        <f t="shared" ca="1" si="95"/>
        <v>1.0360591774058393E-2</v>
      </c>
    </row>
    <row r="3035" spans="2:8" x14ac:dyDescent="0.3">
      <c r="B3035" s="58">
        <f>'DATA HISTORICAL'!$B3680</f>
        <v>41436</v>
      </c>
      <c r="C3035" s="60">
        <f>'DATA HISTORICAL'!$C3680</f>
        <v>1857.7</v>
      </c>
      <c r="D3035" s="53">
        <f t="shared" si="94"/>
        <v>-1.906139846962188E-2</v>
      </c>
      <c r="E3035" s="53">
        <v>-3.5769516007760739E-3</v>
      </c>
      <c r="G3035" s="90">
        <v>3027</v>
      </c>
      <c r="H3035" s="90">
        <f t="shared" ca="1" si="95"/>
        <v>1.5887100259280348E-2</v>
      </c>
    </row>
    <row r="3036" spans="2:8" x14ac:dyDescent="0.3">
      <c r="B3036" s="58">
        <f>'DATA HISTORICAL'!$B3681</f>
        <v>41435</v>
      </c>
      <c r="C3036" s="60">
        <f>'DATA HISTORICAL'!$C3681</f>
        <v>1893.45</v>
      </c>
      <c r="D3036" s="53">
        <f t="shared" si="94"/>
        <v>1.7716553058613662E-2</v>
      </c>
      <c r="E3036" s="53">
        <v>-3.5774303688043629E-3</v>
      </c>
      <c r="G3036" s="90">
        <v>3028</v>
      </c>
      <c r="H3036" s="90">
        <f t="shared" ca="1" si="95"/>
        <v>-1.7276175692862522E-2</v>
      </c>
    </row>
    <row r="3037" spans="2:8" x14ac:dyDescent="0.3">
      <c r="B3037" s="58">
        <f>'DATA HISTORICAL'!$B3682</f>
        <v>41432</v>
      </c>
      <c r="C3037" s="60">
        <f>'DATA HISTORICAL'!$C3682</f>
        <v>1860.2</v>
      </c>
      <c r="D3037" s="53">
        <f t="shared" si="94"/>
        <v>-1.8323725633067476E-2</v>
      </c>
      <c r="E3037" s="53">
        <v>-3.5880553868903563E-3</v>
      </c>
      <c r="G3037" s="90">
        <v>3029</v>
      </c>
      <c r="H3037" s="90">
        <f t="shared" ca="1" si="95"/>
        <v>-9.5577873815297365E-3</v>
      </c>
    </row>
    <row r="3038" spans="2:8" x14ac:dyDescent="0.3">
      <c r="B3038" s="58">
        <f>'DATA HISTORICAL'!$B3683</f>
        <v>41431</v>
      </c>
      <c r="C3038" s="60">
        <f>'DATA HISTORICAL'!$C3683</f>
        <v>1894.6</v>
      </c>
      <c r="D3038" s="53">
        <f t="shared" si="94"/>
        <v>2.1716206202887344E-2</v>
      </c>
      <c r="E3038" s="53">
        <v>-3.5926104430627714E-3</v>
      </c>
      <c r="G3038" s="90">
        <v>3030</v>
      </c>
      <c r="H3038" s="90">
        <f t="shared" ca="1" si="95"/>
        <v>-1.1946645492407384E-2</v>
      </c>
    </row>
    <row r="3039" spans="2:8" x14ac:dyDescent="0.3">
      <c r="B3039" s="58">
        <f>'DATA HISTORICAL'!$B3684</f>
        <v>41430</v>
      </c>
      <c r="C3039" s="60">
        <f>'DATA HISTORICAL'!$C3684</f>
        <v>1853.9</v>
      </c>
      <c r="D3039" s="53">
        <f t="shared" si="94"/>
        <v>-7.8444416869919518E-3</v>
      </c>
      <c r="E3039" s="53">
        <v>-3.5957202815554644E-3</v>
      </c>
      <c r="G3039" s="90">
        <v>3031</v>
      </c>
      <c r="H3039" s="90">
        <f t="shared" ca="1" si="95"/>
        <v>2.9295560440091316E-2</v>
      </c>
    </row>
    <row r="3040" spans="2:8" x14ac:dyDescent="0.3">
      <c r="B3040" s="58">
        <f>'DATA HISTORICAL'!$B3685</f>
        <v>41429</v>
      </c>
      <c r="C3040" s="60">
        <f>'DATA HISTORICAL'!$C3685</f>
        <v>1868.5</v>
      </c>
      <c r="D3040" s="53">
        <f t="shared" si="94"/>
        <v>5.3393561333882067E-3</v>
      </c>
      <c r="E3040" s="53">
        <v>-3.597614523768263E-3</v>
      </c>
      <c r="G3040" s="90">
        <v>3032</v>
      </c>
      <c r="H3040" s="90">
        <f t="shared" ca="1" si="95"/>
        <v>-5.0133869710408908E-3</v>
      </c>
    </row>
    <row r="3041" spans="2:8" x14ac:dyDescent="0.3">
      <c r="B3041" s="58">
        <f>'DATA HISTORICAL'!$B3686</f>
        <v>41428</v>
      </c>
      <c r="C3041" s="60">
        <f>'DATA HISTORICAL'!$C3686</f>
        <v>1858.55</v>
      </c>
      <c r="D3041" s="53">
        <f t="shared" si="94"/>
        <v>-1.0570498627224098E-2</v>
      </c>
      <c r="E3041" s="53">
        <v>-3.6016297701022093E-3</v>
      </c>
      <c r="G3041" s="90">
        <v>3033</v>
      </c>
      <c r="H3041" s="90">
        <f t="shared" ca="1" si="95"/>
        <v>1.353910359947549E-2</v>
      </c>
    </row>
    <row r="3042" spans="2:8" x14ac:dyDescent="0.3">
      <c r="B3042" s="58">
        <f>'DATA HISTORICAL'!$B3687</f>
        <v>41425</v>
      </c>
      <c r="C3042" s="60">
        <f>'DATA HISTORICAL'!$C3687</f>
        <v>1878.3</v>
      </c>
      <c r="D3042" s="53">
        <f t="shared" si="94"/>
        <v>-5.6787146386298774E-2</v>
      </c>
      <c r="E3042" s="53">
        <v>-3.604310853606876E-3</v>
      </c>
      <c r="G3042" s="90">
        <v>3034</v>
      </c>
      <c r="H3042" s="90">
        <f t="shared" ca="1" si="95"/>
        <v>1.3987379571736468E-2</v>
      </c>
    </row>
    <row r="3043" spans="2:8" x14ac:dyDescent="0.3">
      <c r="B3043" s="58">
        <f>'DATA HISTORICAL'!$B3688</f>
        <v>41424</v>
      </c>
      <c r="C3043" s="60">
        <f>'DATA HISTORICAL'!$C3688</f>
        <v>1988.05</v>
      </c>
      <c r="D3043" s="53">
        <f t="shared" si="94"/>
        <v>4.8910948656698087E-3</v>
      </c>
      <c r="E3043" s="53">
        <v>-3.6052314849604888E-3</v>
      </c>
      <c r="G3043" s="90">
        <v>3035</v>
      </c>
      <c r="H3043" s="90">
        <f t="shared" ca="1" si="95"/>
        <v>-3.2383130281707258E-2</v>
      </c>
    </row>
    <row r="3044" spans="2:8" x14ac:dyDescent="0.3">
      <c r="B3044" s="58">
        <f>'DATA HISTORICAL'!$B3689</f>
        <v>41423</v>
      </c>
      <c r="C3044" s="60">
        <f>'DATA HISTORICAL'!$C3689</f>
        <v>1978.35</v>
      </c>
      <c r="D3044" s="53">
        <f t="shared" si="94"/>
        <v>-9.5993540438565406E-4</v>
      </c>
      <c r="E3044" s="53">
        <v>-3.6096375773452495E-3</v>
      </c>
      <c r="G3044" s="90">
        <v>3036</v>
      </c>
      <c r="H3044" s="90">
        <f t="shared" ca="1" si="95"/>
        <v>7.37726465845701E-3</v>
      </c>
    </row>
    <row r="3045" spans="2:8" x14ac:dyDescent="0.3">
      <c r="B3045" s="58">
        <f>'DATA HISTORICAL'!$B3690</f>
        <v>41422</v>
      </c>
      <c r="C3045" s="60">
        <f>'DATA HISTORICAL'!$C3690</f>
        <v>1980.25</v>
      </c>
      <c r="D3045" s="53">
        <f t="shared" si="94"/>
        <v>-1.6725896316621549E-2</v>
      </c>
      <c r="E3045" s="53">
        <v>-3.620126191462761E-3</v>
      </c>
      <c r="G3045" s="90">
        <v>3037</v>
      </c>
      <c r="H3045" s="90">
        <f t="shared" ca="1" si="95"/>
        <v>-1.8911446673783465E-2</v>
      </c>
    </row>
    <row r="3046" spans="2:8" x14ac:dyDescent="0.3">
      <c r="B3046" s="58">
        <f>'DATA HISTORICAL'!$B3691</f>
        <v>41421</v>
      </c>
      <c r="C3046" s="60">
        <f>'DATA HISTORICAL'!$C3691</f>
        <v>2013.65</v>
      </c>
      <c r="D3046" s="53">
        <f t="shared" si="94"/>
        <v>3.5098414274041909E-2</v>
      </c>
      <c r="E3046" s="53">
        <v>-3.6223816423880482E-3</v>
      </c>
      <c r="G3046" s="90">
        <v>3038</v>
      </c>
      <c r="H3046" s="90">
        <f t="shared" ca="1" si="95"/>
        <v>7.748802632342542E-3</v>
      </c>
    </row>
    <row r="3047" spans="2:8" x14ac:dyDescent="0.3">
      <c r="B3047" s="58">
        <f>'DATA HISTORICAL'!$B3692</f>
        <v>41418</v>
      </c>
      <c r="C3047" s="60">
        <f>'DATA HISTORICAL'!$C3692</f>
        <v>1944.2</v>
      </c>
      <c r="D3047" s="53">
        <f t="shared" si="94"/>
        <v>-5.1047348784380693E-3</v>
      </c>
      <c r="E3047" s="53">
        <v>-3.6228299889939906E-3</v>
      </c>
      <c r="G3047" s="90">
        <v>3039</v>
      </c>
      <c r="H3047" s="90">
        <f t="shared" ca="1" si="95"/>
        <v>7.0796190911541768E-3</v>
      </c>
    </row>
    <row r="3048" spans="2:8" x14ac:dyDescent="0.3">
      <c r="B3048" s="58">
        <f>'DATA HISTORICAL'!$B3693</f>
        <v>41417</v>
      </c>
      <c r="C3048" s="60">
        <f>'DATA HISTORICAL'!$C3693</f>
        <v>1954.15</v>
      </c>
      <c r="D3048" s="53">
        <f t="shared" si="94"/>
        <v>1.972109386873885E-3</v>
      </c>
      <c r="E3048" s="53">
        <v>-3.6394967454410243E-3</v>
      </c>
      <c r="G3048" s="90">
        <v>3040</v>
      </c>
      <c r="H3048" s="90">
        <f t="shared" ca="1" si="95"/>
        <v>4.2966329640855436E-2</v>
      </c>
    </row>
    <row r="3049" spans="2:8" x14ac:dyDescent="0.3">
      <c r="B3049" s="58">
        <f>'DATA HISTORICAL'!$B3694</f>
        <v>41416</v>
      </c>
      <c r="C3049" s="60">
        <f>'DATA HISTORICAL'!$C3694</f>
        <v>1950.3</v>
      </c>
      <c r="D3049" s="53">
        <f t="shared" si="94"/>
        <v>1.0903715498327238E-2</v>
      </c>
      <c r="E3049" s="53">
        <v>-3.6524553182190689E-3</v>
      </c>
      <c r="G3049" s="90">
        <v>3041</v>
      </c>
      <c r="H3049" s="90">
        <f t="shared" ca="1" si="95"/>
        <v>3.2692206791650455E-2</v>
      </c>
    </row>
    <row r="3050" spans="2:8" x14ac:dyDescent="0.3">
      <c r="B3050" s="58">
        <f>'DATA HISTORICAL'!$B3695</f>
        <v>41415</v>
      </c>
      <c r="C3050" s="60">
        <f>'DATA HISTORICAL'!$C3695</f>
        <v>1929.15</v>
      </c>
      <c r="D3050" s="53">
        <f t="shared" si="94"/>
        <v>-4.6042772183954986E-2</v>
      </c>
      <c r="E3050" s="53">
        <v>-3.6535432244118875E-3</v>
      </c>
      <c r="G3050" s="90">
        <v>3042</v>
      </c>
      <c r="H3050" s="90">
        <f t="shared" ca="1" si="95"/>
        <v>6.1908287586888268E-3</v>
      </c>
    </row>
    <row r="3051" spans="2:8" x14ac:dyDescent="0.3">
      <c r="B3051" s="58">
        <f>'DATA HISTORICAL'!$B3696</f>
        <v>41414</v>
      </c>
      <c r="C3051" s="60">
        <f>'DATA HISTORICAL'!$C3696</f>
        <v>2020.05</v>
      </c>
      <c r="D3051" s="53">
        <f t="shared" si="94"/>
        <v>1.6349587470767817E-3</v>
      </c>
      <c r="E3051" s="53">
        <v>-3.677826874588563E-3</v>
      </c>
      <c r="G3051" s="90">
        <v>3043</v>
      </c>
      <c r="H3051" s="90">
        <f t="shared" ca="1" si="95"/>
        <v>5.1316883623113638E-2</v>
      </c>
    </row>
    <row r="3052" spans="2:8" x14ac:dyDescent="0.3">
      <c r="B3052" s="58">
        <f>'DATA HISTORICAL'!$B3697</f>
        <v>41411</v>
      </c>
      <c r="C3052" s="60">
        <f>'DATA HISTORICAL'!$C3697</f>
        <v>2016.75</v>
      </c>
      <c r="D3052" s="53">
        <f t="shared" si="94"/>
        <v>6.9411033612940933E-3</v>
      </c>
      <c r="E3052" s="53">
        <v>-3.6800291024172566E-3</v>
      </c>
      <c r="G3052" s="90">
        <v>3044</v>
      </c>
      <c r="H3052" s="90">
        <f t="shared" ca="1" si="95"/>
        <v>-7.4521900789463165E-3</v>
      </c>
    </row>
    <row r="3053" spans="2:8" x14ac:dyDescent="0.3">
      <c r="B3053" s="58">
        <f>'DATA HISTORICAL'!$B3698</f>
        <v>41410</v>
      </c>
      <c r="C3053" s="60">
        <f>'DATA HISTORICAL'!$C3698</f>
        <v>2002.8</v>
      </c>
      <c r="D3053" s="53">
        <f t="shared" si="94"/>
        <v>1.4712249975832696E-2</v>
      </c>
      <c r="E3053" s="53">
        <v>-3.7098310348771834E-3</v>
      </c>
      <c r="G3053" s="90">
        <v>3045</v>
      </c>
      <c r="H3053" s="90">
        <f t="shared" ca="1" si="95"/>
        <v>-1.0677599446692273E-2</v>
      </c>
    </row>
    <row r="3054" spans="2:8" x14ac:dyDescent="0.3">
      <c r="B3054" s="58">
        <f>'DATA HISTORICAL'!$B3699</f>
        <v>41409</v>
      </c>
      <c r="C3054" s="60">
        <f>'DATA HISTORICAL'!$C3699</f>
        <v>1973.55</v>
      </c>
      <c r="D3054" s="53">
        <f t="shared" si="94"/>
        <v>-1.0133508989493384E-4</v>
      </c>
      <c r="E3054" s="53">
        <v>-3.7253153366397203E-3</v>
      </c>
      <c r="G3054" s="90">
        <v>3046</v>
      </c>
      <c r="H3054" s="90">
        <f t="shared" ca="1" si="95"/>
        <v>-6.9325277831369138E-4</v>
      </c>
    </row>
    <row r="3055" spans="2:8" x14ac:dyDescent="0.3">
      <c r="B3055" s="58">
        <f>'DATA HISTORICAL'!$B3700</f>
        <v>41408</v>
      </c>
      <c r="C3055" s="60">
        <f>'DATA HISTORICAL'!$C3700</f>
        <v>1973.75</v>
      </c>
      <c r="D3055" s="53">
        <f t="shared" si="94"/>
        <v>9.1359696916770913E-3</v>
      </c>
      <c r="E3055" s="53">
        <v>-3.727349048169059E-3</v>
      </c>
      <c r="G3055" s="90">
        <v>3047</v>
      </c>
      <c r="H3055" s="90">
        <f t="shared" ca="1" si="95"/>
        <v>6.1418333527246552E-3</v>
      </c>
    </row>
    <row r="3056" spans="2:8" x14ac:dyDescent="0.3">
      <c r="B3056" s="58">
        <f>'DATA HISTORICAL'!$B3701</f>
        <v>41407</v>
      </c>
      <c r="C3056" s="60">
        <f>'DATA HISTORICAL'!$C3701</f>
        <v>1955.8</v>
      </c>
      <c r="D3056" s="53">
        <f t="shared" si="94"/>
        <v>-1.1109954237103993E-2</v>
      </c>
      <c r="E3056" s="53">
        <v>-3.7347956550112266E-3</v>
      </c>
      <c r="G3056" s="90">
        <v>3048</v>
      </c>
      <c r="H3056" s="90">
        <f t="shared" ca="1" si="95"/>
        <v>-2.272112489284904E-2</v>
      </c>
    </row>
    <row r="3057" spans="2:8" x14ac:dyDescent="0.3">
      <c r="B3057" s="58">
        <f>'DATA HISTORICAL'!$B3702</f>
        <v>41404</v>
      </c>
      <c r="C3057" s="60">
        <f>'DATA HISTORICAL'!$C3702</f>
        <v>1977.65</v>
      </c>
      <c r="D3057" s="53">
        <f t="shared" si="94"/>
        <v>-1.2237409759887225E-2</v>
      </c>
      <c r="E3057" s="53">
        <v>-3.7390501205041369E-3</v>
      </c>
      <c r="G3057" s="90">
        <v>3049</v>
      </c>
      <c r="H3057" s="90">
        <f t="shared" ca="1" si="95"/>
        <v>-3.0440064963401559E-2</v>
      </c>
    </row>
    <row r="3058" spans="2:8" x14ac:dyDescent="0.3">
      <c r="B3058" s="58">
        <f>'DATA HISTORICAL'!$B3703</f>
        <v>41403</v>
      </c>
      <c r="C3058" s="60">
        <f>'DATA HISTORICAL'!$C3703</f>
        <v>2002</v>
      </c>
      <c r="D3058" s="53">
        <f t="shared" si="94"/>
        <v>1.1959340569425448E-2</v>
      </c>
      <c r="E3058" s="53">
        <v>-3.7480476885887698E-3</v>
      </c>
      <c r="G3058" s="90">
        <v>3050</v>
      </c>
      <c r="H3058" s="90">
        <f t="shared" ca="1" si="95"/>
        <v>4.0108589929239796E-2</v>
      </c>
    </row>
    <row r="3059" spans="2:8" x14ac:dyDescent="0.3">
      <c r="B3059" s="58">
        <f>'DATA HISTORICAL'!$B3704</f>
        <v>41402</v>
      </c>
      <c r="C3059" s="60">
        <f>'DATA HISTORICAL'!$C3704</f>
        <v>1978.2</v>
      </c>
      <c r="D3059" s="53">
        <f t="shared" si="94"/>
        <v>2.541891510737284E-2</v>
      </c>
      <c r="E3059" s="53">
        <v>-3.7533098740553657E-3</v>
      </c>
      <c r="G3059" s="90">
        <v>3051</v>
      </c>
      <c r="H3059" s="90">
        <f t="shared" ca="1" si="95"/>
        <v>1.4817578177166734E-2</v>
      </c>
    </row>
    <row r="3060" spans="2:8" x14ac:dyDescent="0.3">
      <c r="B3060" s="58">
        <f>'DATA HISTORICAL'!$B3705</f>
        <v>41401</v>
      </c>
      <c r="C3060" s="60">
        <f>'DATA HISTORICAL'!$C3705</f>
        <v>1928.55</v>
      </c>
      <c r="D3060" s="53">
        <f t="shared" si="94"/>
        <v>8.8801510619001389E-3</v>
      </c>
      <c r="E3060" s="53">
        <v>-3.7636476493039446E-3</v>
      </c>
      <c r="G3060" s="90">
        <v>3052</v>
      </c>
      <c r="H3060" s="90">
        <f t="shared" ca="1" si="95"/>
        <v>-1.0082763336871107E-3</v>
      </c>
    </row>
    <row r="3061" spans="2:8" x14ac:dyDescent="0.3">
      <c r="B3061" s="58">
        <f>'DATA HISTORICAL'!$B3706</f>
        <v>41400</v>
      </c>
      <c r="C3061" s="60">
        <f>'DATA HISTORICAL'!$C3706</f>
        <v>1911.5</v>
      </c>
      <c r="D3061" s="53">
        <f t="shared" si="94"/>
        <v>1.3271035784788566E-2</v>
      </c>
      <c r="E3061" s="53">
        <v>-3.7871604897685945E-3</v>
      </c>
      <c r="G3061" s="90">
        <v>3053</v>
      </c>
      <c r="H3061" s="90">
        <f t="shared" ca="1" si="95"/>
        <v>2.2242011769117364E-3</v>
      </c>
    </row>
    <row r="3062" spans="2:8" x14ac:dyDescent="0.3">
      <c r="B3062" s="58">
        <f>'DATA HISTORICAL'!$B3707</f>
        <v>41397</v>
      </c>
      <c r="C3062" s="60">
        <f>'DATA HISTORICAL'!$C3707</f>
        <v>1886.3</v>
      </c>
      <c r="D3062" s="53">
        <f t="shared" si="94"/>
        <v>1.9368795771140274E-3</v>
      </c>
      <c r="E3062" s="53">
        <v>-3.7890585239938137E-3</v>
      </c>
      <c r="G3062" s="90">
        <v>3054</v>
      </c>
      <c r="H3062" s="90">
        <f t="shared" ca="1" si="95"/>
        <v>2.145605452890359E-2</v>
      </c>
    </row>
    <row r="3063" spans="2:8" x14ac:dyDescent="0.3">
      <c r="B3063" s="58">
        <f>'DATA HISTORICAL'!$B3708</f>
        <v>41396</v>
      </c>
      <c r="C3063" s="60">
        <f>'DATA HISTORICAL'!$C3708</f>
        <v>1882.65</v>
      </c>
      <c r="D3063" s="53">
        <f t="shared" si="94"/>
        <v>-9.6207957616025637E-3</v>
      </c>
      <c r="E3063" s="53">
        <v>-3.8123699415119807E-3</v>
      </c>
      <c r="G3063" s="90">
        <v>3055</v>
      </c>
      <c r="H3063" s="90">
        <f t="shared" ca="1" si="95"/>
        <v>-2.2626612663834015E-3</v>
      </c>
    </row>
    <row r="3064" spans="2:8" x14ac:dyDescent="0.3">
      <c r="B3064" s="58">
        <f>'DATA HISTORICAL'!$B3709</f>
        <v>41394</v>
      </c>
      <c r="C3064" s="60">
        <f>'DATA HISTORICAL'!$C3709</f>
        <v>1900.85</v>
      </c>
      <c r="D3064" s="53">
        <f t="shared" si="94"/>
        <v>-9.112157521607097E-3</v>
      </c>
      <c r="E3064" s="53">
        <v>-3.8212175450541377E-3</v>
      </c>
      <c r="G3064" s="90">
        <v>3056</v>
      </c>
      <c r="H3064" s="90">
        <f t="shared" ca="1" si="95"/>
        <v>7.7356043056735092E-3</v>
      </c>
    </row>
    <row r="3065" spans="2:8" x14ac:dyDescent="0.3">
      <c r="B3065" s="58">
        <f>'DATA HISTORICAL'!$B3710</f>
        <v>41393</v>
      </c>
      <c r="C3065" s="60">
        <f>'DATA HISTORICAL'!$C3710</f>
        <v>1918.25</v>
      </c>
      <c r="D3065" s="53">
        <f t="shared" si="94"/>
        <v>5.1481174158226747E-3</v>
      </c>
      <c r="E3065" s="53">
        <v>-3.8243099354519968E-3</v>
      </c>
      <c r="G3065" s="90">
        <v>3057</v>
      </c>
      <c r="H3065" s="90">
        <f t="shared" ca="1" si="95"/>
        <v>3.0439807082863191E-2</v>
      </c>
    </row>
    <row r="3066" spans="2:8" x14ac:dyDescent="0.3">
      <c r="B3066" s="58">
        <f>'DATA HISTORICAL'!$B3711</f>
        <v>41390</v>
      </c>
      <c r="C3066" s="60">
        <f>'DATA HISTORICAL'!$C3711</f>
        <v>1908.4</v>
      </c>
      <c r="D3066" s="53">
        <f t="shared" si="94"/>
        <v>-1.122890118564274E-2</v>
      </c>
      <c r="E3066" s="53">
        <v>-3.8470691386320857E-3</v>
      </c>
      <c r="G3066" s="90">
        <v>3058</v>
      </c>
      <c r="H3066" s="90">
        <f t="shared" ca="1" si="95"/>
        <v>4.1092505712390578E-3</v>
      </c>
    </row>
    <row r="3067" spans="2:8" x14ac:dyDescent="0.3">
      <c r="B3067" s="58">
        <f>'DATA HISTORICAL'!$B3712</f>
        <v>41389</v>
      </c>
      <c r="C3067" s="60">
        <f>'DATA HISTORICAL'!$C3712</f>
        <v>1929.95</v>
      </c>
      <c r="D3067" s="53">
        <f t="shared" si="94"/>
        <v>3.3911378671421417E-2</v>
      </c>
      <c r="E3067" s="53">
        <v>-3.8747194532812285E-3</v>
      </c>
      <c r="G3067" s="90">
        <v>3059</v>
      </c>
      <c r="H3067" s="90">
        <f t="shared" ca="1" si="95"/>
        <v>3.7550884551108235E-2</v>
      </c>
    </row>
    <row r="3068" spans="2:8" x14ac:dyDescent="0.3">
      <c r="B3068" s="58">
        <f>'DATA HISTORICAL'!$B3713</f>
        <v>41387</v>
      </c>
      <c r="C3068" s="60">
        <f>'DATA HISTORICAL'!$C3713</f>
        <v>1865.6</v>
      </c>
      <c r="D3068" s="53">
        <f t="shared" si="94"/>
        <v>-3.2109628358880007E-3</v>
      </c>
      <c r="E3068" s="53">
        <v>-3.8766328686586763E-3</v>
      </c>
      <c r="G3068" s="90">
        <v>3060</v>
      </c>
      <c r="H3068" s="90">
        <f t="shared" ca="1" si="95"/>
        <v>2.9140189439465006E-2</v>
      </c>
    </row>
    <row r="3069" spans="2:8" x14ac:dyDescent="0.3">
      <c r="B3069" s="58">
        <f>'DATA HISTORICAL'!$B3714</f>
        <v>41386</v>
      </c>
      <c r="C3069" s="60">
        <f>'DATA HISTORICAL'!$C3714</f>
        <v>1871.6</v>
      </c>
      <c r="D3069" s="53">
        <f t="shared" si="94"/>
        <v>-2.9507964429198737E-2</v>
      </c>
      <c r="E3069" s="53">
        <v>-3.8766403105313044E-3</v>
      </c>
      <c r="G3069" s="90">
        <v>3061</v>
      </c>
      <c r="H3069" s="90">
        <f t="shared" ca="1" si="95"/>
        <v>2.0210851785052122E-2</v>
      </c>
    </row>
    <row r="3070" spans="2:8" x14ac:dyDescent="0.3">
      <c r="B3070" s="58">
        <f>'DATA HISTORICAL'!$B3715</f>
        <v>41382</v>
      </c>
      <c r="C3070" s="60">
        <f>'DATA HISTORICAL'!$C3715</f>
        <v>1927.65</v>
      </c>
      <c r="D3070" s="53">
        <f t="shared" si="94"/>
        <v>1.5685365892471565E-2</v>
      </c>
      <c r="E3070" s="53">
        <v>-3.8803163867398116E-3</v>
      </c>
      <c r="G3070" s="90">
        <v>3062</v>
      </c>
      <c r="H3070" s="90">
        <f t="shared" ca="1" si="95"/>
        <v>-6.8323257588617228E-3</v>
      </c>
    </row>
    <row r="3071" spans="2:8" x14ac:dyDescent="0.3">
      <c r="B3071" s="58">
        <f>'DATA HISTORICAL'!$B3716</f>
        <v>41381</v>
      </c>
      <c r="C3071" s="60">
        <f>'DATA HISTORICAL'!$C3716</f>
        <v>1897.65</v>
      </c>
      <c r="D3071" s="53">
        <f t="shared" si="94"/>
        <v>4.2166293944059606E-4</v>
      </c>
      <c r="E3071" s="53">
        <v>-3.8866592064218716E-3</v>
      </c>
      <c r="G3071" s="90">
        <v>3063</v>
      </c>
      <c r="H3071" s="90">
        <f t="shared" ca="1" si="95"/>
        <v>-1.2048329879881761E-2</v>
      </c>
    </row>
    <row r="3072" spans="2:8" x14ac:dyDescent="0.3">
      <c r="B3072" s="58">
        <f>'DATA HISTORICAL'!$B3717</f>
        <v>41380</v>
      </c>
      <c r="C3072" s="60">
        <f>'DATA HISTORICAL'!$C3717</f>
        <v>1896.85</v>
      </c>
      <c r="D3072" s="53">
        <f t="shared" si="94"/>
        <v>1.3000289215773965E-2</v>
      </c>
      <c r="E3072" s="53">
        <v>-3.9074514718998353E-3</v>
      </c>
      <c r="G3072" s="90">
        <v>3064</v>
      </c>
      <c r="H3072" s="90">
        <f t="shared" ca="1" si="95"/>
        <v>-1.7488650096158929E-2</v>
      </c>
    </row>
    <row r="3073" spans="2:8" x14ac:dyDescent="0.3">
      <c r="B3073" s="58">
        <f>'DATA HISTORICAL'!$B3718</f>
        <v>41379</v>
      </c>
      <c r="C3073" s="60">
        <f>'DATA HISTORICAL'!$C3718</f>
        <v>1872.35</v>
      </c>
      <c r="D3073" s="53">
        <f t="shared" si="94"/>
        <v>3.0860955520851406E-2</v>
      </c>
      <c r="E3073" s="53">
        <v>-3.9086979094732129E-3</v>
      </c>
      <c r="G3073" s="90">
        <v>3065</v>
      </c>
      <c r="H3073" s="90">
        <f t="shared" ca="1" si="95"/>
        <v>5.2947014036128486E-3</v>
      </c>
    </row>
    <row r="3074" spans="2:8" x14ac:dyDescent="0.3">
      <c r="B3074" s="58">
        <f>'DATA HISTORICAL'!$B3719</f>
        <v>41376</v>
      </c>
      <c r="C3074" s="60">
        <f>'DATA HISTORICAL'!$C3719</f>
        <v>1815.45</v>
      </c>
      <c r="D3074" s="53">
        <f t="shared" si="94"/>
        <v>1.5459432793426098E-2</v>
      </c>
      <c r="E3074" s="53">
        <v>-3.9109181904323559E-3</v>
      </c>
      <c r="G3074" s="90">
        <v>3066</v>
      </c>
      <c r="H3074" s="90">
        <f t="shared" ca="1" si="95"/>
        <v>-1.4129334092623139E-2</v>
      </c>
    </row>
    <row r="3075" spans="2:8" x14ac:dyDescent="0.3">
      <c r="B3075" s="58">
        <f>'DATA HISTORICAL'!$B3720</f>
        <v>41375</v>
      </c>
      <c r="C3075" s="60">
        <f>'DATA HISTORICAL'!$C3720</f>
        <v>1787.6</v>
      </c>
      <c r="D3075" s="53">
        <f t="shared" si="94"/>
        <v>-2.5141784900465976E-3</v>
      </c>
      <c r="E3075" s="53">
        <v>-3.9265948871431552E-3</v>
      </c>
      <c r="G3075" s="90">
        <v>3067</v>
      </c>
      <c r="H3075" s="90">
        <f t="shared" ca="1" si="95"/>
        <v>2.3270358248058818E-2</v>
      </c>
    </row>
    <row r="3076" spans="2:8" x14ac:dyDescent="0.3">
      <c r="B3076" s="58">
        <f>'DATA HISTORICAL'!$B3721</f>
        <v>41374</v>
      </c>
      <c r="C3076" s="60">
        <f>'DATA HISTORICAL'!$C3721</f>
        <v>1792.1</v>
      </c>
      <c r="D3076" s="53">
        <f t="shared" si="94"/>
        <v>-4.7040572178770248E-3</v>
      </c>
      <c r="E3076" s="53">
        <v>-3.9389702541036695E-3</v>
      </c>
      <c r="G3076" s="90">
        <v>3068</v>
      </c>
      <c r="H3076" s="90">
        <f t="shared" ca="1" si="95"/>
        <v>-2.4016827493979976E-2</v>
      </c>
    </row>
    <row r="3077" spans="2:8" x14ac:dyDescent="0.3">
      <c r="B3077" s="58">
        <f>'DATA HISTORICAL'!$B3722</f>
        <v>41373</v>
      </c>
      <c r="C3077" s="60">
        <f>'DATA HISTORICAL'!$C3722</f>
        <v>1800.55</v>
      </c>
      <c r="D3077" s="53">
        <f t="shared" si="94"/>
        <v>6.0441657438572664E-3</v>
      </c>
      <c r="E3077" s="53">
        <v>-3.9597848789088971E-3</v>
      </c>
      <c r="G3077" s="90">
        <v>3069</v>
      </c>
      <c r="H3077" s="90">
        <f t="shared" ca="1" si="95"/>
        <v>2.5990422371186421E-2</v>
      </c>
    </row>
    <row r="3078" spans="2:8" x14ac:dyDescent="0.3">
      <c r="B3078" s="58">
        <f>'DATA HISTORICAL'!$B3723</f>
        <v>41372</v>
      </c>
      <c r="C3078" s="60">
        <f>'DATA HISTORICAL'!$C3723</f>
        <v>1789.7</v>
      </c>
      <c r="D3078" s="53">
        <f t="shared" si="94"/>
        <v>1.0193138447784317E-2</v>
      </c>
      <c r="E3078" s="53">
        <v>-3.9695522693657349E-3</v>
      </c>
      <c r="G3078" s="90">
        <v>3070</v>
      </c>
      <c r="H3078" s="90">
        <f t="shared" ca="1" si="95"/>
        <v>2.1329267080037496E-2</v>
      </c>
    </row>
    <row r="3079" spans="2:8" x14ac:dyDescent="0.3">
      <c r="B3079" s="58">
        <f>'DATA HISTORICAL'!$B3724</f>
        <v>41369</v>
      </c>
      <c r="C3079" s="60">
        <f>'DATA HISTORICAL'!$C3724</f>
        <v>1771.55</v>
      </c>
      <c r="D3079" s="53">
        <f t="shared" si="94"/>
        <v>1.6046320000972714E-2</v>
      </c>
      <c r="E3079" s="53">
        <v>-3.9724560196859431E-3</v>
      </c>
      <c r="G3079" s="90">
        <v>3071</v>
      </c>
      <c r="H3079" s="90">
        <f t="shared" ca="1" si="95"/>
        <v>1.8095744753447853E-2</v>
      </c>
    </row>
    <row r="3080" spans="2:8" x14ac:dyDescent="0.3">
      <c r="B3080" s="58">
        <f>'DATA HISTORICAL'!$B3725</f>
        <v>41368</v>
      </c>
      <c r="C3080" s="60">
        <f>'DATA HISTORICAL'!$C3725</f>
        <v>1743.35</v>
      </c>
      <c r="D3080" s="53">
        <f t="shared" si="94"/>
        <v>-6.0295586469164622E-2</v>
      </c>
      <c r="E3080" s="53">
        <v>-3.9737696291222251E-3</v>
      </c>
      <c r="G3080" s="90">
        <v>3072</v>
      </c>
      <c r="H3080" s="90">
        <f t="shared" ca="1" si="95"/>
        <v>-2.422472527586538E-3</v>
      </c>
    </row>
    <row r="3081" spans="2:8" x14ac:dyDescent="0.3">
      <c r="B3081" s="58">
        <f>'DATA HISTORICAL'!$B3726</f>
        <v>41367</v>
      </c>
      <c r="C3081" s="60">
        <f>'DATA HISTORICAL'!$C3726</f>
        <v>1851.7</v>
      </c>
      <c r="D3081" s="53">
        <f t="shared" ref="D3081:D3144" si="96">LN(C3081/C3082)</f>
        <v>-2.4811231714071936E-3</v>
      </c>
      <c r="E3081" s="53">
        <v>-3.9756693532127258E-3</v>
      </c>
      <c r="G3081" s="90">
        <v>3073</v>
      </c>
      <c r="H3081" s="90">
        <f t="shared" ref="H3081:H3144" ca="1" si="97">_xlfn.NORM.INV(RAND(),N$10,N$11)</f>
        <v>4.3722828300900587E-2</v>
      </c>
    </row>
    <row r="3082" spans="2:8" x14ac:dyDescent="0.3">
      <c r="B3082" s="58">
        <f>'DATA HISTORICAL'!$B3727</f>
        <v>41366</v>
      </c>
      <c r="C3082" s="60">
        <f>'DATA HISTORICAL'!$C3727</f>
        <v>1856.3</v>
      </c>
      <c r="D3082" s="53">
        <f t="shared" si="96"/>
        <v>-4.756219582927078E-3</v>
      </c>
      <c r="E3082" s="53">
        <v>-3.9773900307202657E-3</v>
      </c>
      <c r="G3082" s="90">
        <v>3074</v>
      </c>
      <c r="H3082" s="90">
        <f t="shared" ca="1" si="97"/>
        <v>-5.6509570707689643E-3</v>
      </c>
    </row>
    <row r="3083" spans="2:8" x14ac:dyDescent="0.3">
      <c r="B3083" s="58">
        <f>'DATA HISTORICAL'!$B3728</f>
        <v>41365</v>
      </c>
      <c r="C3083" s="60">
        <f>'DATA HISTORICAL'!$C3728</f>
        <v>1865.15</v>
      </c>
      <c r="D3083" s="53">
        <f t="shared" si="96"/>
        <v>-2.0352970256664795E-3</v>
      </c>
      <c r="E3083" s="53">
        <v>-3.993927601236319E-3</v>
      </c>
      <c r="G3083" s="90">
        <v>3075</v>
      </c>
      <c r="H3083" s="90">
        <f t="shared" ca="1" si="97"/>
        <v>3.306529369405242E-3</v>
      </c>
    </row>
    <row r="3084" spans="2:8" x14ac:dyDescent="0.3">
      <c r="B3084" s="58">
        <f>'DATA HISTORICAL'!$B3729</f>
        <v>41361</v>
      </c>
      <c r="C3084" s="60">
        <f>'DATA HISTORICAL'!$C3729</f>
        <v>1868.95</v>
      </c>
      <c r="D3084" s="53">
        <f t="shared" si="96"/>
        <v>1.1137530386561753E-2</v>
      </c>
      <c r="E3084" s="53">
        <v>-4.0116832094918278E-3</v>
      </c>
      <c r="G3084" s="90">
        <v>3076</v>
      </c>
      <c r="H3084" s="90">
        <f t="shared" ca="1" si="97"/>
        <v>-1.5886763637093973E-2</v>
      </c>
    </row>
    <row r="3085" spans="2:8" x14ac:dyDescent="0.3">
      <c r="B3085" s="58">
        <f>'DATA HISTORICAL'!$B3730</f>
        <v>41359</v>
      </c>
      <c r="C3085" s="60">
        <f>'DATA HISTORICAL'!$C3730</f>
        <v>1848.25</v>
      </c>
      <c r="D3085" s="53">
        <f t="shared" si="96"/>
        <v>-7.7878026017474122E-3</v>
      </c>
      <c r="E3085" s="53">
        <v>-4.0133833134585644E-3</v>
      </c>
      <c r="G3085" s="90">
        <v>3077</v>
      </c>
      <c r="H3085" s="90">
        <f t="shared" ca="1" si="97"/>
        <v>2.8167823505946221E-2</v>
      </c>
    </row>
    <row r="3086" spans="2:8" x14ac:dyDescent="0.3">
      <c r="B3086" s="58">
        <f>'DATA HISTORICAL'!$B3731</f>
        <v>41358</v>
      </c>
      <c r="C3086" s="60">
        <f>'DATA HISTORICAL'!$C3731</f>
        <v>1862.7</v>
      </c>
      <c r="D3086" s="53">
        <f t="shared" si="96"/>
        <v>4.9513044481698373E-3</v>
      </c>
      <c r="E3086" s="53">
        <v>-4.0264743893413321E-3</v>
      </c>
      <c r="G3086" s="90">
        <v>3078</v>
      </c>
      <c r="H3086" s="90">
        <f t="shared" ca="1" si="97"/>
        <v>8.9450623804378446E-3</v>
      </c>
    </row>
    <row r="3087" spans="2:8" x14ac:dyDescent="0.3">
      <c r="B3087" s="58">
        <f>'DATA HISTORICAL'!$B3732</f>
        <v>41355</v>
      </c>
      <c r="C3087" s="60">
        <f>'DATA HISTORICAL'!$C3732</f>
        <v>1853.5</v>
      </c>
      <c r="D3087" s="53">
        <f t="shared" si="96"/>
        <v>-3.5276254755831245E-3</v>
      </c>
      <c r="E3087" s="53">
        <v>-4.0312852041321217E-3</v>
      </c>
      <c r="G3087" s="90">
        <v>3079</v>
      </c>
      <c r="H3087" s="90">
        <f t="shared" ca="1" si="97"/>
        <v>-1.3713320430850688E-3</v>
      </c>
    </row>
    <row r="3088" spans="2:8" x14ac:dyDescent="0.3">
      <c r="B3088" s="58">
        <f>'DATA HISTORICAL'!$B3733</f>
        <v>41354</v>
      </c>
      <c r="C3088" s="60">
        <f>'DATA HISTORICAL'!$C3733</f>
        <v>1860.05</v>
      </c>
      <c r="D3088" s="53">
        <f t="shared" si="96"/>
        <v>8.1511922299641239E-3</v>
      </c>
      <c r="E3088" s="53">
        <v>-4.0388610496061806E-3</v>
      </c>
      <c r="G3088" s="90">
        <v>3080</v>
      </c>
      <c r="H3088" s="90">
        <f t="shared" ca="1" si="97"/>
        <v>3.3355404207808761E-2</v>
      </c>
    </row>
    <row r="3089" spans="2:8" x14ac:dyDescent="0.3">
      <c r="B3089" s="58">
        <f>'DATA HISTORICAL'!$B3734</f>
        <v>41353</v>
      </c>
      <c r="C3089" s="60">
        <f>'DATA HISTORICAL'!$C3734</f>
        <v>1844.95</v>
      </c>
      <c r="D3089" s="53">
        <f t="shared" si="96"/>
        <v>-2.0918459669598041E-2</v>
      </c>
      <c r="E3089" s="53">
        <v>-4.040963000315455E-3</v>
      </c>
      <c r="G3089" s="90">
        <v>3081</v>
      </c>
      <c r="H3089" s="90">
        <f t="shared" ca="1" si="97"/>
        <v>1.7334073453757395E-3</v>
      </c>
    </row>
    <row r="3090" spans="2:8" x14ac:dyDescent="0.3">
      <c r="B3090" s="58">
        <f>'DATA HISTORICAL'!$B3735</f>
        <v>41352</v>
      </c>
      <c r="C3090" s="60">
        <f>'DATA HISTORICAL'!$C3735</f>
        <v>1883.95</v>
      </c>
      <c r="D3090" s="53">
        <f t="shared" si="96"/>
        <v>-1.0560038996291992E-2</v>
      </c>
      <c r="E3090" s="53">
        <v>-4.0475499205150913E-3</v>
      </c>
      <c r="G3090" s="90">
        <v>3082</v>
      </c>
      <c r="H3090" s="90">
        <f t="shared" ca="1" si="97"/>
        <v>-4.2116490512768895E-3</v>
      </c>
    </row>
    <row r="3091" spans="2:8" x14ac:dyDescent="0.3">
      <c r="B3091" s="58">
        <f>'DATA HISTORICAL'!$B3736</f>
        <v>41351</v>
      </c>
      <c r="C3091" s="60">
        <f>'DATA HISTORICAL'!$C3736</f>
        <v>1903.95</v>
      </c>
      <c r="D3091" s="53">
        <f t="shared" si="96"/>
        <v>-1.0033791164523565E-2</v>
      </c>
      <c r="E3091" s="53">
        <v>-4.0657711416119142E-3</v>
      </c>
      <c r="G3091" s="90">
        <v>3083</v>
      </c>
      <c r="H3091" s="90">
        <f t="shared" ca="1" si="97"/>
        <v>-2.1128836957088067E-2</v>
      </c>
    </row>
    <row r="3092" spans="2:8" x14ac:dyDescent="0.3">
      <c r="B3092" s="58">
        <f>'DATA HISTORICAL'!$B3737</f>
        <v>41348</v>
      </c>
      <c r="C3092" s="60">
        <f>'DATA HISTORICAL'!$C3737</f>
        <v>1923.15</v>
      </c>
      <c r="D3092" s="53">
        <f t="shared" si="96"/>
        <v>7.5158891339772594E-3</v>
      </c>
      <c r="E3092" s="53">
        <v>-4.0700370686491275E-3</v>
      </c>
      <c r="G3092" s="90">
        <v>3084</v>
      </c>
      <c r="H3092" s="90">
        <f t="shared" ca="1" si="97"/>
        <v>-5.2965058657028592E-3</v>
      </c>
    </row>
    <row r="3093" spans="2:8" x14ac:dyDescent="0.3">
      <c r="B3093" s="58">
        <f>'DATA HISTORICAL'!$B3738</f>
        <v>41347</v>
      </c>
      <c r="C3093" s="60">
        <f>'DATA HISTORICAL'!$C3738</f>
        <v>1908.75</v>
      </c>
      <c r="D3093" s="53">
        <f t="shared" si="96"/>
        <v>1.7828588136647079E-3</v>
      </c>
      <c r="E3093" s="53">
        <v>-4.0814003364609752E-3</v>
      </c>
      <c r="G3093" s="90">
        <v>3085</v>
      </c>
      <c r="H3093" s="90">
        <f t="shared" ca="1" si="97"/>
        <v>-1.8772685310741721E-3</v>
      </c>
    </row>
    <row r="3094" spans="2:8" x14ac:dyDescent="0.3">
      <c r="B3094" s="58">
        <f>'DATA HISTORICAL'!$B3739</f>
        <v>41346</v>
      </c>
      <c r="C3094" s="60">
        <f>'DATA HISTORICAL'!$C3739</f>
        <v>1905.35</v>
      </c>
      <c r="D3094" s="53">
        <f t="shared" si="96"/>
        <v>1.3121809778835074E-4</v>
      </c>
      <c r="E3094" s="53">
        <v>-4.0987424707578752E-3</v>
      </c>
      <c r="G3094" s="90">
        <v>3086</v>
      </c>
      <c r="H3094" s="90">
        <f t="shared" ca="1" si="97"/>
        <v>1.1228872455289677E-2</v>
      </c>
    </row>
    <row r="3095" spans="2:8" x14ac:dyDescent="0.3">
      <c r="B3095" s="58">
        <f>'DATA HISTORICAL'!$B3740</f>
        <v>41345</v>
      </c>
      <c r="C3095" s="60">
        <f>'DATA HISTORICAL'!$C3740</f>
        <v>1905.1</v>
      </c>
      <c r="D3095" s="53">
        <f t="shared" si="96"/>
        <v>4.2608096863750149E-3</v>
      </c>
      <c r="E3095" s="53">
        <v>-4.1059747117020463E-3</v>
      </c>
      <c r="G3095" s="90">
        <v>3087</v>
      </c>
      <c r="H3095" s="90">
        <f t="shared" ca="1" si="97"/>
        <v>-4.0971279566650677E-2</v>
      </c>
    </row>
    <row r="3096" spans="2:8" x14ac:dyDescent="0.3">
      <c r="B3096" s="58">
        <f>'DATA HISTORICAL'!$B3741</f>
        <v>41344</v>
      </c>
      <c r="C3096" s="60">
        <f>'DATA HISTORICAL'!$C3741</f>
        <v>1897</v>
      </c>
      <c r="D3096" s="53">
        <f t="shared" si="96"/>
        <v>-1.9222419780128277E-3</v>
      </c>
      <c r="E3096" s="53">
        <v>-4.1144276907432069E-3</v>
      </c>
      <c r="G3096" s="90">
        <v>3088</v>
      </c>
      <c r="H3096" s="90">
        <f t="shared" ca="1" si="97"/>
        <v>5.7561398761535407E-3</v>
      </c>
    </row>
    <row r="3097" spans="2:8" x14ac:dyDescent="0.3">
      <c r="B3097" s="58">
        <f>'DATA HISTORICAL'!$B3742</f>
        <v>41341</v>
      </c>
      <c r="C3097" s="60">
        <f>'DATA HISTORICAL'!$C3742</f>
        <v>1900.65</v>
      </c>
      <c r="D3097" s="53">
        <f t="shared" si="96"/>
        <v>1.1296565850471948E-2</v>
      </c>
      <c r="E3097" s="53">
        <v>-4.1144744856594709E-3</v>
      </c>
      <c r="G3097" s="90">
        <v>3089</v>
      </c>
      <c r="H3097" s="90">
        <f t="shared" ca="1" si="97"/>
        <v>4.1286922557826171E-3</v>
      </c>
    </row>
    <row r="3098" spans="2:8" x14ac:dyDescent="0.3">
      <c r="B3098" s="58">
        <f>'DATA HISTORICAL'!$B3743</f>
        <v>41340</v>
      </c>
      <c r="C3098" s="60">
        <f>'DATA HISTORICAL'!$C3743</f>
        <v>1879.3</v>
      </c>
      <c r="D3098" s="53">
        <f t="shared" si="96"/>
        <v>-1.1007149285931035E-2</v>
      </c>
      <c r="E3098" s="53">
        <v>-4.1347928786580933E-3</v>
      </c>
      <c r="G3098" s="90">
        <v>3090</v>
      </c>
      <c r="H3098" s="90">
        <f t="shared" ca="1" si="97"/>
        <v>9.3526875605791319E-3</v>
      </c>
    </row>
    <row r="3099" spans="2:8" x14ac:dyDescent="0.3">
      <c r="B3099" s="58">
        <f>'DATA HISTORICAL'!$B3744</f>
        <v>41339</v>
      </c>
      <c r="C3099" s="60">
        <f>'DATA HISTORICAL'!$C3744</f>
        <v>1900.1</v>
      </c>
      <c r="D3099" s="53">
        <f t="shared" si="96"/>
        <v>-5.2614964909471153E-4</v>
      </c>
      <c r="E3099" s="53">
        <v>-4.1433610527962846E-3</v>
      </c>
      <c r="G3099" s="90">
        <v>3091</v>
      </c>
      <c r="H3099" s="90">
        <f t="shared" ca="1" si="97"/>
        <v>3.4628188674514881E-3</v>
      </c>
    </row>
    <row r="3100" spans="2:8" x14ac:dyDescent="0.3">
      <c r="B3100" s="58">
        <f>'DATA HISTORICAL'!$B3745</f>
        <v>41338</v>
      </c>
      <c r="C3100" s="60">
        <f>'DATA HISTORICAL'!$C3745</f>
        <v>1901.1</v>
      </c>
      <c r="D3100" s="53">
        <f t="shared" si="96"/>
        <v>2.8166368308946223E-2</v>
      </c>
      <c r="E3100" s="53">
        <v>-4.1487214444577095E-3</v>
      </c>
      <c r="G3100" s="90">
        <v>3092</v>
      </c>
      <c r="H3100" s="90">
        <f t="shared" ca="1" si="97"/>
        <v>2.0944919822431671E-2</v>
      </c>
    </row>
    <row r="3101" spans="2:8" x14ac:dyDescent="0.3">
      <c r="B3101" s="58">
        <f>'DATA HISTORICAL'!$B3746</f>
        <v>41337</v>
      </c>
      <c r="C3101" s="60">
        <f>'DATA HISTORICAL'!$C3746</f>
        <v>1848.3</v>
      </c>
      <c r="D3101" s="53">
        <f t="shared" si="96"/>
        <v>-2.050996952711805E-2</v>
      </c>
      <c r="E3101" s="53">
        <v>-4.1492388677510442E-3</v>
      </c>
      <c r="G3101" s="90">
        <v>3093</v>
      </c>
      <c r="H3101" s="90">
        <f t="shared" ca="1" si="97"/>
        <v>3.0371933144746829E-2</v>
      </c>
    </row>
    <row r="3102" spans="2:8" x14ac:dyDescent="0.3">
      <c r="B3102" s="58">
        <f>'DATA HISTORICAL'!$B3747</f>
        <v>41334</v>
      </c>
      <c r="C3102" s="60">
        <f>'DATA HISTORICAL'!$C3747</f>
        <v>1886.6</v>
      </c>
      <c r="D3102" s="53">
        <f t="shared" si="96"/>
        <v>9.8811611898947712E-3</v>
      </c>
      <c r="E3102" s="53">
        <v>-4.1503324781222888E-3</v>
      </c>
      <c r="G3102" s="90">
        <v>3094</v>
      </c>
      <c r="H3102" s="90">
        <f t="shared" ca="1" si="97"/>
        <v>-4.4784419532204661E-2</v>
      </c>
    </row>
    <row r="3103" spans="2:8" x14ac:dyDescent="0.3">
      <c r="B3103" s="58">
        <f>'DATA HISTORICAL'!$B3748</f>
        <v>41333</v>
      </c>
      <c r="C3103" s="60">
        <f>'DATA HISTORICAL'!$C3748</f>
        <v>1868.05</v>
      </c>
      <c r="D3103" s="53">
        <f t="shared" si="96"/>
        <v>-1.7064037746791067E-2</v>
      </c>
      <c r="E3103" s="53">
        <v>-4.1604490542904299E-3</v>
      </c>
      <c r="G3103" s="90">
        <v>3095</v>
      </c>
      <c r="H3103" s="90">
        <f t="shared" ca="1" si="97"/>
        <v>-2.3530811102862974E-2</v>
      </c>
    </row>
    <row r="3104" spans="2:8" x14ac:dyDescent="0.3">
      <c r="B3104" s="58">
        <f>'DATA HISTORICAL'!$B3749</f>
        <v>41332</v>
      </c>
      <c r="C3104" s="60">
        <f>'DATA HISTORICAL'!$C3749</f>
        <v>1900.2</v>
      </c>
      <c r="D3104" s="53">
        <f t="shared" si="96"/>
        <v>-2.8902513616812144E-3</v>
      </c>
      <c r="E3104" s="53">
        <v>-4.164501128780417E-3</v>
      </c>
      <c r="G3104" s="90">
        <v>3096</v>
      </c>
      <c r="H3104" s="90">
        <f t="shared" ca="1" si="97"/>
        <v>-1.1930607395181037E-2</v>
      </c>
    </row>
    <row r="3105" spans="2:8" x14ac:dyDescent="0.3">
      <c r="B3105" s="58">
        <f>'DATA HISTORICAL'!$B3750</f>
        <v>41331</v>
      </c>
      <c r="C3105" s="60">
        <f>'DATA HISTORICAL'!$C3750</f>
        <v>1905.7</v>
      </c>
      <c r="D3105" s="53">
        <f t="shared" si="96"/>
        <v>-3.3527193645834026E-3</v>
      </c>
      <c r="E3105" s="53">
        <v>-4.1872798940123107E-3</v>
      </c>
      <c r="G3105" s="90">
        <v>3097</v>
      </c>
      <c r="H3105" s="90">
        <f t="shared" ca="1" si="97"/>
        <v>1.9490783467113564E-2</v>
      </c>
    </row>
    <row r="3106" spans="2:8" x14ac:dyDescent="0.3">
      <c r="B3106" s="58">
        <f>'DATA HISTORICAL'!$B3751</f>
        <v>41330</v>
      </c>
      <c r="C3106" s="60">
        <f>'DATA HISTORICAL'!$C3751</f>
        <v>1912.1</v>
      </c>
      <c r="D3106" s="53">
        <f t="shared" si="96"/>
        <v>-1.4949668507767732E-2</v>
      </c>
      <c r="E3106" s="53">
        <v>-4.1911815430983462E-3</v>
      </c>
      <c r="G3106" s="90">
        <v>3098</v>
      </c>
      <c r="H3106" s="90">
        <f t="shared" ca="1" si="97"/>
        <v>1.382298099522869E-2</v>
      </c>
    </row>
    <row r="3107" spans="2:8" x14ac:dyDescent="0.3">
      <c r="B3107" s="58">
        <f>'DATA HISTORICAL'!$B3752</f>
        <v>41327</v>
      </c>
      <c r="C3107" s="60">
        <f>'DATA HISTORICAL'!$C3752</f>
        <v>1940.9</v>
      </c>
      <c r="D3107" s="53">
        <f t="shared" si="96"/>
        <v>1.1857199481738882E-3</v>
      </c>
      <c r="E3107" s="53">
        <v>-4.2089652836308821E-3</v>
      </c>
      <c r="G3107" s="90">
        <v>3099</v>
      </c>
      <c r="H3107" s="90">
        <f t="shared" ca="1" si="97"/>
        <v>-4.3316690871984488E-3</v>
      </c>
    </row>
    <row r="3108" spans="2:8" x14ac:dyDescent="0.3">
      <c r="B3108" s="58">
        <f>'DATA HISTORICAL'!$B3753</f>
        <v>41326</v>
      </c>
      <c r="C3108" s="60">
        <f>'DATA HISTORICAL'!$C3753</f>
        <v>1938.6</v>
      </c>
      <c r="D3108" s="53">
        <f t="shared" si="96"/>
        <v>-5.5812184332899662E-3</v>
      </c>
      <c r="E3108" s="53">
        <v>-4.2366816530081137E-3</v>
      </c>
      <c r="G3108" s="90">
        <v>3100</v>
      </c>
      <c r="H3108" s="90">
        <f t="shared" ca="1" si="97"/>
        <v>-2.3075007659531183E-3</v>
      </c>
    </row>
    <row r="3109" spans="2:8" x14ac:dyDescent="0.3">
      <c r="B3109" s="58">
        <f>'DATA HISTORICAL'!$B3754</f>
        <v>41325</v>
      </c>
      <c r="C3109" s="60">
        <f>'DATA HISTORICAL'!$C3754</f>
        <v>1949.45</v>
      </c>
      <c r="D3109" s="53">
        <f t="shared" si="96"/>
        <v>2.9796328330301543E-3</v>
      </c>
      <c r="E3109" s="53">
        <v>-4.2414309385725626E-3</v>
      </c>
      <c r="G3109" s="90">
        <v>3101</v>
      </c>
      <c r="H3109" s="90">
        <f t="shared" ca="1" si="97"/>
        <v>-2.4904030051698329E-3</v>
      </c>
    </row>
    <row r="3110" spans="2:8" x14ac:dyDescent="0.3">
      <c r="B3110" s="58">
        <f>'DATA HISTORICAL'!$B3755</f>
        <v>41324</v>
      </c>
      <c r="C3110" s="60">
        <f>'DATA HISTORICAL'!$C3755</f>
        <v>1943.65</v>
      </c>
      <c r="D3110" s="53">
        <f t="shared" si="96"/>
        <v>1.9665780744679291E-2</v>
      </c>
      <c r="E3110" s="53">
        <v>-4.253156730375459E-3</v>
      </c>
      <c r="G3110" s="90">
        <v>3102</v>
      </c>
      <c r="H3110" s="90">
        <f t="shared" ca="1" si="97"/>
        <v>2.578682566316993E-3</v>
      </c>
    </row>
    <row r="3111" spans="2:8" x14ac:dyDescent="0.3">
      <c r="B3111" s="58">
        <f>'DATA HISTORICAL'!$B3756</f>
        <v>41323</v>
      </c>
      <c r="C3111" s="60">
        <f>'DATA HISTORICAL'!$C3756</f>
        <v>1905.8</v>
      </c>
      <c r="D3111" s="53">
        <f t="shared" si="96"/>
        <v>-1.2618134984843364E-2</v>
      </c>
      <c r="E3111" s="53">
        <v>-4.2541162819919121E-3</v>
      </c>
      <c r="G3111" s="90">
        <v>3103</v>
      </c>
      <c r="H3111" s="90">
        <f t="shared" ca="1" si="97"/>
        <v>9.7646396318552663E-3</v>
      </c>
    </row>
    <row r="3112" spans="2:8" x14ac:dyDescent="0.3">
      <c r="B3112" s="58">
        <f>'DATA HISTORICAL'!$B3757</f>
        <v>41320</v>
      </c>
      <c r="C3112" s="60">
        <f>'DATA HISTORICAL'!$C3757</f>
        <v>1930</v>
      </c>
      <c r="D3112" s="53">
        <f t="shared" si="96"/>
        <v>-1.194905028857395E-2</v>
      </c>
      <c r="E3112" s="53">
        <v>-4.2672862027713877E-3</v>
      </c>
      <c r="G3112" s="90">
        <v>3104</v>
      </c>
      <c r="H3112" s="90">
        <f t="shared" ca="1" si="97"/>
        <v>1.3876372222193512E-5</v>
      </c>
    </row>
    <row r="3113" spans="2:8" x14ac:dyDescent="0.3">
      <c r="B3113" s="58">
        <f>'DATA HISTORICAL'!$B3758</f>
        <v>41319</v>
      </c>
      <c r="C3113" s="60">
        <f>'DATA HISTORICAL'!$C3758</f>
        <v>1953.2</v>
      </c>
      <c r="D3113" s="53">
        <f t="shared" si="96"/>
        <v>5.0814943168474569E-3</v>
      </c>
      <c r="E3113" s="53">
        <v>-4.2734215467264717E-3</v>
      </c>
      <c r="G3113" s="90">
        <v>3105</v>
      </c>
      <c r="H3113" s="90">
        <f t="shared" ca="1" si="97"/>
        <v>6.5873031204483979E-3</v>
      </c>
    </row>
    <row r="3114" spans="2:8" x14ac:dyDescent="0.3">
      <c r="B3114" s="58">
        <f>'DATA HISTORICAL'!$B3759</f>
        <v>41318</v>
      </c>
      <c r="C3114" s="60">
        <f>'DATA HISTORICAL'!$C3759</f>
        <v>1943.3</v>
      </c>
      <c r="D3114" s="53">
        <f t="shared" si="96"/>
        <v>1.1932172991866325E-2</v>
      </c>
      <c r="E3114" s="53">
        <v>-4.2882365086466829E-3</v>
      </c>
      <c r="G3114" s="90">
        <v>3106</v>
      </c>
      <c r="H3114" s="90">
        <f t="shared" ca="1" si="97"/>
        <v>-4.9608910076290652E-3</v>
      </c>
    </row>
    <row r="3115" spans="2:8" x14ac:dyDescent="0.3">
      <c r="B3115" s="58">
        <f>'DATA HISTORICAL'!$B3760</f>
        <v>41317</v>
      </c>
      <c r="C3115" s="60">
        <f>'DATA HISTORICAL'!$C3760</f>
        <v>1920.25</v>
      </c>
      <c r="D3115" s="53">
        <f t="shared" si="96"/>
        <v>3.9395294823029838E-3</v>
      </c>
      <c r="E3115" s="53">
        <v>-4.2894532383191061E-3</v>
      </c>
      <c r="G3115" s="90">
        <v>3107</v>
      </c>
      <c r="H3115" s="90">
        <f t="shared" ca="1" si="97"/>
        <v>1.9290857105578735E-2</v>
      </c>
    </row>
    <row r="3116" spans="2:8" x14ac:dyDescent="0.3">
      <c r="B3116" s="58">
        <f>'DATA HISTORICAL'!$B3761</f>
        <v>41316</v>
      </c>
      <c r="C3116" s="60">
        <f>'DATA HISTORICAL'!$C3761</f>
        <v>1912.7</v>
      </c>
      <c r="D3116" s="53">
        <f t="shared" si="96"/>
        <v>1.4879855277951912E-2</v>
      </c>
      <c r="E3116" s="53">
        <v>-4.2896677673973874E-3</v>
      </c>
      <c r="G3116" s="90">
        <v>3108</v>
      </c>
      <c r="H3116" s="90">
        <f t="shared" ca="1" si="97"/>
        <v>-8.7219691057188395E-4</v>
      </c>
    </row>
    <row r="3117" spans="2:8" x14ac:dyDescent="0.3">
      <c r="B3117" s="58">
        <f>'DATA HISTORICAL'!$B3762</f>
        <v>41313</v>
      </c>
      <c r="C3117" s="60">
        <f>'DATA HISTORICAL'!$C3762</f>
        <v>1884.45</v>
      </c>
      <c r="D3117" s="53">
        <f t="shared" si="96"/>
        <v>-1.936603911911905E-2</v>
      </c>
      <c r="E3117" s="53">
        <v>-4.2931119399825845E-3</v>
      </c>
      <c r="G3117" s="90">
        <v>3109</v>
      </c>
      <c r="H3117" s="90">
        <f t="shared" ca="1" si="97"/>
        <v>-1.9905955453424141E-2</v>
      </c>
    </row>
    <row r="3118" spans="2:8" x14ac:dyDescent="0.3">
      <c r="B3118" s="58">
        <f>'DATA HISTORICAL'!$B3763</f>
        <v>41312</v>
      </c>
      <c r="C3118" s="60">
        <f>'DATA HISTORICAL'!$C3763</f>
        <v>1921.3</v>
      </c>
      <c r="D3118" s="53">
        <f t="shared" si="96"/>
        <v>-2.1293560619064872E-2</v>
      </c>
      <c r="E3118" s="53">
        <v>-4.3222908432292532E-3</v>
      </c>
      <c r="G3118" s="90">
        <v>3110</v>
      </c>
      <c r="H3118" s="90">
        <f t="shared" ca="1" si="97"/>
        <v>9.4215852939116516E-3</v>
      </c>
    </row>
    <row r="3119" spans="2:8" x14ac:dyDescent="0.3">
      <c r="B3119" s="58">
        <f>'DATA HISTORICAL'!$B3764</f>
        <v>41311</v>
      </c>
      <c r="C3119" s="60">
        <f>'DATA HISTORICAL'!$C3764</f>
        <v>1962.65</v>
      </c>
      <c r="D3119" s="53">
        <f t="shared" si="96"/>
        <v>1.916186251285425E-2</v>
      </c>
      <c r="E3119" s="53">
        <v>-4.3279894438652032E-3</v>
      </c>
      <c r="G3119" s="90">
        <v>3111</v>
      </c>
      <c r="H3119" s="90">
        <f t="shared" ca="1" si="97"/>
        <v>6.8369744886942509E-3</v>
      </c>
    </row>
    <row r="3120" spans="2:8" x14ac:dyDescent="0.3">
      <c r="B3120" s="58">
        <f>'DATA HISTORICAL'!$B3765</f>
        <v>41310</v>
      </c>
      <c r="C3120" s="60">
        <f>'DATA HISTORICAL'!$C3765</f>
        <v>1925.4</v>
      </c>
      <c r="D3120" s="53">
        <f t="shared" si="96"/>
        <v>1.4675562582205877E-2</v>
      </c>
      <c r="E3120" s="53">
        <v>-4.3352669055393587E-3</v>
      </c>
      <c r="G3120" s="90">
        <v>3112</v>
      </c>
      <c r="H3120" s="90">
        <f t="shared" ca="1" si="97"/>
        <v>-2.5314097690544461E-3</v>
      </c>
    </row>
    <row r="3121" spans="2:8" x14ac:dyDescent="0.3">
      <c r="B3121" s="58">
        <f>'DATA HISTORICAL'!$B3766</f>
        <v>41309</v>
      </c>
      <c r="C3121" s="60">
        <f>'DATA HISTORICAL'!$C3766</f>
        <v>1897.35</v>
      </c>
      <c r="D3121" s="53">
        <f t="shared" si="96"/>
        <v>3.1916178507463422E-2</v>
      </c>
      <c r="E3121" s="53">
        <v>-4.3399562456063606E-3</v>
      </c>
      <c r="G3121" s="90">
        <v>3113</v>
      </c>
      <c r="H3121" s="90">
        <f t="shared" ca="1" si="97"/>
        <v>2.8649156603038912E-2</v>
      </c>
    </row>
    <row r="3122" spans="2:8" x14ac:dyDescent="0.3">
      <c r="B3122" s="58">
        <f>'DATA HISTORICAL'!$B3767</f>
        <v>41306</v>
      </c>
      <c r="C3122" s="60">
        <f>'DATA HISTORICAL'!$C3767</f>
        <v>1837.75</v>
      </c>
      <c r="D3122" s="53">
        <f t="shared" si="96"/>
        <v>-3.4653094345234538E-2</v>
      </c>
      <c r="E3122" s="53">
        <v>-4.3447130752594107E-3</v>
      </c>
      <c r="G3122" s="90">
        <v>3114</v>
      </c>
      <c r="H3122" s="90">
        <f t="shared" ca="1" si="97"/>
        <v>3.7743129652461731E-2</v>
      </c>
    </row>
    <row r="3123" spans="2:8" x14ac:dyDescent="0.3">
      <c r="B3123" s="58">
        <f>'DATA HISTORICAL'!$B3768</f>
        <v>41305</v>
      </c>
      <c r="C3123" s="60">
        <f>'DATA HISTORICAL'!$C3768</f>
        <v>1902.55</v>
      </c>
      <c r="D3123" s="53">
        <f t="shared" si="96"/>
        <v>9.6121577702303306E-3</v>
      </c>
      <c r="E3123" s="53">
        <v>-4.3514603499204448E-3</v>
      </c>
      <c r="G3123" s="90">
        <v>3115</v>
      </c>
      <c r="H3123" s="90">
        <f t="shared" ca="1" si="97"/>
        <v>1.0156958689027801E-2</v>
      </c>
    </row>
    <row r="3124" spans="2:8" x14ac:dyDescent="0.3">
      <c r="B3124" s="58">
        <f>'DATA HISTORICAL'!$B3769</f>
        <v>41304</v>
      </c>
      <c r="C3124" s="60">
        <f>'DATA HISTORICAL'!$C3769</f>
        <v>1884.35</v>
      </c>
      <c r="D3124" s="53">
        <f t="shared" si="96"/>
        <v>1.4566802630194064E-2</v>
      </c>
      <c r="E3124" s="53">
        <v>-4.3636720080422612E-3</v>
      </c>
      <c r="G3124" s="90">
        <v>3116</v>
      </c>
      <c r="H3124" s="90">
        <f t="shared" ca="1" si="97"/>
        <v>-1.0990442859435366E-4</v>
      </c>
    </row>
    <row r="3125" spans="2:8" x14ac:dyDescent="0.3">
      <c r="B3125" s="58">
        <f>'DATA HISTORICAL'!$B3770</f>
        <v>41303</v>
      </c>
      <c r="C3125" s="60">
        <f>'DATA HISTORICAL'!$C3770</f>
        <v>1857.1</v>
      </c>
      <c r="D3125" s="53">
        <f t="shared" si="96"/>
        <v>-1.5733632962266954E-2</v>
      </c>
      <c r="E3125" s="53">
        <v>-4.3664524829040872E-3</v>
      </c>
      <c r="G3125" s="90">
        <v>3117</v>
      </c>
      <c r="H3125" s="90">
        <f t="shared" ca="1" si="97"/>
        <v>3.9048309310495983E-3</v>
      </c>
    </row>
    <row r="3126" spans="2:8" x14ac:dyDescent="0.3">
      <c r="B3126" s="58">
        <f>'DATA HISTORICAL'!$B3771</f>
        <v>41302</v>
      </c>
      <c r="C3126" s="60">
        <f>'DATA HISTORICAL'!$C3771</f>
        <v>1886.55</v>
      </c>
      <c r="D3126" s="53">
        <f t="shared" si="96"/>
        <v>-1.5829106272030935E-2</v>
      </c>
      <c r="E3126" s="53">
        <v>-4.3671267547779821E-3</v>
      </c>
      <c r="G3126" s="90">
        <v>3118</v>
      </c>
      <c r="H3126" s="90">
        <f t="shared" ca="1" si="97"/>
        <v>-3.1633152390851153E-3</v>
      </c>
    </row>
    <row r="3127" spans="2:8" x14ac:dyDescent="0.3">
      <c r="B3127" s="58">
        <f>'DATA HISTORICAL'!$B3772</f>
        <v>41299</v>
      </c>
      <c r="C3127" s="60">
        <f>'DATA HISTORICAL'!$C3772</f>
        <v>1916.65</v>
      </c>
      <c r="D3127" s="53">
        <f t="shared" si="96"/>
        <v>-1.7173576088832587E-2</v>
      </c>
      <c r="E3127" s="53">
        <v>-4.3683251439421526E-3</v>
      </c>
      <c r="G3127" s="90">
        <v>3119</v>
      </c>
      <c r="H3127" s="90">
        <f t="shared" ca="1" si="97"/>
        <v>2.6914267155341481E-2</v>
      </c>
    </row>
    <row r="3128" spans="2:8" x14ac:dyDescent="0.3">
      <c r="B3128" s="58">
        <f>'DATA HISTORICAL'!$B3773</f>
        <v>41298</v>
      </c>
      <c r="C3128" s="60">
        <f>'DATA HISTORICAL'!$C3773</f>
        <v>1949.85</v>
      </c>
      <c r="D3128" s="53">
        <f t="shared" si="96"/>
        <v>-2.4587027368869687E-3</v>
      </c>
      <c r="E3128" s="53">
        <v>-4.3756697065356828E-3</v>
      </c>
      <c r="G3128" s="90">
        <v>3120</v>
      </c>
      <c r="H3128" s="90">
        <f t="shared" ca="1" si="97"/>
        <v>1.792092397723187E-2</v>
      </c>
    </row>
    <row r="3129" spans="2:8" x14ac:dyDescent="0.3">
      <c r="B3129" s="58">
        <f>'DATA HISTORICAL'!$B3774</f>
        <v>41297</v>
      </c>
      <c r="C3129" s="60">
        <f>'DATA HISTORICAL'!$C3774</f>
        <v>1954.65</v>
      </c>
      <c r="D3129" s="53">
        <f t="shared" si="96"/>
        <v>8.7009934857812485E-4</v>
      </c>
      <c r="E3129" s="53">
        <v>-4.3841290080304865E-3</v>
      </c>
      <c r="G3129" s="90">
        <v>3121</v>
      </c>
      <c r="H3129" s="90">
        <f t="shared" ca="1" si="97"/>
        <v>-3.8793699568794035E-3</v>
      </c>
    </row>
    <row r="3130" spans="2:8" x14ac:dyDescent="0.3">
      <c r="B3130" s="58">
        <f>'DATA HISTORICAL'!$B3775</f>
        <v>41296</v>
      </c>
      <c r="C3130" s="60">
        <f>'DATA HISTORICAL'!$C3775</f>
        <v>1952.95</v>
      </c>
      <c r="D3130" s="53">
        <f t="shared" si="96"/>
        <v>1.1070033755793877E-2</v>
      </c>
      <c r="E3130" s="53">
        <v>-4.4138489738025401E-3</v>
      </c>
      <c r="G3130" s="90">
        <v>3122</v>
      </c>
      <c r="H3130" s="90">
        <f t="shared" ca="1" si="97"/>
        <v>1.2620674239336258E-2</v>
      </c>
    </row>
    <row r="3131" spans="2:8" x14ac:dyDescent="0.3">
      <c r="B3131" s="58">
        <f>'DATA HISTORICAL'!$B3776</f>
        <v>41295</v>
      </c>
      <c r="C3131" s="60">
        <f>'DATA HISTORICAL'!$C3776</f>
        <v>1931.45</v>
      </c>
      <c r="D3131" s="53">
        <f t="shared" si="96"/>
        <v>1.1534333435233886E-2</v>
      </c>
      <c r="E3131" s="53">
        <v>-4.4153758971287827E-3</v>
      </c>
      <c r="G3131" s="90">
        <v>3123</v>
      </c>
      <c r="H3131" s="90">
        <f t="shared" ca="1" si="97"/>
        <v>3.4907100520387924E-2</v>
      </c>
    </row>
    <row r="3132" spans="2:8" x14ac:dyDescent="0.3">
      <c r="B3132" s="58">
        <f>'DATA HISTORICAL'!$B3777</f>
        <v>41292</v>
      </c>
      <c r="C3132" s="60">
        <f>'DATA HISTORICAL'!$C3777</f>
        <v>1909.3</v>
      </c>
      <c r="D3132" s="53">
        <f t="shared" si="96"/>
        <v>-5.4978860704428881E-4</v>
      </c>
      <c r="E3132" s="53">
        <v>-4.4188951037067705E-3</v>
      </c>
      <c r="G3132" s="90">
        <v>3124</v>
      </c>
      <c r="H3132" s="90">
        <f t="shared" ca="1" si="97"/>
        <v>2.2348016679948981E-2</v>
      </c>
    </row>
    <row r="3133" spans="2:8" x14ac:dyDescent="0.3">
      <c r="B3133" s="58">
        <f>'DATA HISTORICAL'!$B3778</f>
        <v>41291</v>
      </c>
      <c r="C3133" s="60">
        <f>'DATA HISTORICAL'!$C3778</f>
        <v>1910.35</v>
      </c>
      <c r="D3133" s="53">
        <f t="shared" si="96"/>
        <v>-5.4032315843432852E-3</v>
      </c>
      <c r="E3133" s="53">
        <v>-4.4247170421237532E-3</v>
      </c>
      <c r="G3133" s="90">
        <v>3125</v>
      </c>
      <c r="H3133" s="90">
        <f t="shared" ca="1" si="97"/>
        <v>-3.391447930652642E-2</v>
      </c>
    </row>
    <row r="3134" spans="2:8" x14ac:dyDescent="0.3">
      <c r="B3134" s="58">
        <f>'DATA HISTORICAL'!$B3779</f>
        <v>41290</v>
      </c>
      <c r="C3134" s="60">
        <f>'DATA HISTORICAL'!$C3779</f>
        <v>1920.7</v>
      </c>
      <c r="D3134" s="53">
        <f t="shared" si="96"/>
        <v>7.8099577000345329E-5</v>
      </c>
      <c r="E3134" s="53">
        <v>-4.4292109414384596E-3</v>
      </c>
      <c r="G3134" s="90">
        <v>3126</v>
      </c>
      <c r="H3134" s="90">
        <f t="shared" ca="1" si="97"/>
        <v>-1.0948463904815655E-2</v>
      </c>
    </row>
    <row r="3135" spans="2:8" x14ac:dyDescent="0.3">
      <c r="B3135" s="58">
        <f>'DATA HISTORICAL'!$B3780</f>
        <v>41289</v>
      </c>
      <c r="C3135" s="60">
        <f>'DATA HISTORICAL'!$C3780</f>
        <v>1920.55</v>
      </c>
      <c r="D3135" s="53">
        <f t="shared" si="96"/>
        <v>2.8734118305196288E-2</v>
      </c>
      <c r="E3135" s="53">
        <v>-4.4461953721938591E-3</v>
      </c>
      <c r="G3135" s="90">
        <v>3127</v>
      </c>
      <c r="H3135" s="90">
        <f t="shared" ca="1" si="97"/>
        <v>2.7797883645763268E-2</v>
      </c>
    </row>
    <row r="3136" spans="2:8" x14ac:dyDescent="0.3">
      <c r="B3136" s="58">
        <f>'DATA HISTORICAL'!$B3781</f>
        <v>41288</v>
      </c>
      <c r="C3136" s="60">
        <f>'DATA HISTORICAL'!$C3781</f>
        <v>1866.15</v>
      </c>
      <c r="D3136" s="53">
        <f t="shared" si="96"/>
        <v>-9.1480721720917767E-3</v>
      </c>
      <c r="E3136" s="53">
        <v>-4.4601012902472145E-3</v>
      </c>
      <c r="G3136" s="90">
        <v>3128</v>
      </c>
      <c r="H3136" s="90">
        <f t="shared" ca="1" si="97"/>
        <v>1.3369347235592344E-2</v>
      </c>
    </row>
    <row r="3137" spans="2:8" x14ac:dyDescent="0.3">
      <c r="B3137" s="58">
        <f>'DATA HISTORICAL'!$B3782</f>
        <v>41285</v>
      </c>
      <c r="C3137" s="60">
        <f>'DATA HISTORICAL'!$C3782</f>
        <v>1883.3</v>
      </c>
      <c r="D3137" s="53">
        <f t="shared" si="96"/>
        <v>-8.3808604336704316E-3</v>
      </c>
      <c r="E3137" s="53">
        <v>-4.4807361792513706E-3</v>
      </c>
      <c r="G3137" s="90">
        <v>3129</v>
      </c>
      <c r="H3137" s="90">
        <f t="shared" ca="1" si="97"/>
        <v>5.9138013455298379E-2</v>
      </c>
    </row>
    <row r="3138" spans="2:8" x14ac:dyDescent="0.3">
      <c r="B3138" s="58">
        <f>'DATA HISTORICAL'!$B3783</f>
        <v>41284</v>
      </c>
      <c r="C3138" s="60">
        <f>'DATA HISTORICAL'!$C3783</f>
        <v>1899.15</v>
      </c>
      <c r="D3138" s="53">
        <f t="shared" si="96"/>
        <v>-3.2736316980012593E-2</v>
      </c>
      <c r="E3138" s="53">
        <v>-4.4829664543817021E-3</v>
      </c>
      <c r="G3138" s="90">
        <v>3130</v>
      </c>
      <c r="H3138" s="90">
        <f t="shared" ca="1" si="97"/>
        <v>-2.8830278604039482E-2</v>
      </c>
    </row>
    <row r="3139" spans="2:8" x14ac:dyDescent="0.3">
      <c r="B3139" s="58">
        <f>'DATA HISTORICAL'!$B3784</f>
        <v>41283</v>
      </c>
      <c r="C3139" s="60">
        <f>'DATA HISTORICAL'!$C3784</f>
        <v>1962.35</v>
      </c>
      <c r="D3139" s="53">
        <f t="shared" si="96"/>
        <v>-2.8533896143827307E-2</v>
      </c>
      <c r="E3139" s="53">
        <v>-4.4905928784473165E-3</v>
      </c>
      <c r="G3139" s="90">
        <v>3131</v>
      </c>
      <c r="H3139" s="90">
        <f t="shared" ca="1" si="97"/>
        <v>-1.0449346286078753E-2</v>
      </c>
    </row>
    <row r="3140" spans="2:8" x14ac:dyDescent="0.3">
      <c r="B3140" s="58">
        <f>'DATA HISTORICAL'!$B3785</f>
        <v>41282</v>
      </c>
      <c r="C3140" s="60">
        <f>'DATA HISTORICAL'!$C3785</f>
        <v>2019.15</v>
      </c>
      <c r="D3140" s="53">
        <f t="shared" si="96"/>
        <v>-1.0616255476828266E-2</v>
      </c>
      <c r="E3140" s="53">
        <v>-4.5047636723054884E-3</v>
      </c>
      <c r="G3140" s="90">
        <v>3132</v>
      </c>
      <c r="H3140" s="90">
        <f t="shared" ca="1" si="97"/>
        <v>1.6709184453299556E-3</v>
      </c>
    </row>
    <row r="3141" spans="2:8" x14ac:dyDescent="0.3">
      <c r="B3141" s="58">
        <f>'DATA HISTORICAL'!$B3786</f>
        <v>41281</v>
      </c>
      <c r="C3141" s="60">
        <f>'DATA HISTORICAL'!$C3786</f>
        <v>2040.7</v>
      </c>
      <c r="D3141" s="53">
        <f t="shared" si="96"/>
        <v>-5.8786069394902417E-4</v>
      </c>
      <c r="E3141" s="53">
        <v>-4.5254556186904733E-3</v>
      </c>
      <c r="G3141" s="90">
        <v>3133</v>
      </c>
      <c r="H3141" s="90">
        <f t="shared" ca="1" si="97"/>
        <v>3.027900861446748E-2</v>
      </c>
    </row>
    <row r="3142" spans="2:8" x14ac:dyDescent="0.3">
      <c r="B3142" s="58">
        <f>'DATA HISTORICAL'!$B3787</f>
        <v>41278</v>
      </c>
      <c r="C3142" s="60">
        <f>'DATA HISTORICAL'!$C3787</f>
        <v>2041.9</v>
      </c>
      <c r="D3142" s="53">
        <f t="shared" si="96"/>
        <v>8.3851232060433867E-3</v>
      </c>
      <c r="E3142" s="53">
        <v>-4.5273528978470017E-3</v>
      </c>
      <c r="G3142" s="90">
        <v>3134</v>
      </c>
      <c r="H3142" s="90">
        <f t="shared" ca="1" si="97"/>
        <v>4.0894024500657079E-2</v>
      </c>
    </row>
    <row r="3143" spans="2:8" x14ac:dyDescent="0.3">
      <c r="B3143" s="58">
        <f>'DATA HISTORICAL'!$B3788</f>
        <v>41277</v>
      </c>
      <c r="C3143" s="60">
        <f>'DATA HISTORICAL'!$C3788</f>
        <v>2024.85</v>
      </c>
      <c r="D3143" s="53">
        <f t="shared" si="96"/>
        <v>-5.1230377311414386E-3</v>
      </c>
      <c r="E3143" s="53">
        <v>-4.5434954837412457E-3</v>
      </c>
      <c r="G3143" s="90">
        <v>3135</v>
      </c>
      <c r="H3143" s="90">
        <f t="shared" ca="1" si="97"/>
        <v>-1.047209705155366E-2</v>
      </c>
    </row>
    <row r="3144" spans="2:8" x14ac:dyDescent="0.3">
      <c r="B3144" s="58">
        <f>'DATA HISTORICAL'!$B3789</f>
        <v>41276</v>
      </c>
      <c r="C3144" s="60">
        <f>'DATA HISTORICAL'!$C3789</f>
        <v>2035.25</v>
      </c>
      <c r="D3144" s="53">
        <f t="shared" si="96"/>
        <v>6.1359712482590917E-3</v>
      </c>
      <c r="E3144" s="53">
        <v>-4.5474268941915717E-3</v>
      </c>
      <c r="G3144" s="90">
        <v>3136</v>
      </c>
      <c r="H3144" s="90">
        <f t="shared" ca="1" si="97"/>
        <v>-5.248636894909192E-3</v>
      </c>
    </row>
    <row r="3145" spans="2:8" x14ac:dyDescent="0.3">
      <c r="B3145" s="58">
        <f>'DATA HISTORICAL'!$B3790</f>
        <v>41275</v>
      </c>
      <c r="C3145" s="60">
        <f>'DATA HISTORICAL'!$C3790</f>
        <v>2022.8</v>
      </c>
      <c r="D3145" s="53">
        <f t="shared" ref="D3145:D3208" si="98">LN(C3145/C3146)</f>
        <v>1.820907860691794E-2</v>
      </c>
      <c r="E3145" s="53">
        <v>-4.5492622736106542E-3</v>
      </c>
      <c r="G3145" s="90">
        <v>3137</v>
      </c>
      <c r="H3145" s="90">
        <f t="shared" ref="H3145:H3208" ca="1" si="99">_xlfn.NORM.INV(RAND(),N$10,N$11)</f>
        <v>2.8143684488711615E-2</v>
      </c>
    </row>
    <row r="3146" spans="2:8" x14ac:dyDescent="0.3">
      <c r="B3146" s="58">
        <f>'DATA HISTORICAL'!$B3791</f>
        <v>41274</v>
      </c>
      <c r="C3146" s="60">
        <f>'DATA HISTORICAL'!$C3791</f>
        <v>1986.3</v>
      </c>
      <c r="D3146" s="53">
        <f t="shared" si="98"/>
        <v>7.3521383208097809E-3</v>
      </c>
      <c r="E3146" s="53">
        <v>-4.550834801973931E-3</v>
      </c>
      <c r="G3146" s="90">
        <v>3138</v>
      </c>
      <c r="H3146" s="90">
        <f t="shared" ca="1" si="99"/>
        <v>-7.2625283673207848E-3</v>
      </c>
    </row>
    <row r="3147" spans="2:8" x14ac:dyDescent="0.3">
      <c r="B3147" s="58">
        <f>'DATA HISTORICAL'!$B3792</f>
        <v>41271</v>
      </c>
      <c r="C3147" s="60">
        <f>'DATA HISTORICAL'!$C3792</f>
        <v>1971.75</v>
      </c>
      <c r="D3147" s="53">
        <f t="shared" si="98"/>
        <v>2.589885664579677E-3</v>
      </c>
      <c r="E3147" s="53">
        <v>-4.5562628113850851E-3</v>
      </c>
      <c r="G3147" s="90">
        <v>3139</v>
      </c>
      <c r="H3147" s="90">
        <f t="shared" ca="1" si="99"/>
        <v>-3.4986274497822004E-2</v>
      </c>
    </row>
    <row r="3148" spans="2:8" x14ac:dyDescent="0.3">
      <c r="B3148" s="58">
        <f>'DATA HISTORICAL'!$B3793</f>
        <v>41270</v>
      </c>
      <c r="C3148" s="60">
        <f>'DATA HISTORICAL'!$C3793</f>
        <v>1966.65</v>
      </c>
      <c r="D3148" s="53">
        <f t="shared" si="98"/>
        <v>-5.1983735883712077E-3</v>
      </c>
      <c r="E3148" s="53">
        <v>-4.5611133046483867E-3</v>
      </c>
      <c r="G3148" s="90">
        <v>3140</v>
      </c>
      <c r="H3148" s="90">
        <f t="shared" ca="1" si="99"/>
        <v>2.1716836695023403E-2</v>
      </c>
    </row>
    <row r="3149" spans="2:8" x14ac:dyDescent="0.3">
      <c r="B3149" s="58">
        <f>'DATA HISTORICAL'!$B3794</f>
        <v>41269</v>
      </c>
      <c r="C3149" s="60">
        <f>'DATA HISTORICAL'!$C3794</f>
        <v>1976.9</v>
      </c>
      <c r="D3149" s="53">
        <f t="shared" si="98"/>
        <v>1.0347243038460272E-2</v>
      </c>
      <c r="E3149" s="53">
        <v>-4.5640336755637043E-3</v>
      </c>
      <c r="G3149" s="90">
        <v>3141</v>
      </c>
      <c r="H3149" s="90">
        <f t="shared" ca="1" si="99"/>
        <v>6.5121131791848509E-3</v>
      </c>
    </row>
    <row r="3150" spans="2:8" x14ac:dyDescent="0.3">
      <c r="B3150" s="58">
        <f>'DATA HISTORICAL'!$B3795</f>
        <v>41267</v>
      </c>
      <c r="C3150" s="60">
        <f>'DATA HISTORICAL'!$C3795</f>
        <v>1956.55</v>
      </c>
      <c r="D3150" s="53">
        <f t="shared" si="98"/>
        <v>-1.6248155382541662E-2</v>
      </c>
      <c r="E3150" s="53">
        <v>-4.5662179795810829E-3</v>
      </c>
      <c r="G3150" s="90">
        <v>3142</v>
      </c>
      <c r="H3150" s="90">
        <f t="shared" ca="1" si="99"/>
        <v>-7.5886479007481805E-3</v>
      </c>
    </row>
    <row r="3151" spans="2:8" x14ac:dyDescent="0.3">
      <c r="B3151" s="58">
        <f>'DATA HISTORICAL'!$B3796</f>
        <v>41264</v>
      </c>
      <c r="C3151" s="60">
        <f>'DATA HISTORICAL'!$C3796</f>
        <v>1988.6</v>
      </c>
      <c r="D3151" s="53">
        <f t="shared" si="98"/>
        <v>-1.1946856746745281E-2</v>
      </c>
      <c r="E3151" s="53">
        <v>-4.5664997588991596E-3</v>
      </c>
      <c r="G3151" s="90">
        <v>3143</v>
      </c>
      <c r="H3151" s="90">
        <f t="shared" ca="1" si="99"/>
        <v>-2.1591402538581054E-2</v>
      </c>
    </row>
    <row r="3152" spans="2:8" x14ac:dyDescent="0.3">
      <c r="B3152" s="58">
        <f>'DATA HISTORICAL'!$B3797</f>
        <v>41263</v>
      </c>
      <c r="C3152" s="60">
        <f>'DATA HISTORICAL'!$C3797</f>
        <v>2012.5</v>
      </c>
      <c r="D3152" s="53">
        <f t="shared" si="98"/>
        <v>-2.2087390632075142E-3</v>
      </c>
      <c r="E3152" s="53">
        <v>-4.5665387772381551E-3</v>
      </c>
      <c r="G3152" s="90">
        <v>3144</v>
      </c>
      <c r="H3152" s="90">
        <f t="shared" ca="1" si="99"/>
        <v>-2.8386096928070806E-3</v>
      </c>
    </row>
    <row r="3153" spans="2:8" x14ac:dyDescent="0.3">
      <c r="B3153" s="58">
        <f>'DATA HISTORICAL'!$B3798</f>
        <v>41262</v>
      </c>
      <c r="C3153" s="60">
        <f>'DATA HISTORICAL'!$C3798</f>
        <v>2016.95</v>
      </c>
      <c r="D3153" s="53">
        <f t="shared" si="98"/>
        <v>1.8113025236226518E-3</v>
      </c>
      <c r="E3153" s="53">
        <v>-4.5716455228184232E-3</v>
      </c>
      <c r="G3153" s="90">
        <v>3145</v>
      </c>
      <c r="H3153" s="90">
        <f t="shared" ca="1" si="99"/>
        <v>-1.7071822949098998E-2</v>
      </c>
    </row>
    <row r="3154" spans="2:8" x14ac:dyDescent="0.3">
      <c r="B3154" s="58">
        <f>'DATA HISTORICAL'!$B3799</f>
        <v>41261</v>
      </c>
      <c r="C3154" s="60">
        <f>'DATA HISTORICAL'!$C3799</f>
        <v>2013.3</v>
      </c>
      <c r="D3154" s="53">
        <f t="shared" si="98"/>
        <v>1.7082444194079699E-2</v>
      </c>
      <c r="E3154" s="53">
        <v>-4.5760707800437932E-3</v>
      </c>
      <c r="G3154" s="90">
        <v>3146</v>
      </c>
      <c r="H3154" s="90">
        <f t="shared" ca="1" si="99"/>
        <v>1.5051609299748324E-2</v>
      </c>
    </row>
    <row r="3155" spans="2:8" x14ac:dyDescent="0.3">
      <c r="B3155" s="58">
        <f>'DATA HISTORICAL'!$B3800</f>
        <v>41260</v>
      </c>
      <c r="C3155" s="60">
        <f>'DATA HISTORICAL'!$C3800</f>
        <v>1979.2</v>
      </c>
      <c r="D3155" s="53">
        <f t="shared" si="98"/>
        <v>-6.8228716698091538E-3</v>
      </c>
      <c r="E3155" s="53">
        <v>-4.5889998090874514E-3</v>
      </c>
      <c r="G3155" s="90">
        <v>3147</v>
      </c>
      <c r="H3155" s="90">
        <f t="shared" ca="1" si="99"/>
        <v>1.8786526799838887E-2</v>
      </c>
    </row>
    <row r="3156" spans="2:8" x14ac:dyDescent="0.3">
      <c r="B3156" s="58">
        <f>'DATA HISTORICAL'!$B3801</f>
        <v>41257</v>
      </c>
      <c r="C3156" s="60">
        <f>'DATA HISTORICAL'!$C3801</f>
        <v>1992.75</v>
      </c>
      <c r="D3156" s="53">
        <f t="shared" si="98"/>
        <v>2.2070911118323194E-2</v>
      </c>
      <c r="E3156" s="53">
        <v>-4.5943148733881773E-3</v>
      </c>
      <c r="G3156" s="90">
        <v>3148</v>
      </c>
      <c r="H3156" s="90">
        <f t="shared" ca="1" si="99"/>
        <v>4.7153680972161834E-2</v>
      </c>
    </row>
    <row r="3157" spans="2:8" x14ac:dyDescent="0.3">
      <c r="B3157" s="58">
        <f>'DATA HISTORICAL'!$B3802</f>
        <v>41256</v>
      </c>
      <c r="C3157" s="60">
        <f>'DATA HISTORICAL'!$C3802</f>
        <v>1949.25</v>
      </c>
      <c r="D3157" s="53">
        <f t="shared" si="98"/>
        <v>2.4398085939074622E-3</v>
      </c>
      <c r="E3157" s="53">
        <v>-4.6195688512242778E-3</v>
      </c>
      <c r="G3157" s="90">
        <v>3149</v>
      </c>
      <c r="H3157" s="90">
        <f t="shared" ca="1" si="99"/>
        <v>7.7309258172719181E-3</v>
      </c>
    </row>
    <row r="3158" spans="2:8" x14ac:dyDescent="0.3">
      <c r="B3158" s="58">
        <f>'DATA HISTORICAL'!$B3803</f>
        <v>41255</v>
      </c>
      <c r="C3158" s="60">
        <f>'DATA HISTORICAL'!$C3803</f>
        <v>1944.5</v>
      </c>
      <c r="D3158" s="53">
        <f t="shared" si="98"/>
        <v>-1.7536260159056048E-2</v>
      </c>
      <c r="E3158" s="53">
        <v>-4.6282822934553547E-3</v>
      </c>
      <c r="G3158" s="90">
        <v>3150</v>
      </c>
      <c r="H3158" s="90">
        <f t="shared" ca="1" si="99"/>
        <v>6.3089132675072605E-3</v>
      </c>
    </row>
    <row r="3159" spans="2:8" x14ac:dyDescent="0.3">
      <c r="B3159" s="58">
        <f>'DATA HISTORICAL'!$B3804</f>
        <v>41254</v>
      </c>
      <c r="C3159" s="60">
        <f>'DATA HISTORICAL'!$C3804</f>
        <v>1978.9</v>
      </c>
      <c r="D3159" s="53">
        <f t="shared" si="98"/>
        <v>1.5943289446312174E-2</v>
      </c>
      <c r="E3159" s="53">
        <v>-4.635378834308786E-3</v>
      </c>
      <c r="G3159" s="90">
        <v>3151</v>
      </c>
      <c r="H3159" s="90">
        <f t="shared" ca="1" si="99"/>
        <v>1.6184303321328003E-2</v>
      </c>
    </row>
    <row r="3160" spans="2:8" x14ac:dyDescent="0.3">
      <c r="B3160" s="58">
        <f>'DATA HISTORICAL'!$B3805</f>
        <v>41253</v>
      </c>
      <c r="C3160" s="60">
        <f>'DATA HISTORICAL'!$C3805</f>
        <v>1947.6</v>
      </c>
      <c r="D3160" s="53">
        <f t="shared" si="98"/>
        <v>-7.4684474207446566E-3</v>
      </c>
      <c r="E3160" s="53">
        <v>-4.6367430011200065E-3</v>
      </c>
      <c r="G3160" s="90">
        <v>3152</v>
      </c>
      <c r="H3160" s="90">
        <f t="shared" ca="1" si="99"/>
        <v>-6.2573061413169094E-3</v>
      </c>
    </row>
    <row r="3161" spans="2:8" x14ac:dyDescent="0.3">
      <c r="B3161" s="58">
        <f>'DATA HISTORICAL'!$B3806</f>
        <v>41250</v>
      </c>
      <c r="C3161" s="60">
        <f>'DATA HISTORICAL'!$C3806</f>
        <v>1962.2</v>
      </c>
      <c r="D3161" s="53">
        <f t="shared" si="98"/>
        <v>-9.15680661509863E-3</v>
      </c>
      <c r="E3161" s="53">
        <v>-4.6523927386190982E-3</v>
      </c>
      <c r="G3161" s="90">
        <v>3153</v>
      </c>
      <c r="H3161" s="90">
        <f t="shared" ca="1" si="99"/>
        <v>1.3393040977548521E-2</v>
      </c>
    </row>
    <row r="3162" spans="2:8" x14ac:dyDescent="0.3">
      <c r="B3162" s="58">
        <f>'DATA HISTORICAL'!$B3807</f>
        <v>41249</v>
      </c>
      <c r="C3162" s="60">
        <f>'DATA HISTORICAL'!$C3807</f>
        <v>1980.25</v>
      </c>
      <c r="D3162" s="53">
        <f t="shared" si="98"/>
        <v>1.3984463853982474E-2</v>
      </c>
      <c r="E3162" s="53">
        <v>-4.6708696384733005E-3</v>
      </c>
      <c r="G3162" s="90">
        <v>3154</v>
      </c>
      <c r="H3162" s="90">
        <f t="shared" ca="1" si="99"/>
        <v>1.7056379266472427E-2</v>
      </c>
    </row>
    <row r="3163" spans="2:8" x14ac:dyDescent="0.3">
      <c r="B3163" s="58">
        <f>'DATA HISTORICAL'!$B3808</f>
        <v>41248</v>
      </c>
      <c r="C3163" s="60">
        <f>'DATA HISTORICAL'!$C3808</f>
        <v>1952.75</v>
      </c>
      <c r="D3163" s="53">
        <f t="shared" si="98"/>
        <v>-1.4236925354944611E-2</v>
      </c>
      <c r="E3163" s="53">
        <v>-4.6716928982766248E-3</v>
      </c>
      <c r="G3163" s="90">
        <v>3155</v>
      </c>
      <c r="H3163" s="90">
        <f t="shared" ca="1" si="99"/>
        <v>1.5696705499654937E-2</v>
      </c>
    </row>
    <row r="3164" spans="2:8" x14ac:dyDescent="0.3">
      <c r="B3164" s="58">
        <f>'DATA HISTORICAL'!$B3809</f>
        <v>41247</v>
      </c>
      <c r="C3164" s="60">
        <f>'DATA HISTORICAL'!$C3809</f>
        <v>1980.75</v>
      </c>
      <c r="D3164" s="53">
        <f t="shared" si="98"/>
        <v>-9.5466118835800008E-3</v>
      </c>
      <c r="E3164" s="53">
        <v>-4.6780492577124426E-3</v>
      </c>
      <c r="G3164" s="90">
        <v>3156</v>
      </c>
      <c r="H3164" s="90">
        <f t="shared" ca="1" si="99"/>
        <v>-1.6667308348768329E-2</v>
      </c>
    </row>
    <row r="3165" spans="2:8" x14ac:dyDescent="0.3">
      <c r="B3165" s="58">
        <f>'DATA HISTORICAL'!$B3810</f>
        <v>41246</v>
      </c>
      <c r="C3165" s="60">
        <f>'DATA HISTORICAL'!$C3810</f>
        <v>1999.75</v>
      </c>
      <c r="D3165" s="53">
        <f t="shared" si="98"/>
        <v>2.961281045080524E-2</v>
      </c>
      <c r="E3165" s="53">
        <v>-4.6876393770855021E-3</v>
      </c>
      <c r="G3165" s="90">
        <v>3157</v>
      </c>
      <c r="H3165" s="90">
        <f t="shared" ca="1" si="99"/>
        <v>1.6577146654867606E-2</v>
      </c>
    </row>
    <row r="3166" spans="2:8" x14ac:dyDescent="0.3">
      <c r="B3166" s="58">
        <f>'DATA HISTORICAL'!$B3811</f>
        <v>41243</v>
      </c>
      <c r="C3166" s="60">
        <f>'DATA HISTORICAL'!$C3811</f>
        <v>1941.4</v>
      </c>
      <c r="D3166" s="53">
        <f t="shared" si="98"/>
        <v>1.3796183759772061E-2</v>
      </c>
      <c r="E3166" s="53">
        <v>-4.6882411234554933E-3</v>
      </c>
      <c r="G3166" s="90">
        <v>3158</v>
      </c>
      <c r="H3166" s="90">
        <f t="shared" ca="1" si="99"/>
        <v>6.7203496347208059E-3</v>
      </c>
    </row>
    <row r="3167" spans="2:8" x14ac:dyDescent="0.3">
      <c r="B3167" s="58">
        <f>'DATA HISTORICAL'!$B3812</f>
        <v>41242</v>
      </c>
      <c r="C3167" s="60">
        <f>'DATA HISTORICAL'!$C3812</f>
        <v>1914.8</v>
      </c>
      <c r="D3167" s="53">
        <f t="shared" si="98"/>
        <v>1.9059744747344495E-2</v>
      </c>
      <c r="E3167" s="53">
        <v>-4.7034317176359655E-3</v>
      </c>
      <c r="G3167" s="90">
        <v>3159</v>
      </c>
      <c r="H3167" s="90">
        <f t="shared" ca="1" si="99"/>
        <v>2.169050460402025E-2</v>
      </c>
    </row>
    <row r="3168" spans="2:8" x14ac:dyDescent="0.3">
      <c r="B3168" s="58">
        <f>'DATA HISTORICAL'!$B3813</f>
        <v>41240</v>
      </c>
      <c r="C3168" s="60">
        <f>'DATA HISTORICAL'!$C3813</f>
        <v>1878.65</v>
      </c>
      <c r="D3168" s="53">
        <f t="shared" si="98"/>
        <v>5.3639464121543025E-3</v>
      </c>
      <c r="E3168" s="53">
        <v>-4.7067502850583138E-3</v>
      </c>
      <c r="G3168" s="90">
        <v>3160</v>
      </c>
      <c r="H3168" s="90">
        <f t="shared" ca="1" si="99"/>
        <v>-1.3200032818769431E-2</v>
      </c>
    </row>
    <row r="3169" spans="2:8" x14ac:dyDescent="0.3">
      <c r="B3169" s="58">
        <f>'DATA HISTORICAL'!$B3814</f>
        <v>41239</v>
      </c>
      <c r="C3169" s="60">
        <f>'DATA HISTORICAL'!$C3814</f>
        <v>1868.6</v>
      </c>
      <c r="D3169" s="53">
        <f t="shared" si="98"/>
        <v>-1.458328741641194E-2</v>
      </c>
      <c r="E3169" s="53">
        <v>-4.7450712368572864E-3</v>
      </c>
      <c r="G3169" s="90">
        <v>3161</v>
      </c>
      <c r="H3169" s="90">
        <f t="shared" ca="1" si="99"/>
        <v>9.6262518669289095E-3</v>
      </c>
    </row>
    <row r="3170" spans="2:8" x14ac:dyDescent="0.3">
      <c r="B3170" s="58">
        <f>'DATA HISTORICAL'!$B3815</f>
        <v>41236</v>
      </c>
      <c r="C3170" s="60">
        <f>'DATA HISTORICAL'!$C3815</f>
        <v>1896.05</v>
      </c>
      <c r="D3170" s="53">
        <f t="shared" si="98"/>
        <v>-1.7915957894600468E-3</v>
      </c>
      <c r="E3170" s="53">
        <v>-4.7545596169710101E-3</v>
      </c>
      <c r="G3170" s="90">
        <v>3162</v>
      </c>
      <c r="H3170" s="90">
        <f t="shared" ca="1" si="99"/>
        <v>-2.1750733908609314E-2</v>
      </c>
    </row>
    <row r="3171" spans="2:8" x14ac:dyDescent="0.3">
      <c r="B3171" s="58">
        <f>'DATA HISTORICAL'!$B3816</f>
        <v>41235</v>
      </c>
      <c r="C3171" s="60">
        <f>'DATA HISTORICAL'!$C3816</f>
        <v>1899.45</v>
      </c>
      <c r="D3171" s="53">
        <f t="shared" si="98"/>
        <v>-1.7198383115524466E-2</v>
      </c>
      <c r="E3171" s="53">
        <v>-4.7660273112736379E-3</v>
      </c>
      <c r="G3171" s="90">
        <v>3163</v>
      </c>
      <c r="H3171" s="90">
        <f t="shared" ca="1" si="99"/>
        <v>-2.9761658728411772E-5</v>
      </c>
    </row>
    <row r="3172" spans="2:8" x14ac:dyDescent="0.3">
      <c r="B3172" s="58">
        <f>'DATA HISTORICAL'!$B3817</f>
        <v>41234</v>
      </c>
      <c r="C3172" s="60">
        <f>'DATA HISTORICAL'!$C3817</f>
        <v>1932.4</v>
      </c>
      <c r="D3172" s="53">
        <f t="shared" si="98"/>
        <v>1.6619435730932559E-2</v>
      </c>
      <c r="E3172" s="53">
        <v>-4.7873239266191248E-3</v>
      </c>
      <c r="G3172" s="90">
        <v>3164</v>
      </c>
      <c r="H3172" s="90">
        <f t="shared" ca="1" si="99"/>
        <v>-3.2973607812454162E-2</v>
      </c>
    </row>
    <row r="3173" spans="2:8" x14ac:dyDescent="0.3">
      <c r="B3173" s="58">
        <f>'DATA HISTORICAL'!$B3818</f>
        <v>41233</v>
      </c>
      <c r="C3173" s="60">
        <f>'DATA HISTORICAL'!$C3818</f>
        <v>1900.55</v>
      </c>
      <c r="D3173" s="53">
        <f t="shared" si="98"/>
        <v>-2.6798397625741439E-3</v>
      </c>
      <c r="E3173" s="53">
        <v>-4.8149322880543842E-3</v>
      </c>
      <c r="G3173" s="90">
        <v>3165</v>
      </c>
      <c r="H3173" s="90">
        <f t="shared" ca="1" si="99"/>
        <v>1.6772094867424002E-2</v>
      </c>
    </row>
    <row r="3174" spans="2:8" x14ac:dyDescent="0.3">
      <c r="B3174" s="58">
        <f>'DATA HISTORICAL'!$B3819</f>
        <v>41232</v>
      </c>
      <c r="C3174" s="60">
        <f>'DATA HISTORICAL'!$C3819</f>
        <v>1905.65</v>
      </c>
      <c r="D3174" s="53">
        <f t="shared" si="98"/>
        <v>-4.5810998822704381E-3</v>
      </c>
      <c r="E3174" s="53">
        <v>-4.8289832269899869E-3</v>
      </c>
      <c r="G3174" s="90">
        <v>3166</v>
      </c>
      <c r="H3174" s="90">
        <f t="shared" ca="1" si="99"/>
        <v>1.747849124158456E-2</v>
      </c>
    </row>
    <row r="3175" spans="2:8" x14ac:dyDescent="0.3">
      <c r="B3175" s="58">
        <f>'DATA HISTORICAL'!$B3820</f>
        <v>41229</v>
      </c>
      <c r="C3175" s="60">
        <f>'DATA HISTORICAL'!$C3820</f>
        <v>1914.4</v>
      </c>
      <c r="D3175" s="53">
        <f t="shared" si="98"/>
        <v>-2.4260143112071141E-3</v>
      </c>
      <c r="E3175" s="53">
        <v>-4.8387060673951831E-3</v>
      </c>
      <c r="G3175" s="90">
        <v>3167</v>
      </c>
      <c r="H3175" s="90">
        <f t="shared" ca="1" si="99"/>
        <v>-2.1790783299660492E-2</v>
      </c>
    </row>
    <row r="3176" spans="2:8" x14ac:dyDescent="0.3">
      <c r="B3176" s="58">
        <f>'DATA HISTORICAL'!$B3821</f>
        <v>41228</v>
      </c>
      <c r="C3176" s="60">
        <f>'DATA HISTORICAL'!$C3821</f>
        <v>1919.05</v>
      </c>
      <c r="D3176" s="53">
        <f t="shared" si="98"/>
        <v>-4.8838550035557732E-2</v>
      </c>
      <c r="E3176" s="53">
        <v>-4.847415140507183E-3</v>
      </c>
      <c r="G3176" s="90">
        <v>3168</v>
      </c>
      <c r="H3176" s="90">
        <f t="shared" ca="1" si="99"/>
        <v>-5.7592781295563852E-3</v>
      </c>
    </row>
    <row r="3177" spans="2:8" x14ac:dyDescent="0.3">
      <c r="B3177" s="58">
        <f>'DATA HISTORICAL'!$B3822</f>
        <v>41225</v>
      </c>
      <c r="C3177" s="60">
        <f>'DATA HISTORICAL'!$C3822</f>
        <v>2015.1</v>
      </c>
      <c r="D3177" s="53">
        <f t="shared" si="98"/>
        <v>-3.8633034677175572E-3</v>
      </c>
      <c r="E3177" s="53">
        <v>-4.8676933869883591E-3</v>
      </c>
      <c r="G3177" s="90">
        <v>3169</v>
      </c>
      <c r="H3177" s="90">
        <f t="shared" ca="1" si="99"/>
        <v>-7.0071237604196436E-3</v>
      </c>
    </row>
    <row r="3178" spans="2:8" x14ac:dyDescent="0.3">
      <c r="B3178" s="58">
        <f>'DATA HISTORICAL'!$B3823</f>
        <v>41222</v>
      </c>
      <c r="C3178" s="60">
        <f>'DATA HISTORICAL'!$C3823</f>
        <v>2022.9</v>
      </c>
      <c r="D3178" s="53">
        <f t="shared" si="98"/>
        <v>3.6152076022030809E-3</v>
      </c>
      <c r="E3178" s="53">
        <v>-4.8781637455349268E-3</v>
      </c>
      <c r="G3178" s="90">
        <v>3170</v>
      </c>
      <c r="H3178" s="90">
        <f t="shared" ca="1" si="99"/>
        <v>4.9592734437110229E-3</v>
      </c>
    </row>
    <row r="3179" spans="2:8" x14ac:dyDescent="0.3">
      <c r="B3179" s="58">
        <f>'DATA HISTORICAL'!$B3824</f>
        <v>41221</v>
      </c>
      <c r="C3179" s="60">
        <f>'DATA HISTORICAL'!$C3824</f>
        <v>2015.6</v>
      </c>
      <c r="D3179" s="53">
        <f t="shared" si="98"/>
        <v>-3.5904903062738375E-3</v>
      </c>
      <c r="E3179" s="53">
        <v>-4.8969861877604434E-3</v>
      </c>
      <c r="G3179" s="90">
        <v>3171</v>
      </c>
      <c r="H3179" s="90">
        <f t="shared" ca="1" si="99"/>
        <v>1.7583404919349496E-2</v>
      </c>
    </row>
    <row r="3180" spans="2:8" x14ac:dyDescent="0.3">
      <c r="B3180" s="58">
        <f>'DATA HISTORICAL'!$B3825</f>
        <v>41220</v>
      </c>
      <c r="C3180" s="60">
        <f>'DATA HISTORICAL'!$C3825</f>
        <v>2022.85</v>
      </c>
      <c r="D3180" s="53">
        <f t="shared" si="98"/>
        <v>1.4346494990614296E-3</v>
      </c>
      <c r="E3180" s="53">
        <v>-4.948842020776798E-3</v>
      </c>
      <c r="G3180" s="90">
        <v>3172</v>
      </c>
      <c r="H3180" s="90">
        <f t="shared" ca="1" si="99"/>
        <v>2.6488259802646553E-2</v>
      </c>
    </row>
    <row r="3181" spans="2:8" x14ac:dyDescent="0.3">
      <c r="B3181" s="58">
        <f>'DATA HISTORICAL'!$B3826</f>
        <v>41219</v>
      </c>
      <c r="C3181" s="60">
        <f>'DATA HISTORICAL'!$C3826</f>
        <v>2019.95</v>
      </c>
      <c r="D3181" s="53">
        <f t="shared" si="98"/>
        <v>2.5031922559349165E-3</v>
      </c>
      <c r="E3181" s="53">
        <v>-4.9588200470083851E-3</v>
      </c>
      <c r="G3181" s="90">
        <v>3173</v>
      </c>
      <c r="H3181" s="90">
        <f t="shared" ca="1" si="99"/>
        <v>1.2491644243588854E-2</v>
      </c>
    </row>
    <row r="3182" spans="2:8" x14ac:dyDescent="0.3">
      <c r="B3182" s="58">
        <f>'DATA HISTORICAL'!$B3827</f>
        <v>41218</v>
      </c>
      <c r="C3182" s="60">
        <f>'DATA HISTORICAL'!$C3827</f>
        <v>2014.9</v>
      </c>
      <c r="D3182" s="53">
        <f t="shared" si="98"/>
        <v>-2.4536848545680997E-3</v>
      </c>
      <c r="E3182" s="53">
        <v>-4.9723933604504025E-3</v>
      </c>
      <c r="G3182" s="90">
        <v>3174</v>
      </c>
      <c r="H3182" s="90">
        <f t="shared" ca="1" si="99"/>
        <v>-1.1506652652773206E-2</v>
      </c>
    </row>
    <row r="3183" spans="2:8" x14ac:dyDescent="0.3">
      <c r="B3183" s="58">
        <f>'DATA HISTORICAL'!$B3828</f>
        <v>41215</v>
      </c>
      <c r="C3183" s="60">
        <f>'DATA HISTORICAL'!$C3828</f>
        <v>2019.85</v>
      </c>
      <c r="D3183" s="53">
        <f t="shared" si="98"/>
        <v>1.1076791246725181E-2</v>
      </c>
      <c r="E3183" s="53">
        <v>-4.9803933182810027E-3</v>
      </c>
      <c r="G3183" s="90">
        <v>3175</v>
      </c>
      <c r="H3183" s="90">
        <f t="shared" ca="1" si="99"/>
        <v>5.8305632002645207E-3</v>
      </c>
    </row>
    <row r="3184" spans="2:8" x14ac:dyDescent="0.3">
      <c r="B3184" s="58">
        <f>'DATA HISTORICAL'!$B3829</f>
        <v>41214</v>
      </c>
      <c r="C3184" s="60">
        <f>'DATA HISTORICAL'!$C3829</f>
        <v>1997.6</v>
      </c>
      <c r="D3184" s="53">
        <f t="shared" si="98"/>
        <v>7.0108671307735288E-4</v>
      </c>
      <c r="E3184" s="53">
        <v>-4.9813883268214412E-3</v>
      </c>
      <c r="G3184" s="90">
        <v>3176</v>
      </c>
      <c r="H3184" s="90">
        <f t="shared" ca="1" si="99"/>
        <v>6.1445374791207485E-3</v>
      </c>
    </row>
    <row r="3185" spans="2:8" x14ac:dyDescent="0.3">
      <c r="B3185" s="58">
        <f>'DATA HISTORICAL'!$B3830</f>
        <v>41213</v>
      </c>
      <c r="C3185" s="60">
        <f>'DATA HISTORICAL'!$C3830</f>
        <v>1996.2</v>
      </c>
      <c r="D3185" s="53">
        <f t="shared" si="98"/>
        <v>-8.355934529394796E-3</v>
      </c>
      <c r="E3185" s="53">
        <v>-4.9933591298020469E-3</v>
      </c>
      <c r="G3185" s="90">
        <v>3177</v>
      </c>
      <c r="H3185" s="90">
        <f t="shared" ca="1" si="99"/>
        <v>-5.830351822721856E-3</v>
      </c>
    </row>
    <row r="3186" spans="2:8" x14ac:dyDescent="0.3">
      <c r="B3186" s="58">
        <f>'DATA HISTORICAL'!$B3831</f>
        <v>41212</v>
      </c>
      <c r="C3186" s="60">
        <f>'DATA HISTORICAL'!$C3831</f>
        <v>2012.95</v>
      </c>
      <c r="D3186" s="53">
        <f t="shared" si="98"/>
        <v>-1.1066486478190621E-2</v>
      </c>
      <c r="E3186" s="53">
        <v>-4.9981560307028917E-3</v>
      </c>
      <c r="G3186" s="90">
        <v>3178</v>
      </c>
      <c r="H3186" s="90">
        <f t="shared" ca="1" si="99"/>
        <v>-1.9402544859129364E-3</v>
      </c>
    </row>
    <row r="3187" spans="2:8" x14ac:dyDescent="0.3">
      <c r="B3187" s="58">
        <f>'DATA HISTORICAL'!$B3832</f>
        <v>41211</v>
      </c>
      <c r="C3187" s="60">
        <f>'DATA HISTORICAL'!$C3832</f>
        <v>2035.35</v>
      </c>
      <c r="D3187" s="53">
        <f t="shared" si="98"/>
        <v>-4.3142608895291373E-3</v>
      </c>
      <c r="E3187" s="53">
        <v>-5.0045531080882416E-3</v>
      </c>
      <c r="G3187" s="90">
        <v>3179</v>
      </c>
      <c r="H3187" s="90">
        <f t="shared" ca="1" si="99"/>
        <v>4.7749017418896554E-3</v>
      </c>
    </row>
    <row r="3188" spans="2:8" x14ac:dyDescent="0.3">
      <c r="B3188" s="58">
        <f>'DATA HISTORICAL'!$B3833</f>
        <v>41208</v>
      </c>
      <c r="C3188" s="60">
        <f>'DATA HISTORICAL'!$C3833</f>
        <v>2044.15</v>
      </c>
      <c r="D3188" s="53">
        <f t="shared" si="98"/>
        <v>5.3826581843746159E-4</v>
      </c>
      <c r="E3188" s="53">
        <v>-5.0173099497984007E-3</v>
      </c>
      <c r="G3188" s="90">
        <v>3180</v>
      </c>
      <c r="H3188" s="90">
        <f t="shared" ca="1" si="99"/>
        <v>2.3513999314433619E-2</v>
      </c>
    </row>
    <row r="3189" spans="2:8" x14ac:dyDescent="0.3">
      <c r="B3189" s="58">
        <f>'DATA HISTORICAL'!$B3834</f>
        <v>41207</v>
      </c>
      <c r="C3189" s="60">
        <f>'DATA HISTORICAL'!$C3834</f>
        <v>2043.05</v>
      </c>
      <c r="D3189" s="53">
        <f t="shared" si="98"/>
        <v>1.0134141582969979E-2</v>
      </c>
      <c r="E3189" s="53">
        <v>-5.0198808614069302E-3</v>
      </c>
      <c r="G3189" s="90">
        <v>3181</v>
      </c>
      <c r="H3189" s="90">
        <f t="shared" ca="1" si="99"/>
        <v>-3.8343466389965726E-2</v>
      </c>
    </row>
    <row r="3190" spans="2:8" x14ac:dyDescent="0.3">
      <c r="B3190" s="58">
        <f>'DATA HISTORICAL'!$B3835</f>
        <v>41205</v>
      </c>
      <c r="C3190" s="60">
        <f>'DATA HISTORICAL'!$C3835</f>
        <v>2022.45</v>
      </c>
      <c r="D3190" s="53">
        <f t="shared" si="98"/>
        <v>0</v>
      </c>
      <c r="E3190" s="53">
        <v>-5.0244767208412781E-3</v>
      </c>
      <c r="G3190" s="90">
        <v>3182</v>
      </c>
      <c r="H3190" s="90">
        <f t="shared" ca="1" si="99"/>
        <v>2.6998502594023872E-2</v>
      </c>
    </row>
    <row r="3191" spans="2:8" x14ac:dyDescent="0.3">
      <c r="B3191" s="58">
        <f>'DATA HISTORICAL'!$B3836</f>
        <v>41204</v>
      </c>
      <c r="C3191" s="60">
        <f>'DATA HISTORICAL'!$C3836</f>
        <v>2022.45</v>
      </c>
      <c r="D3191" s="53">
        <f t="shared" si="98"/>
        <v>5.8764627768735696E-3</v>
      </c>
      <c r="E3191" s="53">
        <v>-5.0265369127461433E-3</v>
      </c>
      <c r="G3191" s="90">
        <v>3183</v>
      </c>
      <c r="H3191" s="90">
        <f t="shared" ca="1" si="99"/>
        <v>1.4380653000836966E-2</v>
      </c>
    </row>
    <row r="3192" spans="2:8" x14ac:dyDescent="0.3">
      <c r="B3192" s="58">
        <f>'DATA HISTORICAL'!$B3837</f>
        <v>41201</v>
      </c>
      <c r="C3192" s="60">
        <f>'DATA HISTORICAL'!$C3837</f>
        <v>2010.6</v>
      </c>
      <c r="D3192" s="53">
        <f t="shared" si="98"/>
        <v>-1.4639164378032622E-2</v>
      </c>
      <c r="E3192" s="53">
        <v>-5.0298077486136692E-3</v>
      </c>
      <c r="G3192" s="90">
        <v>3184</v>
      </c>
      <c r="H3192" s="90">
        <f t="shared" ca="1" si="99"/>
        <v>8.2880450849855836E-3</v>
      </c>
    </row>
    <row r="3193" spans="2:8" x14ac:dyDescent="0.3">
      <c r="B3193" s="58">
        <f>'DATA HISTORICAL'!$B3838</f>
        <v>41200</v>
      </c>
      <c r="C3193" s="60">
        <f>'DATA HISTORICAL'!$C3838</f>
        <v>2040.25</v>
      </c>
      <c r="D3193" s="53">
        <f t="shared" si="98"/>
        <v>6.1455453988981164E-3</v>
      </c>
      <c r="E3193" s="53">
        <v>-5.0463441969503912E-3</v>
      </c>
      <c r="G3193" s="90">
        <v>3185</v>
      </c>
      <c r="H3193" s="90">
        <f t="shared" ca="1" si="99"/>
        <v>1.5780672444800768E-2</v>
      </c>
    </row>
    <row r="3194" spans="2:8" x14ac:dyDescent="0.3">
      <c r="B3194" s="58">
        <f>'DATA HISTORICAL'!$B3839</f>
        <v>41199</v>
      </c>
      <c r="C3194" s="60">
        <f>'DATA HISTORICAL'!$C3839</f>
        <v>2027.75</v>
      </c>
      <c r="D3194" s="53">
        <f t="shared" si="98"/>
        <v>7.8936337012708822E-4</v>
      </c>
      <c r="E3194" s="53">
        <v>-5.0498193424258053E-3</v>
      </c>
      <c r="G3194" s="90">
        <v>3186</v>
      </c>
      <c r="H3194" s="90">
        <f t="shared" ca="1" si="99"/>
        <v>1.388771330560272E-2</v>
      </c>
    </row>
    <row r="3195" spans="2:8" x14ac:dyDescent="0.3">
      <c r="B3195" s="58">
        <f>'DATA HISTORICAL'!$B3840</f>
        <v>41198</v>
      </c>
      <c r="C3195" s="60">
        <f>'DATA HISTORICAL'!$C3840</f>
        <v>2026.15</v>
      </c>
      <c r="D3195" s="53">
        <f t="shared" si="98"/>
        <v>-6.8613856643564911E-3</v>
      </c>
      <c r="E3195" s="53">
        <v>-5.063301956546651E-3</v>
      </c>
      <c r="G3195" s="90">
        <v>3187</v>
      </c>
      <c r="H3195" s="90">
        <f t="shared" ca="1" si="99"/>
        <v>-6.9254454769249298E-3</v>
      </c>
    </row>
    <row r="3196" spans="2:8" x14ac:dyDescent="0.3">
      <c r="B3196" s="58">
        <f>'DATA HISTORICAL'!$B3841</f>
        <v>41197</v>
      </c>
      <c r="C3196" s="60">
        <f>'DATA HISTORICAL'!$C3841</f>
        <v>2040.1</v>
      </c>
      <c r="D3196" s="53">
        <f t="shared" si="98"/>
        <v>-2.2522532043251315E-3</v>
      </c>
      <c r="E3196" s="53">
        <v>-5.063301956546762E-3</v>
      </c>
      <c r="G3196" s="90">
        <v>3188</v>
      </c>
      <c r="H3196" s="90">
        <f t="shared" ca="1" si="99"/>
        <v>1.0013138808193638E-3</v>
      </c>
    </row>
    <row r="3197" spans="2:8" x14ac:dyDescent="0.3">
      <c r="B3197" s="58">
        <f>'DATA HISTORICAL'!$B3842</f>
        <v>41194</v>
      </c>
      <c r="C3197" s="60">
        <f>'DATA HISTORICAL'!$C3842</f>
        <v>2044.7</v>
      </c>
      <c r="D3197" s="53">
        <f t="shared" si="98"/>
        <v>2.9387296459152811E-3</v>
      </c>
      <c r="E3197" s="53">
        <v>-5.0642177322019009E-3</v>
      </c>
      <c r="G3197" s="90">
        <v>3189</v>
      </c>
      <c r="H3197" s="90">
        <f t="shared" ca="1" si="99"/>
        <v>2.1352569541889622E-2</v>
      </c>
    </row>
    <row r="3198" spans="2:8" x14ac:dyDescent="0.3">
      <c r="B3198" s="58">
        <f>'DATA HISTORICAL'!$B3843</f>
        <v>41193</v>
      </c>
      <c r="C3198" s="60">
        <f>'DATA HISTORICAL'!$C3843</f>
        <v>2038.7</v>
      </c>
      <c r="D3198" s="53">
        <f t="shared" si="98"/>
        <v>-4.9663103139171881E-3</v>
      </c>
      <c r="E3198" s="53">
        <v>-5.0934691991005917E-3</v>
      </c>
      <c r="G3198" s="90">
        <v>3190</v>
      </c>
      <c r="H3198" s="90">
        <f t="shared" ca="1" si="99"/>
        <v>2.3946305878564021E-2</v>
      </c>
    </row>
    <row r="3199" spans="2:8" x14ac:dyDescent="0.3">
      <c r="B3199" s="58">
        <f>'DATA HISTORICAL'!$B3844</f>
        <v>41192</v>
      </c>
      <c r="C3199" s="60">
        <f>'DATA HISTORICAL'!$C3844</f>
        <v>2048.85</v>
      </c>
      <c r="D3199" s="53">
        <f t="shared" si="98"/>
        <v>-3.6539064330085446E-3</v>
      </c>
      <c r="E3199" s="53">
        <v>-5.1007058086134831E-3</v>
      </c>
      <c r="G3199" s="90">
        <v>3191</v>
      </c>
      <c r="H3199" s="90">
        <f t="shared" ca="1" si="99"/>
        <v>1.9101669144206482E-2</v>
      </c>
    </row>
    <row r="3200" spans="2:8" x14ac:dyDescent="0.3">
      <c r="B3200" s="58">
        <f>'DATA HISTORICAL'!$B3845</f>
        <v>41191</v>
      </c>
      <c r="C3200" s="60">
        <f>'DATA HISTORICAL'!$C3845</f>
        <v>2056.35</v>
      </c>
      <c r="D3200" s="53">
        <f t="shared" si="98"/>
        <v>2.4939439558017733E-2</v>
      </c>
      <c r="E3200" s="53">
        <v>-5.1022618198713577E-3</v>
      </c>
      <c r="G3200" s="90">
        <v>3192</v>
      </c>
      <c r="H3200" s="90">
        <f t="shared" ca="1" si="99"/>
        <v>-9.4922650647724302E-3</v>
      </c>
    </row>
    <row r="3201" spans="2:8" x14ac:dyDescent="0.3">
      <c r="B3201" s="58">
        <f>'DATA HISTORICAL'!$B3846</f>
        <v>41190</v>
      </c>
      <c r="C3201" s="60">
        <f>'DATA HISTORICAL'!$C3846</f>
        <v>2005.7</v>
      </c>
      <c r="D3201" s="53">
        <f t="shared" si="98"/>
        <v>1.7401364459117424E-2</v>
      </c>
      <c r="E3201" s="53">
        <v>-5.125818537608978E-3</v>
      </c>
      <c r="G3201" s="90">
        <v>3193</v>
      </c>
      <c r="H3201" s="90">
        <f t="shared" ca="1" si="99"/>
        <v>-3.139252372985802E-2</v>
      </c>
    </row>
    <row r="3202" spans="2:8" x14ac:dyDescent="0.3">
      <c r="B3202" s="58">
        <f>'DATA HISTORICAL'!$B3847</f>
        <v>41187</v>
      </c>
      <c r="C3202" s="60">
        <f>'DATA HISTORICAL'!$C3847</f>
        <v>1971.1</v>
      </c>
      <c r="D3202" s="53">
        <f t="shared" si="98"/>
        <v>-5.5399000822434824E-3</v>
      </c>
      <c r="E3202" s="53">
        <v>-5.1319201100472524E-3</v>
      </c>
      <c r="G3202" s="90">
        <v>3194</v>
      </c>
      <c r="H3202" s="90">
        <f t="shared" ca="1" si="99"/>
        <v>-2.498926473867431E-2</v>
      </c>
    </row>
    <row r="3203" spans="2:8" x14ac:dyDescent="0.3">
      <c r="B3203" s="58">
        <f>'DATA HISTORICAL'!$B3848</f>
        <v>41186</v>
      </c>
      <c r="C3203" s="60">
        <f>'DATA HISTORICAL'!$C3848</f>
        <v>1982.05</v>
      </c>
      <c r="D3203" s="53">
        <f t="shared" si="98"/>
        <v>-1.4152302032107383E-2</v>
      </c>
      <c r="E3203" s="53">
        <v>-5.1345553519455082E-3</v>
      </c>
      <c r="G3203" s="90">
        <v>3195</v>
      </c>
      <c r="H3203" s="90">
        <f t="shared" ca="1" si="99"/>
        <v>-1.3845388660436532E-2</v>
      </c>
    </row>
    <row r="3204" spans="2:8" x14ac:dyDescent="0.3">
      <c r="B3204" s="58">
        <f>'DATA HISTORICAL'!$B3849</f>
        <v>41185</v>
      </c>
      <c r="C3204" s="60">
        <f>'DATA HISTORICAL'!$C3849</f>
        <v>2010.3</v>
      </c>
      <c r="D3204" s="53">
        <f t="shared" si="98"/>
        <v>-2.1118807307588762E-3</v>
      </c>
      <c r="E3204" s="53">
        <v>-5.1380883749001316E-3</v>
      </c>
      <c r="G3204" s="90">
        <v>3196</v>
      </c>
      <c r="H3204" s="90">
        <f t="shared" ca="1" si="99"/>
        <v>-3.8494530041961747E-3</v>
      </c>
    </row>
    <row r="3205" spans="2:8" x14ac:dyDescent="0.3">
      <c r="B3205" s="58">
        <f>'DATA HISTORICAL'!$B3850</f>
        <v>41183</v>
      </c>
      <c r="C3205" s="60">
        <f>'DATA HISTORICAL'!$C3850</f>
        <v>2014.55</v>
      </c>
      <c r="D3205" s="53">
        <f t="shared" si="98"/>
        <v>2.345426918284467E-2</v>
      </c>
      <c r="E3205" s="53">
        <v>-5.138903007990598E-3</v>
      </c>
      <c r="G3205" s="90">
        <v>3197</v>
      </c>
      <c r="H3205" s="90">
        <f t="shared" ca="1" si="99"/>
        <v>-5.1816201417346401E-3</v>
      </c>
    </row>
    <row r="3206" spans="2:8" x14ac:dyDescent="0.3">
      <c r="B3206" s="58">
        <f>'DATA HISTORICAL'!$B3851</f>
        <v>41180</v>
      </c>
      <c r="C3206" s="60">
        <f>'DATA HISTORICAL'!$C3851</f>
        <v>1967.85</v>
      </c>
      <c r="D3206" s="53">
        <f t="shared" si="98"/>
        <v>8.6764011771476111E-3</v>
      </c>
      <c r="E3206" s="53">
        <v>-5.1466917517688053E-3</v>
      </c>
      <c r="G3206" s="90">
        <v>3198</v>
      </c>
      <c r="H3206" s="90">
        <f t="shared" ca="1" si="99"/>
        <v>1.1433738349026844E-2</v>
      </c>
    </row>
    <row r="3207" spans="2:8" x14ac:dyDescent="0.3">
      <c r="B3207" s="58">
        <f>'DATA HISTORICAL'!$B3852</f>
        <v>41179</v>
      </c>
      <c r="C3207" s="60">
        <f>'DATA HISTORICAL'!$C3852</f>
        <v>1950.85</v>
      </c>
      <c r="D3207" s="53">
        <f t="shared" si="98"/>
        <v>3.4337354135890154E-2</v>
      </c>
      <c r="E3207" s="53">
        <v>-5.1583607662847048E-3</v>
      </c>
      <c r="G3207" s="90">
        <v>3199</v>
      </c>
      <c r="H3207" s="90">
        <f t="shared" ca="1" si="99"/>
        <v>2.5459530141450089E-2</v>
      </c>
    </row>
    <row r="3208" spans="2:8" x14ac:dyDescent="0.3">
      <c r="B3208" s="58">
        <f>'DATA HISTORICAL'!$B3853</f>
        <v>41178</v>
      </c>
      <c r="C3208" s="60">
        <f>'DATA HISTORICAL'!$C3853</f>
        <v>1885</v>
      </c>
      <c r="D3208" s="53">
        <f t="shared" si="98"/>
        <v>2.6175143356977234E-2</v>
      </c>
      <c r="E3208" s="53">
        <v>-5.1660936022339165E-3</v>
      </c>
      <c r="G3208" s="90">
        <v>3200</v>
      </c>
      <c r="H3208" s="90">
        <f t="shared" ca="1" si="99"/>
        <v>-4.7643523124589237E-3</v>
      </c>
    </row>
    <row r="3209" spans="2:8" x14ac:dyDescent="0.3">
      <c r="B3209" s="58">
        <f>'DATA HISTORICAL'!$B3854</f>
        <v>41177</v>
      </c>
      <c r="C3209" s="60">
        <f>'DATA HISTORICAL'!$C3854</f>
        <v>1836.3</v>
      </c>
      <c r="D3209" s="53">
        <f t="shared" ref="D3209:D3272" si="100">LN(C3209/C3210)</f>
        <v>2.207957719174391E-3</v>
      </c>
      <c r="E3209" s="53">
        <v>-5.1718158922162746E-3</v>
      </c>
      <c r="G3209" s="90">
        <v>3201</v>
      </c>
      <c r="H3209" s="90">
        <f t="shared" ref="H3209:H3272" ca="1" si="101">_xlfn.NORM.INV(RAND(),N$10,N$11)</f>
        <v>-6.0060641589242949E-3</v>
      </c>
    </row>
    <row r="3210" spans="2:8" x14ac:dyDescent="0.3">
      <c r="B3210" s="58">
        <f>'DATA HISTORICAL'!$B3855</f>
        <v>41176</v>
      </c>
      <c r="C3210" s="60">
        <f>'DATA HISTORICAL'!$C3855</f>
        <v>1832.25</v>
      </c>
      <c r="D3210" s="53">
        <f t="shared" si="100"/>
        <v>-2.9156525689289577E-3</v>
      </c>
      <c r="E3210" s="53">
        <v>-5.1761525914512671E-3</v>
      </c>
      <c r="G3210" s="90">
        <v>3202</v>
      </c>
      <c r="H3210" s="90">
        <f t="shared" ca="1" si="101"/>
        <v>-2.30917645175494E-2</v>
      </c>
    </row>
    <row r="3211" spans="2:8" x14ac:dyDescent="0.3">
      <c r="B3211" s="58">
        <f>'DATA HISTORICAL'!$B3856</f>
        <v>41173</v>
      </c>
      <c r="C3211" s="60">
        <f>'DATA HISTORICAL'!$C3856</f>
        <v>1837.6</v>
      </c>
      <c r="D3211" s="53">
        <f t="shared" si="100"/>
        <v>0</v>
      </c>
      <c r="E3211" s="53">
        <v>-5.1855764547039133E-3</v>
      </c>
      <c r="G3211" s="90">
        <v>3203</v>
      </c>
      <c r="H3211" s="90">
        <f t="shared" ca="1" si="101"/>
        <v>-6.8419115743984281E-3</v>
      </c>
    </row>
    <row r="3212" spans="2:8" x14ac:dyDescent="0.3">
      <c r="B3212" s="58">
        <f>'DATA HISTORICAL'!$B3857</f>
        <v>41172</v>
      </c>
      <c r="C3212" s="60">
        <f>'DATA HISTORICAL'!$C3857</f>
        <v>1837.6</v>
      </c>
      <c r="D3212" s="53">
        <f t="shared" si="100"/>
        <v>1.7927481822607172E-2</v>
      </c>
      <c r="E3212" s="53">
        <v>-5.1856924505579282E-3</v>
      </c>
      <c r="G3212" s="90">
        <v>3204</v>
      </c>
      <c r="H3212" s="90">
        <f t="shared" ca="1" si="101"/>
        <v>2.4488988813329657E-2</v>
      </c>
    </row>
    <row r="3213" spans="2:8" x14ac:dyDescent="0.3">
      <c r="B3213" s="58">
        <f>'DATA HISTORICAL'!$B3858</f>
        <v>41170</v>
      </c>
      <c r="C3213" s="60">
        <f>'DATA HISTORICAL'!$C3858</f>
        <v>1804.95</v>
      </c>
      <c r="D3213" s="53">
        <f t="shared" si="100"/>
        <v>2.3289126899354497E-2</v>
      </c>
      <c r="E3213" s="53">
        <v>-5.1875335399955546E-3</v>
      </c>
      <c r="G3213" s="90">
        <v>3205</v>
      </c>
      <c r="H3213" s="90">
        <f t="shared" ca="1" si="101"/>
        <v>1.7559853185767735E-2</v>
      </c>
    </row>
    <row r="3214" spans="2:8" x14ac:dyDescent="0.3">
      <c r="B3214" s="58">
        <f>'DATA HISTORICAL'!$B3859</f>
        <v>41169</v>
      </c>
      <c r="C3214" s="60">
        <f>'DATA HISTORICAL'!$C3859</f>
        <v>1763.4</v>
      </c>
      <c r="D3214" s="53">
        <f t="shared" si="100"/>
        <v>5.0883461833571156E-3</v>
      </c>
      <c r="E3214" s="53">
        <v>-5.1886614693207739E-3</v>
      </c>
      <c r="G3214" s="90">
        <v>3206</v>
      </c>
      <c r="H3214" s="90">
        <f t="shared" ca="1" si="101"/>
        <v>2.2203471485772282E-2</v>
      </c>
    </row>
    <row r="3215" spans="2:8" x14ac:dyDescent="0.3">
      <c r="B3215" s="58">
        <f>'DATA HISTORICAL'!$B3860</f>
        <v>41166</v>
      </c>
      <c r="C3215" s="60">
        <f>'DATA HISTORICAL'!$C3860</f>
        <v>1754.45</v>
      </c>
      <c r="D3215" s="53">
        <f t="shared" si="100"/>
        <v>2.0819987516870156E-2</v>
      </c>
      <c r="E3215" s="53">
        <v>-5.1888088411123027E-3</v>
      </c>
      <c r="G3215" s="90">
        <v>3207</v>
      </c>
      <c r="H3215" s="90">
        <f t="shared" ca="1" si="101"/>
        <v>3.0980897083437105E-2</v>
      </c>
    </row>
    <row r="3216" spans="2:8" x14ac:dyDescent="0.3">
      <c r="B3216" s="58">
        <f>'DATA HISTORICAL'!$B3861</f>
        <v>41165</v>
      </c>
      <c r="C3216" s="60">
        <f>'DATA HISTORICAL'!$C3861</f>
        <v>1718.3</v>
      </c>
      <c r="D3216" s="53">
        <f t="shared" si="100"/>
        <v>-2.485867332498282E-2</v>
      </c>
      <c r="E3216" s="53">
        <v>-5.1889628457423608E-3</v>
      </c>
      <c r="G3216" s="90">
        <v>3208</v>
      </c>
      <c r="H3216" s="90">
        <f t="shared" ca="1" si="101"/>
        <v>-6.4985808085296541E-3</v>
      </c>
    </row>
    <row r="3217" spans="2:8" x14ac:dyDescent="0.3">
      <c r="B3217" s="58">
        <f>'DATA HISTORICAL'!$B3862</f>
        <v>41164</v>
      </c>
      <c r="C3217" s="60">
        <f>'DATA HISTORICAL'!$C3862</f>
        <v>1761.55</v>
      </c>
      <c r="D3217" s="53">
        <f t="shared" si="100"/>
        <v>3.1271346838912511E-3</v>
      </c>
      <c r="E3217" s="53">
        <v>-5.1939347278221436E-3</v>
      </c>
      <c r="G3217" s="90">
        <v>3209</v>
      </c>
      <c r="H3217" s="90">
        <f t="shared" ca="1" si="101"/>
        <v>7.3797037794827627E-3</v>
      </c>
    </row>
    <row r="3218" spans="2:8" x14ac:dyDescent="0.3">
      <c r="B3218" s="58">
        <f>'DATA HISTORICAL'!$B3863</f>
        <v>41163</v>
      </c>
      <c r="C3218" s="60">
        <f>'DATA HISTORICAL'!$C3863</f>
        <v>1756.05</v>
      </c>
      <c r="D3218" s="53">
        <f t="shared" si="100"/>
        <v>5.6962207116806178E-4</v>
      </c>
      <c r="E3218" s="53">
        <v>-5.2313575881885585E-3</v>
      </c>
      <c r="G3218" s="90">
        <v>3210</v>
      </c>
      <c r="H3218" s="90">
        <f t="shared" ca="1" si="101"/>
        <v>2.5114489192338409E-2</v>
      </c>
    </row>
    <row r="3219" spans="2:8" x14ac:dyDescent="0.3">
      <c r="B3219" s="58">
        <f>'DATA HISTORICAL'!$B3864</f>
        <v>41162</v>
      </c>
      <c r="C3219" s="60">
        <f>'DATA HISTORICAL'!$C3864</f>
        <v>1755.05</v>
      </c>
      <c r="D3219" s="53">
        <f t="shared" si="100"/>
        <v>1.0769731454069544E-2</v>
      </c>
      <c r="E3219" s="53">
        <v>-5.2397668253442069E-3</v>
      </c>
      <c r="G3219" s="90">
        <v>3211</v>
      </c>
      <c r="H3219" s="90">
        <f t="shared" ca="1" si="101"/>
        <v>1.3507423811554486E-2</v>
      </c>
    </row>
    <row r="3220" spans="2:8" x14ac:dyDescent="0.3">
      <c r="B3220" s="58">
        <f>'DATA HISTORICAL'!$B3865</f>
        <v>41159</v>
      </c>
      <c r="C3220" s="60">
        <f>'DATA HISTORICAL'!$C3865</f>
        <v>1736.25</v>
      </c>
      <c r="D3220" s="53">
        <f t="shared" si="100"/>
        <v>2.6289278952580247E-2</v>
      </c>
      <c r="E3220" s="53">
        <v>-5.2522765569283283E-3</v>
      </c>
      <c r="G3220" s="90">
        <v>3212</v>
      </c>
      <c r="H3220" s="90">
        <f t="shared" ca="1" si="101"/>
        <v>1.997980314725846E-2</v>
      </c>
    </row>
    <row r="3221" spans="2:8" x14ac:dyDescent="0.3">
      <c r="B3221" s="58">
        <f>'DATA HISTORICAL'!$B3866</f>
        <v>41158</v>
      </c>
      <c r="C3221" s="60">
        <f>'DATA HISTORICAL'!$C3866</f>
        <v>1691.2</v>
      </c>
      <c r="D3221" s="53">
        <f t="shared" si="100"/>
        <v>9.5953205560624696E-3</v>
      </c>
      <c r="E3221" s="53">
        <v>-5.2609922136724859E-3</v>
      </c>
      <c r="G3221" s="90">
        <v>3213</v>
      </c>
      <c r="H3221" s="90">
        <f t="shared" ca="1" si="101"/>
        <v>1.358247056055896E-2</v>
      </c>
    </row>
    <row r="3222" spans="2:8" x14ac:dyDescent="0.3">
      <c r="B3222" s="58">
        <f>'DATA HISTORICAL'!$B3867</f>
        <v>41157</v>
      </c>
      <c r="C3222" s="60">
        <f>'DATA HISTORICAL'!$C3867</f>
        <v>1675.05</v>
      </c>
      <c r="D3222" s="53">
        <f t="shared" si="100"/>
        <v>2.9595107023391168E-3</v>
      </c>
      <c r="E3222" s="53">
        <v>-5.2738246819210152E-3</v>
      </c>
      <c r="G3222" s="90">
        <v>3214</v>
      </c>
      <c r="H3222" s="90">
        <f t="shared" ca="1" si="101"/>
        <v>-2.1181581971238959E-2</v>
      </c>
    </row>
    <row r="3223" spans="2:8" x14ac:dyDescent="0.3">
      <c r="B3223" s="58">
        <f>'DATA HISTORICAL'!$B3868</f>
        <v>41156</v>
      </c>
      <c r="C3223" s="60">
        <f>'DATA HISTORICAL'!$C3868</f>
        <v>1670.1</v>
      </c>
      <c r="D3223" s="53">
        <f t="shared" si="100"/>
        <v>2.6380493745095683E-3</v>
      </c>
      <c r="E3223" s="53">
        <v>-5.2984603723160969E-3</v>
      </c>
      <c r="G3223" s="90">
        <v>3215</v>
      </c>
      <c r="H3223" s="90">
        <f t="shared" ca="1" si="101"/>
        <v>-2.504869696537726E-2</v>
      </c>
    </row>
    <row r="3224" spans="2:8" x14ac:dyDescent="0.3">
      <c r="B3224" s="58">
        <f>'DATA HISTORICAL'!$B3869</f>
        <v>41155</v>
      </c>
      <c r="C3224" s="60">
        <f>'DATA HISTORICAL'!$C3869</f>
        <v>1665.7</v>
      </c>
      <c r="D3224" s="53">
        <f t="shared" si="100"/>
        <v>-1.6788107109274131E-2</v>
      </c>
      <c r="E3224" s="53">
        <v>-5.3090938564276866E-3</v>
      </c>
      <c r="G3224" s="90">
        <v>3216</v>
      </c>
      <c r="H3224" s="90">
        <f t="shared" ca="1" si="101"/>
        <v>-3.1123042120241026E-2</v>
      </c>
    </row>
    <row r="3225" spans="2:8" x14ac:dyDescent="0.3">
      <c r="B3225" s="58">
        <f>'DATA HISTORICAL'!$B3870</f>
        <v>41152</v>
      </c>
      <c r="C3225" s="60">
        <f>'DATA HISTORICAL'!$C3870</f>
        <v>1693.9</v>
      </c>
      <c r="D3225" s="53">
        <f t="shared" si="100"/>
        <v>-1.0949925198109582E-2</v>
      </c>
      <c r="E3225" s="53">
        <v>-5.3126800396281031E-3</v>
      </c>
      <c r="G3225" s="90">
        <v>3217</v>
      </c>
      <c r="H3225" s="90">
        <f t="shared" ca="1" si="101"/>
        <v>2.6459178058619366E-2</v>
      </c>
    </row>
    <row r="3226" spans="2:8" x14ac:dyDescent="0.3">
      <c r="B3226" s="58">
        <f>'DATA HISTORICAL'!$B3871</f>
        <v>41151</v>
      </c>
      <c r="C3226" s="60">
        <f>'DATA HISTORICAL'!$C3871</f>
        <v>1712.55</v>
      </c>
      <c r="D3226" s="53">
        <f t="shared" si="100"/>
        <v>-2.7698021993704568E-3</v>
      </c>
      <c r="E3226" s="53">
        <v>-5.3148627851635627E-3</v>
      </c>
      <c r="G3226" s="90">
        <v>3218</v>
      </c>
      <c r="H3226" s="90">
        <f t="shared" ca="1" si="101"/>
        <v>-2.3712544093105721E-3</v>
      </c>
    </row>
    <row r="3227" spans="2:8" x14ac:dyDescent="0.3">
      <c r="B3227" s="58">
        <f>'DATA HISTORICAL'!$B3872</f>
        <v>41150</v>
      </c>
      <c r="C3227" s="60">
        <f>'DATA HISTORICAL'!$C3872</f>
        <v>1717.3</v>
      </c>
      <c r="D3227" s="53">
        <f t="shared" si="100"/>
        <v>-9.9370702532641624E-3</v>
      </c>
      <c r="E3227" s="53">
        <v>-5.3156037437958412E-3</v>
      </c>
      <c r="G3227" s="90">
        <v>3219</v>
      </c>
      <c r="H3227" s="90">
        <f t="shared" ca="1" si="101"/>
        <v>2.1937803523315196E-3</v>
      </c>
    </row>
    <row r="3228" spans="2:8" x14ac:dyDescent="0.3">
      <c r="B3228" s="58">
        <f>'DATA HISTORICAL'!$B3873</f>
        <v>41149</v>
      </c>
      <c r="C3228" s="60">
        <f>'DATA HISTORICAL'!$C3873</f>
        <v>1734.45</v>
      </c>
      <c r="D3228" s="53">
        <f t="shared" si="100"/>
        <v>-9.6965588478250923E-3</v>
      </c>
      <c r="E3228" s="53">
        <v>-5.3407935008955845E-3</v>
      </c>
      <c r="G3228" s="90">
        <v>3220</v>
      </c>
      <c r="H3228" s="90">
        <f t="shared" ca="1" si="101"/>
        <v>-1.2682242813474527E-2</v>
      </c>
    </row>
    <row r="3229" spans="2:8" x14ac:dyDescent="0.3">
      <c r="B3229" s="58">
        <f>'DATA HISTORICAL'!$B3874</f>
        <v>41148</v>
      </c>
      <c r="C3229" s="60">
        <f>'DATA HISTORICAL'!$C3874</f>
        <v>1751.35</v>
      </c>
      <c r="D3229" s="53">
        <f t="shared" si="100"/>
        <v>1.60008018208171E-2</v>
      </c>
      <c r="E3229" s="53">
        <v>-5.3437521391926091E-3</v>
      </c>
      <c r="G3229" s="90">
        <v>3221</v>
      </c>
      <c r="H3229" s="90">
        <f t="shared" ca="1" si="101"/>
        <v>3.0798914110085979E-2</v>
      </c>
    </row>
    <row r="3230" spans="2:8" x14ac:dyDescent="0.3">
      <c r="B3230" s="58">
        <f>'DATA HISTORICAL'!$B3875</f>
        <v>41145</v>
      </c>
      <c r="C3230" s="60">
        <f>'DATA HISTORICAL'!$C3875</f>
        <v>1723.55</v>
      </c>
      <c r="D3230" s="53">
        <f t="shared" si="100"/>
        <v>-1.681159816244689E-3</v>
      </c>
      <c r="E3230" s="53">
        <v>-5.3536264760355818E-3</v>
      </c>
      <c r="G3230" s="90">
        <v>3222</v>
      </c>
      <c r="H3230" s="90">
        <f t="shared" ca="1" si="101"/>
        <v>-1.2269456184125935E-2</v>
      </c>
    </row>
    <row r="3231" spans="2:8" x14ac:dyDescent="0.3">
      <c r="B3231" s="58">
        <f>'DATA HISTORICAL'!$B3876</f>
        <v>41144</v>
      </c>
      <c r="C3231" s="60">
        <f>'DATA HISTORICAL'!$C3876</f>
        <v>1726.45</v>
      </c>
      <c r="D3231" s="53">
        <f t="shared" si="100"/>
        <v>-5.2858978378624352E-3</v>
      </c>
      <c r="E3231" s="53">
        <v>-5.3716952683981103E-3</v>
      </c>
      <c r="G3231" s="90">
        <v>3223</v>
      </c>
      <c r="H3231" s="90">
        <f t="shared" ca="1" si="101"/>
        <v>9.2435993551264715E-3</v>
      </c>
    </row>
    <row r="3232" spans="2:8" x14ac:dyDescent="0.3">
      <c r="B3232" s="58">
        <f>'DATA HISTORICAL'!$B3877</f>
        <v>41143</v>
      </c>
      <c r="C3232" s="60">
        <f>'DATA HISTORICAL'!$C3877</f>
        <v>1735.6</v>
      </c>
      <c r="D3232" s="53">
        <f t="shared" si="100"/>
        <v>9.6686235900842587E-3</v>
      </c>
      <c r="E3232" s="53">
        <v>-5.3741129028435112E-3</v>
      </c>
      <c r="G3232" s="90">
        <v>3224</v>
      </c>
      <c r="H3232" s="90">
        <f t="shared" ca="1" si="101"/>
        <v>-5.9277106716387395E-3</v>
      </c>
    </row>
    <row r="3233" spans="2:8" x14ac:dyDescent="0.3">
      <c r="B3233" s="58">
        <f>'DATA HISTORICAL'!$B3878</f>
        <v>41142</v>
      </c>
      <c r="C3233" s="60">
        <f>'DATA HISTORICAL'!$C3878</f>
        <v>1718.9</v>
      </c>
      <c r="D3233" s="53">
        <f t="shared" si="100"/>
        <v>-7.794316895094822E-3</v>
      </c>
      <c r="E3233" s="53">
        <v>-5.3757738091591836E-3</v>
      </c>
      <c r="G3233" s="90">
        <v>3225</v>
      </c>
      <c r="H3233" s="90">
        <f t="shared" ca="1" si="101"/>
        <v>3.497632434552099E-2</v>
      </c>
    </row>
    <row r="3234" spans="2:8" x14ac:dyDescent="0.3">
      <c r="B3234" s="58">
        <f>'DATA HISTORICAL'!$B3879</f>
        <v>41138</v>
      </c>
      <c r="C3234" s="60">
        <f>'DATA HISTORICAL'!$C3879</f>
        <v>1732.35</v>
      </c>
      <c r="D3234" s="53">
        <f t="shared" si="100"/>
        <v>6.515246953271164E-3</v>
      </c>
      <c r="E3234" s="53">
        <v>-5.3763125670795676E-3</v>
      </c>
      <c r="G3234" s="90">
        <v>3226</v>
      </c>
      <c r="H3234" s="90">
        <f t="shared" ca="1" si="101"/>
        <v>-2.9670298099842885E-2</v>
      </c>
    </row>
    <row r="3235" spans="2:8" x14ac:dyDescent="0.3">
      <c r="B3235" s="58">
        <f>'DATA HISTORICAL'!$B3880</f>
        <v>41137</v>
      </c>
      <c r="C3235" s="60">
        <f>'DATA HISTORICAL'!$C3880</f>
        <v>1721.1</v>
      </c>
      <c r="D3235" s="53">
        <f t="shared" si="100"/>
        <v>5.3597564952022198E-3</v>
      </c>
      <c r="E3235" s="53">
        <v>-5.3793130683213401E-3</v>
      </c>
      <c r="G3235" s="90">
        <v>3227</v>
      </c>
      <c r="H3235" s="90">
        <f t="shared" ca="1" si="101"/>
        <v>-5.0692471841930703E-3</v>
      </c>
    </row>
    <row r="3236" spans="2:8" x14ac:dyDescent="0.3">
      <c r="B3236" s="58">
        <f>'DATA HISTORICAL'!$B3881</f>
        <v>41135</v>
      </c>
      <c r="C3236" s="60">
        <f>'DATA HISTORICAL'!$C3881</f>
        <v>1711.9</v>
      </c>
      <c r="D3236" s="53">
        <f t="shared" si="100"/>
        <v>2.9211579677822545E-4</v>
      </c>
      <c r="E3236" s="53">
        <v>-5.3814902898060082E-3</v>
      </c>
      <c r="G3236" s="90">
        <v>3228</v>
      </c>
      <c r="H3236" s="90">
        <f t="shared" ca="1" si="101"/>
        <v>-9.598836526741969E-3</v>
      </c>
    </row>
    <row r="3237" spans="2:8" x14ac:dyDescent="0.3">
      <c r="B3237" s="58">
        <f>'DATA HISTORICAL'!$B3882</f>
        <v>41134</v>
      </c>
      <c r="C3237" s="60">
        <f>'DATA HISTORICAL'!$C3882</f>
        <v>1711.4</v>
      </c>
      <c r="D3237" s="53">
        <f t="shared" si="100"/>
        <v>2.1110599298987301E-2</v>
      </c>
      <c r="E3237" s="53">
        <v>-5.3919056173288588E-3</v>
      </c>
      <c r="G3237" s="90">
        <v>3229</v>
      </c>
      <c r="H3237" s="90">
        <f t="shared" ca="1" si="101"/>
        <v>-1.9536807561455181E-2</v>
      </c>
    </row>
    <row r="3238" spans="2:8" x14ac:dyDescent="0.3">
      <c r="B3238" s="58">
        <f>'DATA HISTORICAL'!$B3883</f>
        <v>41131</v>
      </c>
      <c r="C3238" s="60">
        <f>'DATA HISTORICAL'!$C3883</f>
        <v>1675.65</v>
      </c>
      <c r="D3238" s="53">
        <f t="shared" si="100"/>
        <v>1.2128274509550174E-2</v>
      </c>
      <c r="E3238" s="53">
        <v>-5.4018838888345603E-3</v>
      </c>
      <c r="G3238" s="90">
        <v>3230</v>
      </c>
      <c r="H3238" s="90">
        <f t="shared" ca="1" si="101"/>
        <v>4.2834106865648064E-3</v>
      </c>
    </row>
    <row r="3239" spans="2:8" x14ac:dyDescent="0.3">
      <c r="B3239" s="58">
        <f>'DATA HISTORICAL'!$B3884</f>
        <v>41130</v>
      </c>
      <c r="C3239" s="60">
        <f>'DATA HISTORICAL'!$C3884</f>
        <v>1655.45</v>
      </c>
      <c r="D3239" s="53">
        <f t="shared" si="100"/>
        <v>8.4319577524922112E-3</v>
      </c>
      <c r="E3239" s="53">
        <v>-5.4033397495347486E-3</v>
      </c>
      <c r="G3239" s="90">
        <v>3231</v>
      </c>
      <c r="H3239" s="90">
        <f t="shared" ca="1" si="101"/>
        <v>9.8958687150595536E-3</v>
      </c>
    </row>
    <row r="3240" spans="2:8" x14ac:dyDescent="0.3">
      <c r="B3240" s="58">
        <f>'DATA HISTORICAL'!$B3885</f>
        <v>41129</v>
      </c>
      <c r="C3240" s="60">
        <f>'DATA HISTORICAL'!$C3885</f>
        <v>1641.55</v>
      </c>
      <c r="D3240" s="53">
        <f t="shared" si="100"/>
        <v>1.5241117380606674E-3</v>
      </c>
      <c r="E3240" s="53">
        <v>-5.4159022856928446E-3</v>
      </c>
      <c r="G3240" s="90">
        <v>3232</v>
      </c>
      <c r="H3240" s="90">
        <f t="shared" ca="1" si="101"/>
        <v>1.3456137274288717E-2</v>
      </c>
    </row>
    <row r="3241" spans="2:8" x14ac:dyDescent="0.3">
      <c r="B3241" s="58">
        <f>'DATA HISTORICAL'!$B3886</f>
        <v>41128</v>
      </c>
      <c r="C3241" s="60">
        <f>'DATA HISTORICAL'!$C3886</f>
        <v>1639.05</v>
      </c>
      <c r="D3241" s="53">
        <f t="shared" si="100"/>
        <v>7.6292784877623543E-4</v>
      </c>
      <c r="E3241" s="53">
        <v>-5.4280497668840084E-3</v>
      </c>
      <c r="G3241" s="90">
        <v>3233</v>
      </c>
      <c r="H3241" s="90">
        <f t="shared" ca="1" si="101"/>
        <v>-5.8518601796959521E-3</v>
      </c>
    </row>
    <row r="3242" spans="2:8" x14ac:dyDescent="0.3">
      <c r="B3242" s="58">
        <f>'DATA HISTORICAL'!$B3887</f>
        <v>41127</v>
      </c>
      <c r="C3242" s="60">
        <f>'DATA HISTORICAL'!$C3887</f>
        <v>1637.8</v>
      </c>
      <c r="D3242" s="53">
        <f t="shared" si="100"/>
        <v>9.1590468549147949E-5</v>
      </c>
      <c r="E3242" s="53">
        <v>-5.4466365585671434E-3</v>
      </c>
      <c r="G3242" s="90">
        <v>3234</v>
      </c>
      <c r="H3242" s="90">
        <f t="shared" ca="1" si="101"/>
        <v>3.1950266656964051E-2</v>
      </c>
    </row>
    <row r="3243" spans="2:8" x14ac:dyDescent="0.3">
      <c r="B3243" s="58">
        <f>'DATA HISTORICAL'!$B3888</f>
        <v>41124</v>
      </c>
      <c r="C3243" s="60">
        <f>'DATA HISTORICAL'!$C3888</f>
        <v>1637.65</v>
      </c>
      <c r="D3243" s="53">
        <f t="shared" si="100"/>
        <v>-1.4034661810648919E-3</v>
      </c>
      <c r="E3243" s="53">
        <v>-5.4478583705999985E-3</v>
      </c>
      <c r="G3243" s="90">
        <v>3235</v>
      </c>
      <c r="H3243" s="90">
        <f t="shared" ca="1" si="101"/>
        <v>2.466367036885189E-3</v>
      </c>
    </row>
    <row r="3244" spans="2:8" x14ac:dyDescent="0.3">
      <c r="B3244" s="58">
        <f>'DATA HISTORICAL'!$B3889</f>
        <v>41123</v>
      </c>
      <c r="C3244" s="60">
        <f>'DATA HISTORICAL'!$C3889</f>
        <v>1639.95</v>
      </c>
      <c r="D3244" s="53">
        <f t="shared" si="100"/>
        <v>5.1844285328912125E-4</v>
      </c>
      <c r="E3244" s="53">
        <v>-5.4640865684566099E-3</v>
      </c>
      <c r="G3244" s="90">
        <v>3236</v>
      </c>
      <c r="H3244" s="90">
        <f t="shared" ca="1" si="101"/>
        <v>-2.1982626872022664E-2</v>
      </c>
    </row>
    <row r="3245" spans="2:8" x14ac:dyDescent="0.3">
      <c r="B3245" s="58">
        <f>'DATA HISTORICAL'!$B3890</f>
        <v>41122</v>
      </c>
      <c r="C3245" s="60">
        <f>'DATA HISTORICAL'!$C3890</f>
        <v>1639.1</v>
      </c>
      <c r="D3245" s="53">
        <f t="shared" si="100"/>
        <v>-3.0499893486812016E-4</v>
      </c>
      <c r="E3245" s="53">
        <v>-5.4818371552209852E-3</v>
      </c>
      <c r="G3245" s="90">
        <v>3237</v>
      </c>
      <c r="H3245" s="90">
        <f t="shared" ca="1" si="101"/>
        <v>1.359098518072268E-2</v>
      </c>
    </row>
    <row r="3246" spans="2:8" x14ac:dyDescent="0.3">
      <c r="B3246" s="58">
        <f>'DATA HISTORICAL'!$B3891</f>
        <v>41121</v>
      </c>
      <c r="C3246" s="60">
        <f>'DATA HISTORICAL'!$C3891</f>
        <v>1639.6</v>
      </c>
      <c r="D3246" s="53">
        <f t="shared" si="100"/>
        <v>5.1855355227284686E-4</v>
      </c>
      <c r="E3246" s="53">
        <v>-5.483993761125028E-3</v>
      </c>
      <c r="G3246" s="90">
        <v>3238</v>
      </c>
      <c r="H3246" s="90">
        <f t="shared" ca="1" si="101"/>
        <v>-1.2048085614433188E-2</v>
      </c>
    </row>
    <row r="3247" spans="2:8" x14ac:dyDescent="0.3">
      <c r="B3247" s="58">
        <f>'DATA HISTORICAL'!$B3892</f>
        <v>41120</v>
      </c>
      <c r="C3247" s="60">
        <f>'DATA HISTORICAL'!$C3892</f>
        <v>1638.75</v>
      </c>
      <c r="D3247" s="53">
        <f t="shared" si="100"/>
        <v>4.6791222579249444E-3</v>
      </c>
      <c r="E3247" s="53">
        <v>-5.5026320656871687E-3</v>
      </c>
      <c r="G3247" s="90">
        <v>3239</v>
      </c>
      <c r="H3247" s="90">
        <f t="shared" ca="1" si="101"/>
        <v>-1.6190932040864518E-2</v>
      </c>
    </row>
    <row r="3248" spans="2:8" x14ac:dyDescent="0.3">
      <c r="B3248" s="58">
        <f>'DATA HISTORICAL'!$B3893</f>
        <v>41117</v>
      </c>
      <c r="C3248" s="60">
        <f>'DATA HISTORICAL'!$C3893</f>
        <v>1631.1</v>
      </c>
      <c r="D3248" s="53">
        <f t="shared" si="100"/>
        <v>9.7339359002723506E-3</v>
      </c>
      <c r="E3248" s="53">
        <v>-5.5345125003748224E-3</v>
      </c>
      <c r="G3248" s="90">
        <v>3240</v>
      </c>
      <c r="H3248" s="90">
        <f t="shared" ca="1" si="101"/>
        <v>-1.3242912912658791E-2</v>
      </c>
    </row>
    <row r="3249" spans="2:8" x14ac:dyDescent="0.3">
      <c r="B3249" s="58">
        <f>'DATA HISTORICAL'!$B3894</f>
        <v>41116</v>
      </c>
      <c r="C3249" s="60">
        <f>'DATA HISTORICAL'!$C3894</f>
        <v>1615.3</v>
      </c>
      <c r="D3249" s="53">
        <f t="shared" si="100"/>
        <v>-1.2373942060203977E-3</v>
      </c>
      <c r="E3249" s="53">
        <v>-5.5437911277129125E-3</v>
      </c>
      <c r="G3249" s="90">
        <v>3241</v>
      </c>
      <c r="H3249" s="90">
        <f t="shared" ca="1" si="101"/>
        <v>1.9564973385253422E-2</v>
      </c>
    </row>
    <row r="3250" spans="2:8" x14ac:dyDescent="0.3">
      <c r="B3250" s="58">
        <f>'DATA HISTORICAL'!$B3895</f>
        <v>41115</v>
      </c>
      <c r="C3250" s="60">
        <f>'DATA HISTORICAL'!$C3895</f>
        <v>1617.3</v>
      </c>
      <c r="D3250" s="53">
        <f t="shared" si="100"/>
        <v>1.7327809274028643E-3</v>
      </c>
      <c r="E3250" s="53">
        <v>-5.5560157000073352E-3</v>
      </c>
      <c r="G3250" s="90">
        <v>3242</v>
      </c>
      <c r="H3250" s="90">
        <f t="shared" ca="1" si="101"/>
        <v>1.1535932400465708E-3</v>
      </c>
    </row>
    <row r="3251" spans="2:8" x14ac:dyDescent="0.3">
      <c r="B3251" s="58">
        <f>'DATA HISTORICAL'!$B3896</f>
        <v>41114</v>
      </c>
      <c r="C3251" s="60">
        <f>'DATA HISTORICAL'!$C3896</f>
        <v>1614.5</v>
      </c>
      <c r="D3251" s="53">
        <f t="shared" si="100"/>
        <v>1.1023684641130488E-2</v>
      </c>
      <c r="E3251" s="53">
        <v>-5.5638650407709555E-3</v>
      </c>
      <c r="G3251" s="90">
        <v>3243</v>
      </c>
      <c r="H3251" s="90">
        <f t="shared" ca="1" si="101"/>
        <v>3.4342380516816473E-3</v>
      </c>
    </row>
    <row r="3252" spans="2:8" x14ac:dyDescent="0.3">
      <c r="B3252" s="58">
        <f>'DATA HISTORICAL'!$B3897</f>
        <v>41113</v>
      </c>
      <c r="C3252" s="60">
        <f>'DATA HISTORICAL'!$C3897</f>
        <v>1596.8</v>
      </c>
      <c r="D3252" s="53">
        <f t="shared" si="100"/>
        <v>1.9093960624061494E-2</v>
      </c>
      <c r="E3252" s="53">
        <v>-5.5779349832550543E-3</v>
      </c>
      <c r="G3252" s="90">
        <v>3244</v>
      </c>
      <c r="H3252" s="90">
        <f t="shared" ca="1" si="101"/>
        <v>6.2442437517389468E-2</v>
      </c>
    </row>
    <row r="3253" spans="2:8" x14ac:dyDescent="0.3">
      <c r="B3253" s="58">
        <f>'DATA HISTORICAL'!$B3898</f>
        <v>41110</v>
      </c>
      <c r="C3253" s="60">
        <f>'DATA HISTORICAL'!$C3898</f>
        <v>1566.6</v>
      </c>
      <c r="D3253" s="53">
        <f t="shared" si="100"/>
        <v>-4.0769581251397088E-3</v>
      </c>
      <c r="E3253" s="53">
        <v>-5.5850186142657188E-3</v>
      </c>
      <c r="G3253" s="90">
        <v>3245</v>
      </c>
      <c r="H3253" s="90">
        <f t="shared" ca="1" si="101"/>
        <v>-1.01871537228021E-2</v>
      </c>
    </row>
    <row r="3254" spans="2:8" x14ac:dyDescent="0.3">
      <c r="B3254" s="58">
        <f>'DATA HISTORICAL'!$B3899</f>
        <v>41109</v>
      </c>
      <c r="C3254" s="60">
        <f>'DATA HISTORICAL'!$C3899</f>
        <v>1573</v>
      </c>
      <c r="D3254" s="53">
        <f t="shared" si="100"/>
        <v>4.7793622918173339E-3</v>
      </c>
      <c r="E3254" s="53">
        <v>-5.5885104215081536E-3</v>
      </c>
      <c r="G3254" s="90">
        <v>3246</v>
      </c>
      <c r="H3254" s="90">
        <f t="shared" ca="1" si="101"/>
        <v>1.4733301299074551E-2</v>
      </c>
    </row>
    <row r="3255" spans="2:8" x14ac:dyDescent="0.3">
      <c r="B3255" s="58">
        <f>'DATA HISTORICAL'!$B3900</f>
        <v>41108</v>
      </c>
      <c r="C3255" s="60">
        <f>'DATA HISTORICAL'!$C3900</f>
        <v>1565.5</v>
      </c>
      <c r="D3255" s="53">
        <f t="shared" si="100"/>
        <v>6.070190758427947E-4</v>
      </c>
      <c r="E3255" s="53">
        <v>-5.5966257210113965E-3</v>
      </c>
      <c r="G3255" s="90">
        <v>3247</v>
      </c>
      <c r="H3255" s="90">
        <f t="shared" ca="1" si="101"/>
        <v>2.7791524771512946E-3</v>
      </c>
    </row>
    <row r="3256" spans="2:8" x14ac:dyDescent="0.3">
      <c r="B3256" s="58">
        <f>'DATA HISTORICAL'!$B3901</f>
        <v>41107</v>
      </c>
      <c r="C3256" s="60">
        <f>'DATA HISTORICAL'!$C3901</f>
        <v>1564.55</v>
      </c>
      <c r="D3256" s="53">
        <f t="shared" si="100"/>
        <v>-4.4323345470046252E-3</v>
      </c>
      <c r="E3256" s="53">
        <v>-5.6000628075706348E-3</v>
      </c>
      <c r="G3256" s="90">
        <v>3248</v>
      </c>
      <c r="H3256" s="90">
        <f t="shared" ca="1" si="101"/>
        <v>-4.2009336845632564E-3</v>
      </c>
    </row>
    <row r="3257" spans="2:8" x14ac:dyDescent="0.3">
      <c r="B3257" s="58">
        <f>'DATA HISTORICAL'!$B3902</f>
        <v>41106</v>
      </c>
      <c r="C3257" s="60">
        <f>'DATA HISTORICAL'!$C3902</f>
        <v>1571.5</v>
      </c>
      <c r="D3257" s="53">
        <f t="shared" si="100"/>
        <v>-3.817279598458578E-4</v>
      </c>
      <c r="E3257" s="53">
        <v>-5.6006831480179022E-3</v>
      </c>
      <c r="G3257" s="90">
        <v>3249</v>
      </c>
      <c r="H3257" s="90">
        <f t="shared" ca="1" si="101"/>
        <v>2.3234311440061401E-2</v>
      </c>
    </row>
    <row r="3258" spans="2:8" x14ac:dyDescent="0.3">
      <c r="B3258" s="58">
        <f>'DATA HISTORICAL'!$B3903</f>
        <v>41103</v>
      </c>
      <c r="C3258" s="60">
        <f>'DATA HISTORICAL'!$C3903</f>
        <v>1572.1</v>
      </c>
      <c r="D3258" s="53">
        <f t="shared" si="100"/>
        <v>1.4640825047549223E-3</v>
      </c>
      <c r="E3258" s="53">
        <v>-5.6098178426985399E-3</v>
      </c>
      <c r="G3258" s="90">
        <v>3250</v>
      </c>
      <c r="H3258" s="90">
        <f t="shared" ca="1" si="101"/>
        <v>-1.5642379443630252E-2</v>
      </c>
    </row>
    <row r="3259" spans="2:8" x14ac:dyDescent="0.3">
      <c r="B3259" s="58">
        <f>'DATA HISTORICAL'!$B3904</f>
        <v>41102</v>
      </c>
      <c r="C3259" s="60">
        <f>'DATA HISTORICAL'!$C3904</f>
        <v>1569.8</v>
      </c>
      <c r="D3259" s="53">
        <f t="shared" si="100"/>
        <v>-1.0235374153931913E-2</v>
      </c>
      <c r="E3259" s="53">
        <v>-5.6268629500467382E-3</v>
      </c>
      <c r="G3259" s="90">
        <v>3251</v>
      </c>
      <c r="H3259" s="90">
        <f t="shared" ca="1" si="101"/>
        <v>-2.3339490953137237E-2</v>
      </c>
    </row>
    <row r="3260" spans="2:8" x14ac:dyDescent="0.3">
      <c r="B3260" s="58">
        <f>'DATA HISTORICAL'!$B3905</f>
        <v>41101</v>
      </c>
      <c r="C3260" s="60">
        <f>'DATA HISTORICAL'!$C3905</f>
        <v>1585.95</v>
      </c>
      <c r="D3260" s="53">
        <f t="shared" si="100"/>
        <v>1.4544556173554485E-2</v>
      </c>
      <c r="E3260" s="53">
        <v>-5.6470665496133566E-3</v>
      </c>
      <c r="G3260" s="90">
        <v>3252</v>
      </c>
      <c r="H3260" s="90">
        <f t="shared" ca="1" si="101"/>
        <v>-3.8135201706240934E-2</v>
      </c>
    </row>
    <row r="3261" spans="2:8" x14ac:dyDescent="0.3">
      <c r="B3261" s="58">
        <f>'DATA HISTORICAL'!$B3906</f>
        <v>41100</v>
      </c>
      <c r="C3261" s="60">
        <f>'DATA HISTORICAL'!$C3906</f>
        <v>1563.05</v>
      </c>
      <c r="D3261" s="53">
        <f t="shared" si="100"/>
        <v>1.1842843666307475E-3</v>
      </c>
      <c r="E3261" s="53">
        <v>-5.6822431837553885E-3</v>
      </c>
      <c r="G3261" s="90">
        <v>3253</v>
      </c>
      <c r="H3261" s="90">
        <f t="shared" ca="1" si="101"/>
        <v>8.1532212444817165E-3</v>
      </c>
    </row>
    <row r="3262" spans="2:8" x14ac:dyDescent="0.3">
      <c r="B3262" s="58">
        <f>'DATA HISTORICAL'!$B3907</f>
        <v>41099</v>
      </c>
      <c r="C3262" s="60">
        <f>'DATA HISTORICAL'!$C3907</f>
        <v>1561.2</v>
      </c>
      <c r="D3262" s="53">
        <f t="shared" si="100"/>
        <v>1.0495572988455939E-2</v>
      </c>
      <c r="E3262" s="53">
        <v>-5.6960575635741613E-3</v>
      </c>
      <c r="G3262" s="90">
        <v>3254</v>
      </c>
      <c r="H3262" s="90">
        <f t="shared" ca="1" si="101"/>
        <v>2.2555116785038697E-2</v>
      </c>
    </row>
    <row r="3263" spans="2:8" x14ac:dyDescent="0.3">
      <c r="B3263" s="58">
        <f>'DATA HISTORICAL'!$B3908</f>
        <v>41096</v>
      </c>
      <c r="C3263" s="60">
        <f>'DATA HISTORICAL'!$C3908</f>
        <v>1544.9</v>
      </c>
      <c r="D3263" s="53">
        <f t="shared" si="100"/>
        <v>1.0686010439987974E-3</v>
      </c>
      <c r="E3263" s="53">
        <v>-5.7173499266329085E-3</v>
      </c>
      <c r="G3263" s="90">
        <v>3255</v>
      </c>
      <c r="H3263" s="90">
        <f t="shared" ca="1" si="101"/>
        <v>5.018490039071339E-2</v>
      </c>
    </row>
    <row r="3264" spans="2:8" x14ac:dyDescent="0.3">
      <c r="B3264" s="58">
        <f>'DATA HISTORICAL'!$B3909</f>
        <v>41095</v>
      </c>
      <c r="C3264" s="60">
        <f>'DATA HISTORICAL'!$C3909</f>
        <v>1543.25</v>
      </c>
      <c r="D3264" s="53">
        <f t="shared" si="100"/>
        <v>4.090649168909887E-3</v>
      </c>
      <c r="E3264" s="53">
        <v>-5.7216187476719126E-3</v>
      </c>
      <c r="G3264" s="90">
        <v>3256</v>
      </c>
      <c r="H3264" s="90">
        <f t="shared" ca="1" si="101"/>
        <v>-1.1143551556138803E-2</v>
      </c>
    </row>
    <row r="3265" spans="2:8" x14ac:dyDescent="0.3">
      <c r="B3265" s="58">
        <f>'DATA HISTORICAL'!$B3910</f>
        <v>41094</v>
      </c>
      <c r="C3265" s="60">
        <f>'DATA HISTORICAL'!$C3910</f>
        <v>1536.95</v>
      </c>
      <c r="D3265" s="53">
        <f t="shared" si="100"/>
        <v>6.5066042055682887E-5</v>
      </c>
      <c r="E3265" s="53">
        <v>-5.7357996157756906E-3</v>
      </c>
      <c r="G3265" s="90">
        <v>3257</v>
      </c>
      <c r="H3265" s="90">
        <f t="shared" ca="1" si="101"/>
        <v>-5.6823803119106673E-3</v>
      </c>
    </row>
    <row r="3266" spans="2:8" x14ac:dyDescent="0.3">
      <c r="B3266" s="58">
        <f>'DATA HISTORICAL'!$B3911</f>
        <v>41093</v>
      </c>
      <c r="C3266" s="60">
        <f>'DATA HISTORICAL'!$C3911</f>
        <v>1536.85</v>
      </c>
      <c r="D3266" s="53">
        <f t="shared" si="100"/>
        <v>1.4418442922364036E-2</v>
      </c>
      <c r="E3266" s="53">
        <v>-5.7396083164448696E-3</v>
      </c>
      <c r="G3266" s="90">
        <v>3258</v>
      </c>
      <c r="H3266" s="90">
        <f t="shared" ca="1" si="101"/>
        <v>4.7949286841128237E-2</v>
      </c>
    </row>
    <row r="3267" spans="2:8" x14ac:dyDescent="0.3">
      <c r="B3267" s="58">
        <f>'DATA HISTORICAL'!$B3912</f>
        <v>41092</v>
      </c>
      <c r="C3267" s="60">
        <f>'DATA HISTORICAL'!$C3912</f>
        <v>1514.85</v>
      </c>
      <c r="D3267" s="53">
        <f t="shared" si="100"/>
        <v>-1.0886239879602225E-3</v>
      </c>
      <c r="E3267" s="53">
        <v>-5.7481322761863286E-3</v>
      </c>
      <c r="G3267" s="90">
        <v>3259</v>
      </c>
      <c r="H3267" s="90">
        <f t="shared" ca="1" si="101"/>
        <v>2.0647476513434336E-3</v>
      </c>
    </row>
    <row r="3268" spans="2:8" x14ac:dyDescent="0.3">
      <c r="B3268" s="58">
        <f>'DATA HISTORICAL'!$B3913</f>
        <v>41089</v>
      </c>
      <c r="C3268" s="60">
        <f>'DATA HISTORICAL'!$C3913</f>
        <v>1516.5</v>
      </c>
      <c r="D3268" s="53">
        <f t="shared" si="100"/>
        <v>3.2976092631887752E-4</v>
      </c>
      <c r="E3268" s="53">
        <v>-5.7711720159197236E-3</v>
      </c>
      <c r="G3268" s="90">
        <v>3260</v>
      </c>
      <c r="H3268" s="90">
        <f t="shared" ca="1" si="101"/>
        <v>5.3842395167944899E-3</v>
      </c>
    </row>
    <row r="3269" spans="2:8" x14ac:dyDescent="0.3">
      <c r="B3269" s="58">
        <f>'DATA HISTORICAL'!$B3914</f>
        <v>41088</v>
      </c>
      <c r="C3269" s="60">
        <f>'DATA HISTORICAL'!$C3914</f>
        <v>1516</v>
      </c>
      <c r="D3269" s="53">
        <f t="shared" si="100"/>
        <v>3.5312791752387329E-2</v>
      </c>
      <c r="E3269" s="53">
        <v>-5.7931802683941665E-3</v>
      </c>
      <c r="G3269" s="90">
        <v>3261</v>
      </c>
      <c r="H3269" s="90">
        <f t="shared" ca="1" si="101"/>
        <v>-1.127604456679256E-3</v>
      </c>
    </row>
    <row r="3270" spans="2:8" x14ac:dyDescent="0.3">
      <c r="B3270" s="58">
        <f>'DATA HISTORICAL'!$B3915</f>
        <v>41087</v>
      </c>
      <c r="C3270" s="60">
        <f>'DATA HISTORICAL'!$C3915</f>
        <v>1463.4</v>
      </c>
      <c r="D3270" s="53">
        <f t="shared" si="100"/>
        <v>-1.1110659120904785E-2</v>
      </c>
      <c r="E3270" s="53">
        <v>-5.7946033062320074E-3</v>
      </c>
      <c r="G3270" s="90">
        <v>3262</v>
      </c>
      <c r="H3270" s="90">
        <f t="shared" ca="1" si="101"/>
        <v>4.0674192137053911E-3</v>
      </c>
    </row>
    <row r="3271" spans="2:8" x14ac:dyDescent="0.3">
      <c r="B3271" s="58">
        <f>'DATA HISTORICAL'!$B3916</f>
        <v>41086</v>
      </c>
      <c r="C3271" s="60">
        <f>'DATA HISTORICAL'!$C3916</f>
        <v>1479.75</v>
      </c>
      <c r="D3271" s="53">
        <f t="shared" si="100"/>
        <v>4.0629817192537722E-3</v>
      </c>
      <c r="E3271" s="53">
        <v>-5.817101397600416E-3</v>
      </c>
      <c r="G3271" s="90">
        <v>3263</v>
      </c>
      <c r="H3271" s="90">
        <f t="shared" ca="1" si="101"/>
        <v>-1.302372717689913E-2</v>
      </c>
    </row>
    <row r="3272" spans="2:8" x14ac:dyDescent="0.3">
      <c r="B3272" s="58">
        <f>'DATA HISTORICAL'!$B3917</f>
        <v>41085</v>
      </c>
      <c r="C3272" s="60">
        <f>'DATA HISTORICAL'!$C3917</f>
        <v>1473.75</v>
      </c>
      <c r="D3272" s="53">
        <f t="shared" si="100"/>
        <v>1.2014206423326944E-2</v>
      </c>
      <c r="E3272" s="53">
        <v>-5.8338654970482903E-3</v>
      </c>
      <c r="G3272" s="90">
        <v>3264</v>
      </c>
      <c r="H3272" s="90">
        <f t="shared" ca="1" si="101"/>
        <v>2.206694136246868E-2</v>
      </c>
    </row>
    <row r="3273" spans="2:8" x14ac:dyDescent="0.3">
      <c r="B3273" s="58">
        <f>'DATA HISTORICAL'!$B3918</f>
        <v>41082</v>
      </c>
      <c r="C3273" s="60">
        <f>'DATA HISTORICAL'!$C3918</f>
        <v>1456.15</v>
      </c>
      <c r="D3273" s="53">
        <f t="shared" ref="D3273:D3336" si="102">LN(C3273/C3274)</f>
        <v>-6.6734218677316545E-3</v>
      </c>
      <c r="E3273" s="53">
        <v>-5.8349420139250131E-3</v>
      </c>
      <c r="G3273" s="90">
        <v>3265</v>
      </c>
      <c r="H3273" s="90">
        <f t="shared" ref="H3273:H3336" ca="1" si="103">_xlfn.NORM.INV(RAND(),N$10,N$11)</f>
        <v>6.190757848837292E-3</v>
      </c>
    </row>
    <row r="3274" spans="2:8" x14ac:dyDescent="0.3">
      <c r="B3274" s="58">
        <f>'DATA HISTORICAL'!$B3919</f>
        <v>41081</v>
      </c>
      <c r="C3274" s="60">
        <f>'DATA HISTORICAL'!$C3919</f>
        <v>1465.9</v>
      </c>
      <c r="D3274" s="53">
        <f t="shared" si="102"/>
        <v>2.5109678880531349E-2</v>
      </c>
      <c r="E3274" s="53">
        <v>-5.8372270744820026E-3</v>
      </c>
      <c r="G3274" s="90">
        <v>3266</v>
      </c>
      <c r="H3274" s="90">
        <f t="shared" ca="1" si="103"/>
        <v>-1.3680483078420619E-3</v>
      </c>
    </row>
    <row r="3275" spans="2:8" x14ac:dyDescent="0.3">
      <c r="B3275" s="58">
        <f>'DATA HISTORICAL'!$B3920</f>
        <v>41080</v>
      </c>
      <c r="C3275" s="60">
        <f>'DATA HISTORICAL'!$C3920</f>
        <v>1429.55</v>
      </c>
      <c r="D3275" s="53">
        <f t="shared" si="102"/>
        <v>-1.1026390433426611E-2</v>
      </c>
      <c r="E3275" s="53">
        <v>-5.8402228588940695E-3</v>
      </c>
      <c r="G3275" s="90">
        <v>3267</v>
      </c>
      <c r="H3275" s="90">
        <f t="shared" ca="1" si="103"/>
        <v>1.9388406283727699E-3</v>
      </c>
    </row>
    <row r="3276" spans="2:8" x14ac:dyDescent="0.3">
      <c r="B3276" s="58">
        <f>'DATA HISTORICAL'!$B3921</f>
        <v>41079</v>
      </c>
      <c r="C3276" s="60">
        <f>'DATA HISTORICAL'!$C3921</f>
        <v>1445.4</v>
      </c>
      <c r="D3276" s="53">
        <f t="shared" si="102"/>
        <v>2.8059254574941978E-3</v>
      </c>
      <c r="E3276" s="53">
        <v>-5.8405994317999787E-3</v>
      </c>
      <c r="G3276" s="90">
        <v>3268</v>
      </c>
      <c r="H3276" s="90">
        <f t="shared" ca="1" si="103"/>
        <v>2.2177114657171128E-2</v>
      </c>
    </row>
    <row r="3277" spans="2:8" x14ac:dyDescent="0.3">
      <c r="B3277" s="58">
        <f>'DATA HISTORICAL'!$B3922</f>
        <v>41078</v>
      </c>
      <c r="C3277" s="60">
        <f>'DATA HISTORICAL'!$C3922</f>
        <v>1441.35</v>
      </c>
      <c r="D3277" s="53">
        <f t="shared" si="102"/>
        <v>-5.810953365163467E-3</v>
      </c>
      <c r="E3277" s="53">
        <v>-5.8448705939266703E-3</v>
      </c>
      <c r="G3277" s="90">
        <v>3269</v>
      </c>
      <c r="H3277" s="90">
        <f t="shared" ca="1" si="103"/>
        <v>3.1911507985352E-2</v>
      </c>
    </row>
    <row r="3278" spans="2:8" x14ac:dyDescent="0.3">
      <c r="B3278" s="58">
        <f>'DATA HISTORICAL'!$B3923</f>
        <v>41075</v>
      </c>
      <c r="C3278" s="60">
        <f>'DATA HISTORICAL'!$C3923</f>
        <v>1449.75</v>
      </c>
      <c r="D3278" s="53">
        <f t="shared" si="102"/>
        <v>1.4241296612469381E-2</v>
      </c>
      <c r="E3278" s="53">
        <v>-5.8535126670712116E-3</v>
      </c>
      <c r="G3278" s="90">
        <v>3270</v>
      </c>
      <c r="H3278" s="90">
        <f t="shared" ca="1" si="103"/>
        <v>-1.8682424368581956E-2</v>
      </c>
    </row>
    <row r="3279" spans="2:8" x14ac:dyDescent="0.3">
      <c r="B3279" s="58">
        <f>'DATA HISTORICAL'!$B3924</f>
        <v>41074</v>
      </c>
      <c r="C3279" s="60">
        <f>'DATA HISTORICAL'!$C3924</f>
        <v>1429.25</v>
      </c>
      <c r="D3279" s="53">
        <f t="shared" si="102"/>
        <v>4.2419737924551636E-3</v>
      </c>
      <c r="E3279" s="53">
        <v>-5.8579801585278016E-3</v>
      </c>
      <c r="G3279" s="90">
        <v>3271</v>
      </c>
      <c r="H3279" s="90">
        <f t="shared" ca="1" si="103"/>
        <v>1.0595019426692087E-2</v>
      </c>
    </row>
    <row r="3280" spans="2:8" x14ac:dyDescent="0.3">
      <c r="B3280" s="58">
        <f>'DATA HISTORICAL'!$B3925</f>
        <v>41073</v>
      </c>
      <c r="C3280" s="60">
        <f>'DATA HISTORICAL'!$C3925</f>
        <v>1423.2</v>
      </c>
      <c r="D3280" s="53">
        <f t="shared" si="102"/>
        <v>9.3890774803098744E-3</v>
      </c>
      <c r="E3280" s="53">
        <v>-5.878685074399051E-3</v>
      </c>
      <c r="G3280" s="90">
        <v>3272</v>
      </c>
      <c r="H3280" s="90">
        <f t="shared" ca="1" si="103"/>
        <v>-1.3094320264872401E-2</v>
      </c>
    </row>
    <row r="3281" spans="2:8" x14ac:dyDescent="0.3">
      <c r="B3281" s="58">
        <f>'DATA HISTORICAL'!$B3926</f>
        <v>41072</v>
      </c>
      <c r="C3281" s="60">
        <f>'DATA HISTORICAL'!$C3926</f>
        <v>1409.9</v>
      </c>
      <c r="D3281" s="53">
        <f t="shared" si="102"/>
        <v>1.7854741984568941E-2</v>
      </c>
      <c r="E3281" s="53">
        <v>-5.915671472069243E-3</v>
      </c>
      <c r="G3281" s="90">
        <v>3273</v>
      </c>
      <c r="H3281" s="90">
        <f t="shared" ca="1" si="103"/>
        <v>1.447738024763633E-2</v>
      </c>
    </row>
    <row r="3282" spans="2:8" x14ac:dyDescent="0.3">
      <c r="B3282" s="58">
        <f>'DATA HISTORICAL'!$B3927</f>
        <v>41071</v>
      </c>
      <c r="C3282" s="60">
        <f>'DATA HISTORICAL'!$C3927</f>
        <v>1384.95</v>
      </c>
      <c r="D3282" s="53">
        <f t="shared" si="102"/>
        <v>-1.0236606817645745E-2</v>
      </c>
      <c r="E3282" s="53">
        <v>-5.9262425744794726E-3</v>
      </c>
      <c r="G3282" s="90">
        <v>3274</v>
      </c>
      <c r="H3282" s="90">
        <f t="shared" ca="1" si="103"/>
        <v>1.2566256677845456E-2</v>
      </c>
    </row>
    <row r="3283" spans="2:8" x14ac:dyDescent="0.3">
      <c r="B3283" s="58">
        <f>'DATA HISTORICAL'!$B3928</f>
        <v>41068</v>
      </c>
      <c r="C3283" s="60">
        <f>'DATA HISTORICAL'!$C3928</f>
        <v>1399.2</v>
      </c>
      <c r="D3283" s="53">
        <f t="shared" si="102"/>
        <v>9.5869749195286007E-3</v>
      </c>
      <c r="E3283" s="53">
        <v>-5.9492437500802626E-3</v>
      </c>
      <c r="G3283" s="90">
        <v>3275</v>
      </c>
      <c r="H3283" s="90">
        <f t="shared" ca="1" si="103"/>
        <v>-6.5702004672338853E-5</v>
      </c>
    </row>
    <row r="3284" spans="2:8" x14ac:dyDescent="0.3">
      <c r="B3284" s="58">
        <f>'DATA HISTORICAL'!$B3929</f>
        <v>41067</v>
      </c>
      <c r="C3284" s="60">
        <f>'DATA HISTORICAL'!$C3929</f>
        <v>1385.85</v>
      </c>
      <c r="D3284" s="53">
        <f t="shared" si="102"/>
        <v>-7.8702363004740043E-3</v>
      </c>
      <c r="E3284" s="53">
        <v>-5.9642975428859258E-3</v>
      </c>
      <c r="G3284" s="90">
        <v>3276</v>
      </c>
      <c r="H3284" s="90">
        <f t="shared" ca="1" si="103"/>
        <v>1.1527803492666324E-2</v>
      </c>
    </row>
    <row r="3285" spans="2:8" x14ac:dyDescent="0.3">
      <c r="B3285" s="58">
        <f>'DATA HISTORICAL'!$B3930</f>
        <v>41066</v>
      </c>
      <c r="C3285" s="60">
        <f>'DATA HISTORICAL'!$C3930</f>
        <v>1396.8</v>
      </c>
      <c r="D3285" s="53">
        <f t="shared" si="102"/>
        <v>1.0037319172624751E-2</v>
      </c>
      <c r="E3285" s="53">
        <v>-5.9662527413522244E-3</v>
      </c>
      <c r="G3285" s="90">
        <v>3277</v>
      </c>
      <c r="H3285" s="90">
        <f t="shared" ca="1" si="103"/>
        <v>3.5153444129996155E-4</v>
      </c>
    </row>
    <row r="3286" spans="2:8" x14ac:dyDescent="0.3">
      <c r="B3286" s="58">
        <f>'DATA HISTORICAL'!$B3931</f>
        <v>41065</v>
      </c>
      <c r="C3286" s="60">
        <f>'DATA HISTORICAL'!$C3931</f>
        <v>1382.85</v>
      </c>
      <c r="D3286" s="53">
        <f t="shared" si="102"/>
        <v>-1.6424381259598116E-2</v>
      </c>
      <c r="E3286" s="53">
        <v>-5.9718647548722241E-3</v>
      </c>
      <c r="G3286" s="90">
        <v>3278</v>
      </c>
      <c r="H3286" s="90">
        <f t="shared" ca="1" si="103"/>
        <v>-2.0345878741383914E-2</v>
      </c>
    </row>
    <row r="3287" spans="2:8" x14ac:dyDescent="0.3">
      <c r="B3287" s="58">
        <f>'DATA HISTORICAL'!$B3932</f>
        <v>41064</v>
      </c>
      <c r="C3287" s="60">
        <f>'DATA HISTORICAL'!$C3932</f>
        <v>1405.75</v>
      </c>
      <c r="D3287" s="53">
        <f t="shared" si="102"/>
        <v>-4.2103051617175119E-2</v>
      </c>
      <c r="E3287" s="53">
        <v>-5.991010246103155E-3</v>
      </c>
      <c r="G3287" s="90">
        <v>3279</v>
      </c>
      <c r="H3287" s="90">
        <f t="shared" ca="1" si="103"/>
        <v>1.8448154752399359E-2</v>
      </c>
    </row>
    <row r="3288" spans="2:8" x14ac:dyDescent="0.3">
      <c r="B3288" s="58">
        <f>'DATA HISTORICAL'!$B3933</f>
        <v>41061</v>
      </c>
      <c r="C3288" s="60">
        <f>'DATA HISTORICAL'!$C3933</f>
        <v>1466.2</v>
      </c>
      <c r="D3288" s="53">
        <f t="shared" si="102"/>
        <v>2.9309549444556573E-2</v>
      </c>
      <c r="E3288" s="53">
        <v>-5.9975121751838128E-3</v>
      </c>
      <c r="G3288" s="90">
        <v>3280</v>
      </c>
      <c r="H3288" s="90">
        <f t="shared" ca="1" si="103"/>
        <v>4.0446773859080992E-2</v>
      </c>
    </row>
    <row r="3289" spans="2:8" x14ac:dyDescent="0.3">
      <c r="B3289" s="58">
        <f>'DATA HISTORICAL'!$B3934</f>
        <v>41060</v>
      </c>
      <c r="C3289" s="60">
        <f>'DATA HISTORICAL'!$C3934</f>
        <v>1423.85</v>
      </c>
      <c r="D3289" s="53">
        <f t="shared" si="102"/>
        <v>2.9651864126887185E-2</v>
      </c>
      <c r="E3289" s="53">
        <v>-6.0023266011059121E-3</v>
      </c>
      <c r="G3289" s="90">
        <v>3281</v>
      </c>
      <c r="H3289" s="90">
        <f t="shared" ca="1" si="103"/>
        <v>7.6499025979121331E-3</v>
      </c>
    </row>
    <row r="3290" spans="2:8" x14ac:dyDescent="0.3">
      <c r="B3290" s="58">
        <f>'DATA HISTORICAL'!$B3935</f>
        <v>41059</v>
      </c>
      <c r="C3290" s="60">
        <f>'DATA HISTORICAL'!$C3935</f>
        <v>1382.25</v>
      </c>
      <c r="D3290" s="53">
        <f t="shared" si="102"/>
        <v>9.7714572673684649E-4</v>
      </c>
      <c r="E3290" s="53">
        <v>-6.0082971994910609E-3</v>
      </c>
      <c r="G3290" s="90">
        <v>3282</v>
      </c>
      <c r="H3290" s="90">
        <f t="shared" ca="1" si="103"/>
        <v>-6.9498187497276124E-3</v>
      </c>
    </row>
    <row r="3291" spans="2:8" x14ac:dyDescent="0.3">
      <c r="B3291" s="58">
        <f>'DATA HISTORICAL'!$B3936</f>
        <v>41058</v>
      </c>
      <c r="C3291" s="60">
        <f>'DATA HISTORICAL'!$C3936</f>
        <v>1380.9</v>
      </c>
      <c r="D3291" s="53">
        <f t="shared" si="102"/>
        <v>-3.7585877280017863E-3</v>
      </c>
      <c r="E3291" s="53">
        <v>-6.0438226064928489E-3</v>
      </c>
      <c r="G3291" s="90">
        <v>3283</v>
      </c>
      <c r="H3291" s="90">
        <f t="shared" ca="1" si="103"/>
        <v>-2.2051045223970923E-2</v>
      </c>
    </row>
    <row r="3292" spans="2:8" x14ac:dyDescent="0.3">
      <c r="B3292" s="58">
        <f>'DATA HISTORICAL'!$B3937</f>
        <v>41057</v>
      </c>
      <c r="C3292" s="60">
        <f>'DATA HISTORICAL'!$C3937</f>
        <v>1386.1</v>
      </c>
      <c r="D3292" s="53">
        <f t="shared" si="102"/>
        <v>1.5161910416923495E-3</v>
      </c>
      <c r="E3292" s="53">
        <v>-6.0564736344888995E-3</v>
      </c>
      <c r="G3292" s="90">
        <v>3284</v>
      </c>
      <c r="H3292" s="90">
        <f t="shared" ca="1" si="103"/>
        <v>-1.3277111215522337E-2</v>
      </c>
    </row>
    <row r="3293" spans="2:8" x14ac:dyDescent="0.3">
      <c r="B3293" s="58">
        <f>'DATA HISTORICAL'!$B3938</f>
        <v>41054</v>
      </c>
      <c r="C3293" s="60">
        <f>'DATA HISTORICAL'!$C3938</f>
        <v>1384</v>
      </c>
      <c r="D3293" s="53">
        <f t="shared" si="102"/>
        <v>7.834074594077943E-3</v>
      </c>
      <c r="E3293" s="53">
        <v>-6.0598767819242958E-3</v>
      </c>
      <c r="G3293" s="90">
        <v>3285</v>
      </c>
      <c r="H3293" s="90">
        <f t="shared" ca="1" si="103"/>
        <v>2.3524076101563571E-2</v>
      </c>
    </row>
    <row r="3294" spans="2:8" x14ac:dyDescent="0.3">
      <c r="B3294" s="58">
        <f>'DATA HISTORICAL'!$B3939</f>
        <v>41053</v>
      </c>
      <c r="C3294" s="60">
        <f>'DATA HISTORICAL'!$C3939</f>
        <v>1373.2</v>
      </c>
      <c r="D3294" s="53">
        <f t="shared" si="102"/>
        <v>2.6980728804041503E-3</v>
      </c>
      <c r="E3294" s="53">
        <v>-6.0698213670758337E-3</v>
      </c>
      <c r="G3294" s="90">
        <v>3286</v>
      </c>
      <c r="H3294" s="90">
        <f t="shared" ca="1" si="103"/>
        <v>2.5313171673325818E-2</v>
      </c>
    </row>
    <row r="3295" spans="2:8" x14ac:dyDescent="0.3">
      <c r="B3295" s="58">
        <f>'DATA HISTORICAL'!$B3940</f>
        <v>41052</v>
      </c>
      <c r="C3295" s="60">
        <f>'DATA HISTORICAL'!$C3940</f>
        <v>1369.5</v>
      </c>
      <c r="D3295" s="53">
        <f t="shared" si="102"/>
        <v>-8.3259584026378983E-3</v>
      </c>
      <c r="E3295" s="53">
        <v>-6.0785674234647129E-3</v>
      </c>
      <c r="G3295" s="90">
        <v>3287</v>
      </c>
      <c r="H3295" s="90">
        <f t="shared" ca="1" si="103"/>
        <v>-1.0373850730055312E-2</v>
      </c>
    </row>
    <row r="3296" spans="2:8" x14ac:dyDescent="0.3">
      <c r="B3296" s="58">
        <f>'DATA HISTORICAL'!$B3941</f>
        <v>41051</v>
      </c>
      <c r="C3296" s="60">
        <f>'DATA HISTORICAL'!$C3941</f>
        <v>1380.95</v>
      </c>
      <c r="D3296" s="53">
        <f t="shared" si="102"/>
        <v>-2.1385251256126177E-2</v>
      </c>
      <c r="E3296" s="53">
        <v>-6.0796724954170159E-3</v>
      </c>
      <c r="G3296" s="90">
        <v>3288</v>
      </c>
      <c r="H3296" s="90">
        <f t="shared" ca="1" si="103"/>
        <v>2.7016022516848245E-2</v>
      </c>
    </row>
    <row r="3297" spans="2:8" x14ac:dyDescent="0.3">
      <c r="B3297" s="58">
        <f>'DATA HISTORICAL'!$B3942</f>
        <v>41050</v>
      </c>
      <c r="C3297" s="60">
        <f>'DATA HISTORICAL'!$C3942</f>
        <v>1410.8</v>
      </c>
      <c r="D3297" s="53">
        <f t="shared" si="102"/>
        <v>2.8748400485084816E-3</v>
      </c>
      <c r="E3297" s="53">
        <v>-6.0801021145178392E-3</v>
      </c>
      <c r="G3297" s="90">
        <v>3289</v>
      </c>
      <c r="H3297" s="90">
        <f t="shared" ca="1" si="103"/>
        <v>8.204675797462405E-3</v>
      </c>
    </row>
    <row r="3298" spans="2:8" x14ac:dyDescent="0.3">
      <c r="B3298" s="58">
        <f>'DATA HISTORICAL'!$B3943</f>
        <v>41047</v>
      </c>
      <c r="C3298" s="60">
        <f>'DATA HISTORICAL'!$C3943</f>
        <v>1406.75</v>
      </c>
      <c r="D3298" s="53">
        <f t="shared" si="102"/>
        <v>-2.8748400485085293E-3</v>
      </c>
      <c r="E3298" s="53">
        <v>-6.085755141143399E-3</v>
      </c>
      <c r="G3298" s="90">
        <v>3290</v>
      </c>
      <c r="H3298" s="90">
        <f t="shared" ca="1" si="103"/>
        <v>2.788129827477941E-2</v>
      </c>
    </row>
    <row r="3299" spans="2:8" x14ac:dyDescent="0.3">
      <c r="B3299" s="58">
        <f>'DATA HISTORICAL'!$B3944</f>
        <v>41046</v>
      </c>
      <c r="C3299" s="60">
        <f>'DATA HISTORICAL'!$C3944</f>
        <v>1410.8</v>
      </c>
      <c r="D3299" s="53">
        <f t="shared" si="102"/>
        <v>6.3641265054666801E-3</v>
      </c>
      <c r="E3299" s="53">
        <v>-6.090285273943237E-3</v>
      </c>
      <c r="G3299" s="90">
        <v>3291</v>
      </c>
      <c r="H3299" s="90">
        <f t="shared" ca="1" si="103"/>
        <v>-4.009569267187851E-4</v>
      </c>
    </row>
    <row r="3300" spans="2:8" x14ac:dyDescent="0.3">
      <c r="B3300" s="58">
        <f>'DATA HISTORICAL'!$B3945</f>
        <v>41045</v>
      </c>
      <c r="C3300" s="60">
        <f>'DATA HISTORICAL'!$C3945</f>
        <v>1401.85</v>
      </c>
      <c r="D3300" s="53">
        <f t="shared" si="102"/>
        <v>1.6063113628973533E-3</v>
      </c>
      <c r="E3300" s="53">
        <v>-6.0937113365808404E-3</v>
      </c>
      <c r="G3300" s="90">
        <v>3292</v>
      </c>
      <c r="H3300" s="90">
        <f t="shared" ca="1" si="103"/>
        <v>-1.4356852618522698E-3</v>
      </c>
    </row>
    <row r="3301" spans="2:8" x14ac:dyDescent="0.3">
      <c r="B3301" s="58">
        <f>'DATA HISTORICAL'!$B3946</f>
        <v>41044</v>
      </c>
      <c r="C3301" s="60">
        <f>'DATA HISTORICAL'!$C3946</f>
        <v>1399.6</v>
      </c>
      <c r="D3301" s="53">
        <f t="shared" si="102"/>
        <v>1.7369180128903594E-2</v>
      </c>
      <c r="E3301" s="53">
        <v>-6.0967638179345021E-3</v>
      </c>
      <c r="G3301" s="90">
        <v>3293</v>
      </c>
      <c r="H3301" s="90">
        <f t="shared" ca="1" si="103"/>
        <v>-1.7005544527451833E-2</v>
      </c>
    </row>
    <row r="3302" spans="2:8" x14ac:dyDescent="0.3">
      <c r="B3302" s="58">
        <f>'DATA HISTORICAL'!$B3947</f>
        <v>41043</v>
      </c>
      <c r="C3302" s="60">
        <f>'DATA HISTORICAL'!$C3947</f>
        <v>1375.5</v>
      </c>
      <c r="D3302" s="53">
        <f t="shared" si="102"/>
        <v>4.9559171474085452E-3</v>
      </c>
      <c r="E3302" s="53">
        <v>-6.1036626618348796E-3</v>
      </c>
      <c r="G3302" s="90">
        <v>3294</v>
      </c>
      <c r="H3302" s="90">
        <f t="shared" ca="1" si="103"/>
        <v>-1.3813560322572908E-3</v>
      </c>
    </row>
    <row r="3303" spans="2:8" x14ac:dyDescent="0.3">
      <c r="B3303" s="58">
        <f>'DATA HISTORICAL'!$B3948</f>
        <v>41040</v>
      </c>
      <c r="C3303" s="60">
        <f>'DATA HISTORICAL'!$C3948</f>
        <v>1368.7</v>
      </c>
      <c r="D3303" s="53">
        <f t="shared" si="102"/>
        <v>-1.7526520476765166E-2</v>
      </c>
      <c r="E3303" s="53">
        <v>-6.1273186248706505E-3</v>
      </c>
      <c r="G3303" s="90">
        <v>3295</v>
      </c>
      <c r="H3303" s="90">
        <f t="shared" ca="1" si="103"/>
        <v>2.0509312827410149E-2</v>
      </c>
    </row>
    <row r="3304" spans="2:8" x14ac:dyDescent="0.3">
      <c r="B3304" s="58">
        <f>'DATA HISTORICAL'!$B3949</f>
        <v>41039</v>
      </c>
      <c r="C3304" s="60">
        <f>'DATA HISTORICAL'!$C3949</f>
        <v>1392.9</v>
      </c>
      <c r="D3304" s="53">
        <f t="shared" si="102"/>
        <v>1.4025678158657177E-2</v>
      </c>
      <c r="E3304" s="53">
        <v>-6.1286730337555932E-3</v>
      </c>
      <c r="G3304" s="90">
        <v>3296</v>
      </c>
      <c r="H3304" s="90">
        <f t="shared" ca="1" si="103"/>
        <v>-9.4554302681190971E-3</v>
      </c>
    </row>
    <row r="3305" spans="2:8" x14ac:dyDescent="0.3">
      <c r="B3305" s="58">
        <f>'DATA HISTORICAL'!$B3950</f>
        <v>41038</v>
      </c>
      <c r="C3305" s="60">
        <f>'DATA HISTORICAL'!$C3950</f>
        <v>1373.5</v>
      </c>
      <c r="D3305" s="53">
        <f t="shared" si="102"/>
        <v>-2.2390338189591491E-2</v>
      </c>
      <c r="E3305" s="53">
        <v>-6.13361186910038E-3</v>
      </c>
      <c r="G3305" s="90">
        <v>3297</v>
      </c>
      <c r="H3305" s="90">
        <f t="shared" ca="1" si="103"/>
        <v>2.2328285709211103E-2</v>
      </c>
    </row>
    <row r="3306" spans="2:8" x14ac:dyDescent="0.3">
      <c r="B3306" s="58">
        <f>'DATA HISTORICAL'!$B3951</f>
        <v>41037</v>
      </c>
      <c r="C3306" s="60">
        <f>'DATA HISTORICAL'!$C3951</f>
        <v>1404.6</v>
      </c>
      <c r="D3306" s="53">
        <f t="shared" si="102"/>
        <v>-6.1040717600701795E-3</v>
      </c>
      <c r="E3306" s="53">
        <v>-6.1445585317023927E-3</v>
      </c>
      <c r="G3306" s="90">
        <v>3298</v>
      </c>
      <c r="H3306" s="90">
        <f t="shared" ca="1" si="103"/>
        <v>9.6396971629015716E-3</v>
      </c>
    </row>
    <row r="3307" spans="2:8" x14ac:dyDescent="0.3">
      <c r="B3307" s="58">
        <f>'DATA HISTORICAL'!$B3952</f>
        <v>41036</v>
      </c>
      <c r="C3307" s="60">
        <f>'DATA HISTORICAL'!$C3952</f>
        <v>1413.2</v>
      </c>
      <c r="D3307" s="53">
        <f t="shared" si="102"/>
        <v>3.4812104014180785E-2</v>
      </c>
      <c r="E3307" s="53">
        <v>-6.1580064912863516E-3</v>
      </c>
      <c r="G3307" s="90">
        <v>3299</v>
      </c>
      <c r="H3307" s="90">
        <f t="shared" ca="1" si="103"/>
        <v>3.8913659670741403E-2</v>
      </c>
    </row>
    <row r="3308" spans="2:8" x14ac:dyDescent="0.3">
      <c r="B3308" s="58">
        <f>'DATA HISTORICAL'!$B3953</f>
        <v>41033</v>
      </c>
      <c r="C3308" s="60">
        <f>'DATA HISTORICAL'!$C3953</f>
        <v>1364.85</v>
      </c>
      <c r="D3308" s="53">
        <f t="shared" si="102"/>
        <v>-3.6932695746864232E-2</v>
      </c>
      <c r="E3308" s="53">
        <v>-6.1846638930930179E-3</v>
      </c>
      <c r="G3308" s="90">
        <v>3300</v>
      </c>
      <c r="H3308" s="90">
        <f t="shared" ca="1" si="103"/>
        <v>3.5623204311249657E-2</v>
      </c>
    </row>
    <row r="3309" spans="2:8" x14ac:dyDescent="0.3">
      <c r="B3309" s="58">
        <f>'DATA HISTORICAL'!$B3954</f>
        <v>41032</v>
      </c>
      <c r="C3309" s="60">
        <f>'DATA HISTORICAL'!$C3954</f>
        <v>1416.2</v>
      </c>
      <c r="D3309" s="53">
        <f t="shared" si="102"/>
        <v>-4.5792464394477641E-3</v>
      </c>
      <c r="E3309" s="53">
        <v>-6.1924682180703209E-3</v>
      </c>
      <c r="G3309" s="90">
        <v>3301</v>
      </c>
      <c r="H3309" s="90">
        <f t="shared" ca="1" si="103"/>
        <v>1.6924327190459828E-2</v>
      </c>
    </row>
    <row r="3310" spans="2:8" x14ac:dyDescent="0.3">
      <c r="B3310" s="58">
        <f>'DATA HISTORICAL'!$B3955</f>
        <v>41031</v>
      </c>
      <c r="C3310" s="60">
        <f>'DATA HISTORICAL'!$C3955</f>
        <v>1422.7</v>
      </c>
      <c r="D3310" s="53">
        <f t="shared" si="102"/>
        <v>-1.545161144621824E-3</v>
      </c>
      <c r="E3310" s="53">
        <v>-6.2137927997232114E-3</v>
      </c>
      <c r="G3310" s="90">
        <v>3302</v>
      </c>
      <c r="H3310" s="90">
        <f t="shared" ca="1" si="103"/>
        <v>2.6266608699761895E-2</v>
      </c>
    </row>
    <row r="3311" spans="2:8" x14ac:dyDescent="0.3">
      <c r="B3311" s="58">
        <f>'DATA HISTORICAL'!$B3956</f>
        <v>41029</v>
      </c>
      <c r="C3311" s="60">
        <f>'DATA HISTORICAL'!$C3956</f>
        <v>1424.9</v>
      </c>
      <c r="D3311" s="53">
        <f t="shared" si="102"/>
        <v>4.2901919022763886E-3</v>
      </c>
      <c r="E3311" s="53">
        <v>-6.219657293955556E-3</v>
      </c>
      <c r="G3311" s="90">
        <v>3303</v>
      </c>
      <c r="H3311" s="90">
        <f t="shared" ca="1" si="103"/>
        <v>-4.5199361269885859E-3</v>
      </c>
    </row>
    <row r="3312" spans="2:8" x14ac:dyDescent="0.3">
      <c r="B3312" s="58">
        <f>'DATA HISTORICAL'!$B3957</f>
        <v>41026</v>
      </c>
      <c r="C3312" s="60">
        <f>'DATA HISTORICAL'!$C3957</f>
        <v>1418.8</v>
      </c>
      <c r="D3312" s="53">
        <f t="shared" si="102"/>
        <v>-7.3034032497880704E-3</v>
      </c>
      <c r="E3312" s="53">
        <v>-6.2306424008820782E-3</v>
      </c>
      <c r="G3312" s="90">
        <v>3304</v>
      </c>
      <c r="H3312" s="90">
        <f t="shared" ca="1" si="103"/>
        <v>1.4024547328033089E-2</v>
      </c>
    </row>
    <row r="3313" spans="2:8" x14ac:dyDescent="0.3">
      <c r="B3313" s="58">
        <f>'DATA HISTORICAL'!$B3958</f>
        <v>41025</v>
      </c>
      <c r="C3313" s="60">
        <f>'DATA HISTORICAL'!$C3958</f>
        <v>1429.2</v>
      </c>
      <c r="D3313" s="53">
        <f t="shared" si="102"/>
        <v>1.1399743464727288E-2</v>
      </c>
      <c r="E3313" s="53">
        <v>-6.2341565401121402E-3</v>
      </c>
      <c r="G3313" s="90">
        <v>3305</v>
      </c>
      <c r="H3313" s="90">
        <f t="shared" ca="1" si="103"/>
        <v>-1.7717744983468649E-3</v>
      </c>
    </row>
    <row r="3314" spans="2:8" x14ac:dyDescent="0.3">
      <c r="B3314" s="58">
        <f>'DATA HISTORICAL'!$B3959</f>
        <v>41024</v>
      </c>
      <c r="C3314" s="60">
        <f>'DATA HISTORICAL'!$C3959</f>
        <v>1413</v>
      </c>
      <c r="D3314" s="53">
        <f t="shared" si="102"/>
        <v>-2.0149537545355502E-3</v>
      </c>
      <c r="E3314" s="53">
        <v>-6.2524031362726686E-3</v>
      </c>
      <c r="G3314" s="90">
        <v>3306</v>
      </c>
      <c r="H3314" s="90">
        <f t="shared" ca="1" si="103"/>
        <v>5.2260175310871763E-3</v>
      </c>
    </row>
    <row r="3315" spans="2:8" x14ac:dyDescent="0.3">
      <c r="B3315" s="58">
        <f>'DATA HISTORICAL'!$B3960</f>
        <v>41023</v>
      </c>
      <c r="C3315" s="60">
        <f>'DATA HISTORICAL'!$C3960</f>
        <v>1415.85</v>
      </c>
      <c r="D3315" s="53">
        <f t="shared" si="102"/>
        <v>-3.5319011366906232E-2</v>
      </c>
      <c r="E3315" s="53">
        <v>-6.2569391209992241E-3</v>
      </c>
      <c r="G3315" s="90">
        <v>3307</v>
      </c>
      <c r="H3315" s="90">
        <f t="shared" ca="1" si="103"/>
        <v>2.3985355093232706E-2</v>
      </c>
    </row>
    <row r="3316" spans="2:8" x14ac:dyDescent="0.3">
      <c r="B3316" s="58">
        <f>'DATA HISTORICAL'!$B3961</f>
        <v>41022</v>
      </c>
      <c r="C3316" s="60">
        <f>'DATA HISTORICAL'!$C3961</f>
        <v>1466.75</v>
      </c>
      <c r="D3316" s="53">
        <f t="shared" si="102"/>
        <v>2.5599467858450635E-3</v>
      </c>
      <c r="E3316" s="53">
        <v>-6.2821903851168958E-3</v>
      </c>
      <c r="G3316" s="90">
        <v>3308</v>
      </c>
      <c r="H3316" s="90">
        <f t="shared" ca="1" si="103"/>
        <v>-2.0179985380758148E-3</v>
      </c>
    </row>
    <row r="3317" spans="2:8" x14ac:dyDescent="0.3">
      <c r="B3317" s="58">
        <f>'DATA HISTORICAL'!$B3962</f>
        <v>41019</v>
      </c>
      <c r="C3317" s="60">
        <f>'DATA HISTORICAL'!$C3962</f>
        <v>1463</v>
      </c>
      <c r="D3317" s="53">
        <f t="shared" si="102"/>
        <v>-4.2969748617762756E-3</v>
      </c>
      <c r="E3317" s="53">
        <v>-6.2822553802565012E-3</v>
      </c>
      <c r="G3317" s="90">
        <v>3309</v>
      </c>
      <c r="H3317" s="90">
        <f t="shared" ca="1" si="103"/>
        <v>6.6565298540040979E-3</v>
      </c>
    </row>
    <row r="3318" spans="2:8" x14ac:dyDescent="0.3">
      <c r="B3318" s="58">
        <f>'DATA HISTORICAL'!$B3963</f>
        <v>41018</v>
      </c>
      <c r="C3318" s="60">
        <f>'DATA HISTORICAL'!$C3963</f>
        <v>1469.3</v>
      </c>
      <c r="D3318" s="53">
        <f t="shared" si="102"/>
        <v>-7.2559908762602036E-3</v>
      </c>
      <c r="E3318" s="53">
        <v>-6.283060247637957E-3</v>
      </c>
      <c r="G3318" s="90">
        <v>3310</v>
      </c>
      <c r="H3318" s="90">
        <f t="shared" ca="1" si="103"/>
        <v>-3.2196940502590655E-3</v>
      </c>
    </row>
    <row r="3319" spans="2:8" x14ac:dyDescent="0.3">
      <c r="B3319" s="58">
        <f>'DATA HISTORICAL'!$B3964</f>
        <v>41017</v>
      </c>
      <c r="C3319" s="60">
        <f>'DATA HISTORICAL'!$C3964</f>
        <v>1480</v>
      </c>
      <c r="D3319" s="53">
        <f t="shared" si="102"/>
        <v>1.3126314901395895E-2</v>
      </c>
      <c r="E3319" s="53">
        <v>-6.287008414954897E-3</v>
      </c>
      <c r="G3319" s="90">
        <v>3311</v>
      </c>
      <c r="H3319" s="90">
        <f t="shared" ca="1" si="103"/>
        <v>9.1538754334235008E-3</v>
      </c>
    </row>
    <row r="3320" spans="2:8" x14ac:dyDescent="0.3">
      <c r="B3320" s="58">
        <f>'DATA HISTORICAL'!$B3965</f>
        <v>41016</v>
      </c>
      <c r="C3320" s="60">
        <f>'DATA HISTORICAL'!$C3965</f>
        <v>1460.7</v>
      </c>
      <c r="D3320" s="53">
        <f t="shared" si="102"/>
        <v>1.3543758332907781E-2</v>
      </c>
      <c r="E3320" s="53">
        <v>-6.2966125802594629E-3</v>
      </c>
      <c r="G3320" s="90">
        <v>3312</v>
      </c>
      <c r="H3320" s="90">
        <f t="shared" ca="1" si="103"/>
        <v>4.1201975123848572E-2</v>
      </c>
    </row>
    <row r="3321" spans="2:8" x14ac:dyDescent="0.3">
      <c r="B3321" s="58">
        <f>'DATA HISTORICAL'!$B3966</f>
        <v>41015</v>
      </c>
      <c r="C3321" s="60">
        <f>'DATA HISTORICAL'!$C3966</f>
        <v>1441.05</v>
      </c>
      <c r="D3321" s="53">
        <f t="shared" si="102"/>
        <v>-2.3523235237279273E-2</v>
      </c>
      <c r="E3321" s="53">
        <v>-6.2969450015893831E-3</v>
      </c>
      <c r="G3321" s="90">
        <v>3313</v>
      </c>
      <c r="H3321" s="90">
        <f t="shared" ca="1" si="103"/>
        <v>3.1527301494693807E-2</v>
      </c>
    </row>
    <row r="3322" spans="2:8" x14ac:dyDescent="0.3">
      <c r="B3322" s="58">
        <f>'DATA HISTORICAL'!$B3967</f>
        <v>41012</v>
      </c>
      <c r="C3322" s="60">
        <f>'DATA HISTORICAL'!$C3967</f>
        <v>1475.35</v>
      </c>
      <c r="D3322" s="53">
        <f t="shared" si="102"/>
        <v>3.3890837615306497E-5</v>
      </c>
      <c r="E3322" s="53">
        <v>-6.3053473767725908E-3</v>
      </c>
      <c r="G3322" s="90">
        <v>3314</v>
      </c>
      <c r="H3322" s="90">
        <f t="shared" ca="1" si="103"/>
        <v>1.063659867468042E-2</v>
      </c>
    </row>
    <row r="3323" spans="2:8" x14ac:dyDescent="0.3">
      <c r="B3323" s="58">
        <f>'DATA HISTORICAL'!$B3968</f>
        <v>41011</v>
      </c>
      <c r="C3323" s="60">
        <f>'DATA HISTORICAL'!$C3968</f>
        <v>1475.3</v>
      </c>
      <c r="D3323" s="53">
        <f t="shared" si="102"/>
        <v>-4.935944299098138E-3</v>
      </c>
      <c r="E3323" s="53">
        <v>-6.3103612072952699E-3</v>
      </c>
      <c r="G3323" s="90">
        <v>3315</v>
      </c>
      <c r="H3323" s="90">
        <f t="shared" ca="1" si="103"/>
        <v>2.5456147844971421E-2</v>
      </c>
    </row>
    <row r="3324" spans="2:8" x14ac:dyDescent="0.3">
      <c r="B3324" s="58">
        <f>'DATA HISTORICAL'!$B3969</f>
        <v>41010</v>
      </c>
      <c r="C3324" s="60">
        <f>'DATA HISTORICAL'!$C3969</f>
        <v>1482.6</v>
      </c>
      <c r="D3324" s="53">
        <f t="shared" si="102"/>
        <v>-1.1701137645472162E-2</v>
      </c>
      <c r="E3324" s="53">
        <v>-6.3164673530529307E-3</v>
      </c>
      <c r="G3324" s="90">
        <v>3316</v>
      </c>
      <c r="H3324" s="90">
        <f t="shared" ca="1" si="103"/>
        <v>1.6319745731780657E-2</v>
      </c>
    </row>
    <row r="3325" spans="2:8" x14ac:dyDescent="0.3">
      <c r="B3325" s="58">
        <f>'DATA HISTORICAL'!$B3970</f>
        <v>41009</v>
      </c>
      <c r="C3325" s="60">
        <f>'DATA HISTORICAL'!$C3970</f>
        <v>1500.05</v>
      </c>
      <c r="D3325" s="53">
        <f t="shared" si="102"/>
        <v>-1.9646698848829291E-3</v>
      </c>
      <c r="E3325" s="53">
        <v>-6.3187855340643227E-3</v>
      </c>
      <c r="G3325" s="90">
        <v>3317</v>
      </c>
      <c r="H3325" s="90">
        <f t="shared" ca="1" si="103"/>
        <v>3.7637678779771991E-3</v>
      </c>
    </row>
    <row r="3326" spans="2:8" x14ac:dyDescent="0.3">
      <c r="B3326" s="58">
        <f>'DATA HISTORICAL'!$B3971</f>
        <v>41008</v>
      </c>
      <c r="C3326" s="60">
        <f>'DATA HISTORICAL'!$C3971</f>
        <v>1503</v>
      </c>
      <c r="D3326" s="53">
        <f t="shared" si="102"/>
        <v>-7.3911146340123841E-3</v>
      </c>
      <c r="E3326" s="53">
        <v>-6.3203209858900206E-3</v>
      </c>
      <c r="G3326" s="90">
        <v>3318</v>
      </c>
      <c r="H3326" s="90">
        <f t="shared" ca="1" si="103"/>
        <v>1.2712366082332123E-3</v>
      </c>
    </row>
    <row r="3327" spans="2:8" x14ac:dyDescent="0.3">
      <c r="B3327" s="58">
        <f>'DATA HISTORICAL'!$B3972</f>
        <v>41003</v>
      </c>
      <c r="C3327" s="60">
        <f>'DATA HISTORICAL'!$C3972</f>
        <v>1514.15</v>
      </c>
      <c r="D3327" s="53">
        <f t="shared" si="102"/>
        <v>1.222554630292193E-3</v>
      </c>
      <c r="E3327" s="53">
        <v>-6.3448506324402174E-3</v>
      </c>
      <c r="G3327" s="90">
        <v>3319</v>
      </c>
      <c r="H3327" s="90">
        <f t="shared" ca="1" si="103"/>
        <v>3.5396796420599355E-2</v>
      </c>
    </row>
    <row r="3328" spans="2:8" x14ac:dyDescent="0.3">
      <c r="B3328" s="58">
        <f>'DATA HISTORICAL'!$B3973</f>
        <v>41002</v>
      </c>
      <c r="C3328" s="60">
        <f>'DATA HISTORICAL'!$C3973</f>
        <v>1512.3</v>
      </c>
      <c r="D3328" s="53">
        <f t="shared" si="102"/>
        <v>1.1505463931907992E-2</v>
      </c>
      <c r="E3328" s="53">
        <v>-6.3478415613380662E-3</v>
      </c>
      <c r="G3328" s="90">
        <v>3320</v>
      </c>
      <c r="H3328" s="90">
        <f t="shared" ca="1" si="103"/>
        <v>4.9451752228746289E-3</v>
      </c>
    </row>
    <row r="3329" spans="2:8" x14ac:dyDescent="0.3">
      <c r="B3329" s="58">
        <f>'DATA HISTORICAL'!$B3974</f>
        <v>41001</v>
      </c>
      <c r="C3329" s="60">
        <f>'DATA HISTORICAL'!$C3974</f>
        <v>1495</v>
      </c>
      <c r="D3329" s="53">
        <f t="shared" si="102"/>
        <v>-1.2992158293652887E-2</v>
      </c>
      <c r="E3329" s="53">
        <v>-6.3548807393035431E-3</v>
      </c>
      <c r="G3329" s="90">
        <v>3321</v>
      </c>
      <c r="H3329" s="90">
        <f t="shared" ca="1" si="103"/>
        <v>8.651686856951132E-3</v>
      </c>
    </row>
    <row r="3330" spans="2:8" x14ac:dyDescent="0.3">
      <c r="B3330" s="58">
        <f>'DATA HISTORICAL'!$B3975</f>
        <v>40998</v>
      </c>
      <c r="C3330" s="60">
        <f>'DATA HISTORICAL'!$C3975</f>
        <v>1514.55</v>
      </c>
      <c r="D3330" s="53">
        <f t="shared" si="102"/>
        <v>1.2891828878656291E-2</v>
      </c>
      <c r="E3330" s="53">
        <v>-6.3609234867717567E-3</v>
      </c>
      <c r="G3330" s="90">
        <v>3322</v>
      </c>
      <c r="H3330" s="90">
        <f t="shared" ca="1" si="103"/>
        <v>9.95691931028286E-3</v>
      </c>
    </row>
    <row r="3331" spans="2:8" x14ac:dyDescent="0.3">
      <c r="B3331" s="58">
        <f>'DATA HISTORICAL'!$B3976</f>
        <v>40997</v>
      </c>
      <c r="C3331" s="60">
        <f>'DATA HISTORICAL'!$C3976</f>
        <v>1495.15</v>
      </c>
      <c r="D3331" s="53">
        <f t="shared" si="102"/>
        <v>9.6440539804956652E-3</v>
      </c>
      <c r="E3331" s="53">
        <v>-6.3706745382589068E-3</v>
      </c>
      <c r="G3331" s="90">
        <v>3323</v>
      </c>
      <c r="H3331" s="90">
        <f t="shared" ca="1" si="103"/>
        <v>3.154544869755066E-2</v>
      </c>
    </row>
    <row r="3332" spans="2:8" x14ac:dyDescent="0.3">
      <c r="B3332" s="58">
        <f>'DATA HISTORICAL'!$B3977</f>
        <v>40996</v>
      </c>
      <c r="C3332" s="60">
        <f>'DATA HISTORICAL'!$C3977</f>
        <v>1480.8</v>
      </c>
      <c r="D3332" s="53">
        <f t="shared" si="102"/>
        <v>-9.2761302369019551E-3</v>
      </c>
      <c r="E3332" s="53">
        <v>-6.3963028026475868E-3</v>
      </c>
      <c r="G3332" s="90">
        <v>3324</v>
      </c>
      <c r="H3332" s="90">
        <f t="shared" ca="1" si="103"/>
        <v>-2.6142351507425613E-2</v>
      </c>
    </row>
    <row r="3333" spans="2:8" x14ac:dyDescent="0.3">
      <c r="B3333" s="58">
        <f>'DATA HISTORICAL'!$B3978</f>
        <v>40995</v>
      </c>
      <c r="C3333" s="60">
        <f>'DATA HISTORICAL'!$C3978</f>
        <v>1494.6</v>
      </c>
      <c r="D3333" s="53">
        <f t="shared" si="102"/>
        <v>2.4115767314511587E-3</v>
      </c>
      <c r="E3333" s="53">
        <v>-6.4098686397217487E-3</v>
      </c>
      <c r="G3333" s="90">
        <v>3325</v>
      </c>
      <c r="H3333" s="90">
        <f t="shared" ca="1" si="103"/>
        <v>2.4506990095587038E-3</v>
      </c>
    </row>
    <row r="3334" spans="2:8" x14ac:dyDescent="0.3">
      <c r="B3334" s="58">
        <f>'DATA HISTORICAL'!$B3979</f>
        <v>40994</v>
      </c>
      <c r="C3334" s="60">
        <f>'DATA HISTORICAL'!$C3979</f>
        <v>1491</v>
      </c>
      <c r="D3334" s="53">
        <f t="shared" si="102"/>
        <v>-1.5968403178731112E-2</v>
      </c>
      <c r="E3334" s="53">
        <v>-6.4108610967591488E-3</v>
      </c>
      <c r="G3334" s="90">
        <v>3326</v>
      </c>
      <c r="H3334" s="90">
        <f t="shared" ca="1" si="103"/>
        <v>1.5437191326699431E-2</v>
      </c>
    </row>
    <row r="3335" spans="2:8" x14ac:dyDescent="0.3">
      <c r="B3335" s="58">
        <f>'DATA HISTORICAL'!$B3980</f>
        <v>40991</v>
      </c>
      <c r="C3335" s="60">
        <f>'DATA HISTORICAL'!$C3980</f>
        <v>1515</v>
      </c>
      <c r="D3335" s="53">
        <f t="shared" si="102"/>
        <v>1.1785346798897697E-2</v>
      </c>
      <c r="E3335" s="53">
        <v>-6.4254140167157789E-3</v>
      </c>
      <c r="G3335" s="90">
        <v>3327</v>
      </c>
      <c r="H3335" s="90">
        <f t="shared" ca="1" si="103"/>
        <v>-8.0986433241914332E-3</v>
      </c>
    </row>
    <row r="3336" spans="2:8" x14ac:dyDescent="0.3">
      <c r="B3336" s="58">
        <f>'DATA HISTORICAL'!$B3981</f>
        <v>40990</v>
      </c>
      <c r="C3336" s="60">
        <f>'DATA HISTORICAL'!$C3981</f>
        <v>1497.25</v>
      </c>
      <c r="D3336" s="53">
        <f t="shared" si="102"/>
        <v>-2.1474231198078085E-2</v>
      </c>
      <c r="E3336" s="53">
        <v>-6.4363419005091412E-3</v>
      </c>
      <c r="G3336" s="90">
        <v>3328</v>
      </c>
      <c r="H3336" s="90">
        <f t="shared" ca="1" si="103"/>
        <v>2.9637262239176572E-2</v>
      </c>
    </row>
    <row r="3337" spans="2:8" x14ac:dyDescent="0.3">
      <c r="B3337" s="58">
        <f>'DATA HISTORICAL'!$B3982</f>
        <v>40989</v>
      </c>
      <c r="C3337" s="60">
        <f>'DATA HISTORICAL'!$C3982</f>
        <v>1529.75</v>
      </c>
      <c r="D3337" s="53">
        <f t="shared" ref="D3337:D3400" si="104">LN(C3337/C3338)</f>
        <v>1.4054836958447848E-2</v>
      </c>
      <c r="E3337" s="53">
        <v>-6.4482722419287432E-3</v>
      </c>
      <c r="G3337" s="90">
        <v>3329</v>
      </c>
      <c r="H3337" s="90">
        <f t="shared" ref="H3337:H3400" ca="1" si="105">_xlfn.NORM.INV(RAND(),N$10,N$11)</f>
        <v>6.7214854363608755E-4</v>
      </c>
    </row>
    <row r="3338" spans="2:8" x14ac:dyDescent="0.3">
      <c r="B3338" s="58">
        <f>'DATA HISTORICAL'!$B3983</f>
        <v>40988</v>
      </c>
      <c r="C3338" s="60">
        <f>'DATA HISTORICAL'!$C3983</f>
        <v>1508.4</v>
      </c>
      <c r="D3338" s="53">
        <f t="shared" si="104"/>
        <v>1.772443818806917E-2</v>
      </c>
      <c r="E3338" s="53">
        <v>-6.4855805557521443E-3</v>
      </c>
      <c r="G3338" s="90">
        <v>3330</v>
      </c>
      <c r="H3338" s="90">
        <f t="shared" ca="1" si="105"/>
        <v>8.2081362617844513E-4</v>
      </c>
    </row>
    <row r="3339" spans="2:8" x14ac:dyDescent="0.3">
      <c r="B3339" s="58">
        <f>'DATA HISTORICAL'!$B3984</f>
        <v>40987</v>
      </c>
      <c r="C3339" s="60">
        <f>'DATA HISTORICAL'!$C3984</f>
        <v>1481.9</v>
      </c>
      <c r="D3339" s="53">
        <f t="shared" si="104"/>
        <v>1.0802782766865468E-3</v>
      </c>
      <c r="E3339" s="53">
        <v>-6.4865735650298977E-3</v>
      </c>
      <c r="G3339" s="90">
        <v>3331</v>
      </c>
      <c r="H3339" s="90">
        <f t="shared" ca="1" si="105"/>
        <v>1.606438924849523E-2</v>
      </c>
    </row>
    <row r="3340" spans="2:8" x14ac:dyDescent="0.3">
      <c r="B3340" s="58">
        <f>'DATA HISTORICAL'!$B3985</f>
        <v>40984</v>
      </c>
      <c r="C3340" s="60">
        <f>'DATA HISTORICAL'!$C3985</f>
        <v>1480.3</v>
      </c>
      <c r="D3340" s="53">
        <f t="shared" si="104"/>
        <v>-1.8897218284703679E-3</v>
      </c>
      <c r="E3340" s="53">
        <v>-6.4935733255346009E-3</v>
      </c>
      <c r="G3340" s="90">
        <v>3332</v>
      </c>
      <c r="H3340" s="90">
        <f t="shared" ca="1" si="105"/>
        <v>3.4073409373463967E-2</v>
      </c>
    </row>
    <row r="3341" spans="2:8" x14ac:dyDescent="0.3">
      <c r="B3341" s="58">
        <f>'DATA HISTORICAL'!$B3986</f>
        <v>40983</v>
      </c>
      <c r="C3341" s="60">
        <f>'DATA HISTORICAL'!$C3986</f>
        <v>1483.1</v>
      </c>
      <c r="D3341" s="53">
        <f t="shared" si="104"/>
        <v>-1.6782395020629944E-2</v>
      </c>
      <c r="E3341" s="53">
        <v>-6.4936653329817637E-3</v>
      </c>
      <c r="G3341" s="90">
        <v>3333</v>
      </c>
      <c r="H3341" s="90">
        <f t="shared" ca="1" si="105"/>
        <v>-5.5054406554136881E-3</v>
      </c>
    </row>
    <row r="3342" spans="2:8" x14ac:dyDescent="0.3">
      <c r="B3342" s="58">
        <f>'DATA HISTORICAL'!$B3987</f>
        <v>40982</v>
      </c>
      <c r="C3342" s="60">
        <f>'DATA HISTORICAL'!$C3987</f>
        <v>1508.2</v>
      </c>
      <c r="D3342" s="53">
        <f t="shared" si="104"/>
        <v>5.1185008881248426E-3</v>
      </c>
      <c r="E3342" s="53">
        <v>-6.4944887410609952E-3</v>
      </c>
      <c r="G3342" s="90">
        <v>3334</v>
      </c>
      <c r="H3342" s="90">
        <f t="shared" ca="1" si="105"/>
        <v>-6.6838024065146084E-3</v>
      </c>
    </row>
    <row r="3343" spans="2:8" x14ac:dyDescent="0.3">
      <c r="B3343" s="58">
        <f>'DATA HISTORICAL'!$B3988</f>
        <v>40981</v>
      </c>
      <c r="C3343" s="60">
        <f>'DATA HISTORICAL'!$C3988</f>
        <v>1500.5</v>
      </c>
      <c r="D3343" s="53">
        <f t="shared" si="104"/>
        <v>1.6428784955007065E-2</v>
      </c>
      <c r="E3343" s="53">
        <v>-6.4986038766227192E-3</v>
      </c>
      <c r="G3343" s="90">
        <v>3335</v>
      </c>
      <c r="H3343" s="90">
        <f t="shared" ca="1" si="105"/>
        <v>1.9691367988180691E-2</v>
      </c>
    </row>
    <row r="3344" spans="2:8" x14ac:dyDescent="0.3">
      <c r="B3344" s="58">
        <f>'DATA HISTORICAL'!$B3989</f>
        <v>40980</v>
      </c>
      <c r="C3344" s="60">
        <f>'DATA HISTORICAL'!$C3989</f>
        <v>1476.05</v>
      </c>
      <c r="D3344" s="53">
        <f t="shared" si="104"/>
        <v>2.2721501932982191E-3</v>
      </c>
      <c r="E3344" s="53">
        <v>-6.5112936479661048E-3</v>
      </c>
      <c r="G3344" s="90">
        <v>3336</v>
      </c>
      <c r="H3344" s="90">
        <f t="shared" ca="1" si="105"/>
        <v>-4.3611875250516418E-4</v>
      </c>
    </row>
    <row r="3345" spans="2:8" x14ac:dyDescent="0.3">
      <c r="B3345" s="58">
        <f>'DATA HISTORICAL'!$B3990</f>
        <v>40977</v>
      </c>
      <c r="C3345" s="60">
        <f>'DATA HISTORICAL'!$C3990</f>
        <v>1472.7</v>
      </c>
      <c r="D3345" s="53">
        <f t="shared" si="104"/>
        <v>3.4540976074995088E-2</v>
      </c>
      <c r="E3345" s="53">
        <v>-6.5131596745851309E-3</v>
      </c>
      <c r="G3345" s="90">
        <v>3337</v>
      </c>
      <c r="H3345" s="90">
        <f t="shared" ca="1" si="105"/>
        <v>2.6162816833149985E-2</v>
      </c>
    </row>
    <row r="3346" spans="2:8" x14ac:dyDescent="0.3">
      <c r="B3346" s="58">
        <f>'DATA HISTORICAL'!$B3991</f>
        <v>40975</v>
      </c>
      <c r="C3346" s="60">
        <f>'DATA HISTORICAL'!$C3991</f>
        <v>1422.7</v>
      </c>
      <c r="D3346" s="53">
        <f t="shared" si="104"/>
        <v>1.2092216784234007E-2</v>
      </c>
      <c r="E3346" s="53">
        <v>-6.5175629212188202E-3</v>
      </c>
      <c r="G3346" s="90">
        <v>3338</v>
      </c>
      <c r="H3346" s="90">
        <f t="shared" ca="1" si="105"/>
        <v>1.3856897343333081E-2</v>
      </c>
    </row>
    <row r="3347" spans="2:8" x14ac:dyDescent="0.3">
      <c r="B3347" s="58">
        <f>'DATA HISTORICAL'!$B3992</f>
        <v>40974</v>
      </c>
      <c r="C3347" s="60">
        <f>'DATA HISTORICAL'!$C3992</f>
        <v>1405.6</v>
      </c>
      <c r="D3347" s="53">
        <f t="shared" si="104"/>
        <v>1.0980670805214048E-2</v>
      </c>
      <c r="E3347" s="53">
        <v>-6.5263716161556426E-3</v>
      </c>
      <c r="G3347" s="90">
        <v>3339</v>
      </c>
      <c r="H3347" s="90">
        <f t="shared" ca="1" si="105"/>
        <v>-3.2536156181783528E-3</v>
      </c>
    </row>
    <row r="3348" spans="2:8" x14ac:dyDescent="0.3">
      <c r="B3348" s="58">
        <f>'DATA HISTORICAL'!$B3993</f>
        <v>40973</v>
      </c>
      <c r="C3348" s="60">
        <f>'DATA HISTORICAL'!$C3993</f>
        <v>1390.25</v>
      </c>
      <c r="D3348" s="53">
        <f t="shared" si="104"/>
        <v>-2.4372387289397838E-2</v>
      </c>
      <c r="E3348" s="53">
        <v>-6.5392371688263529E-3</v>
      </c>
      <c r="G3348" s="90">
        <v>3340</v>
      </c>
      <c r="H3348" s="90">
        <f t="shared" ca="1" si="105"/>
        <v>4.1439611022738134E-3</v>
      </c>
    </row>
    <row r="3349" spans="2:8" x14ac:dyDescent="0.3">
      <c r="B3349" s="58">
        <f>'DATA HISTORICAL'!$B3994</f>
        <v>40970</v>
      </c>
      <c r="C3349" s="60">
        <f>'DATA HISTORICAL'!$C3994</f>
        <v>1424.55</v>
      </c>
      <c r="D3349" s="53">
        <f t="shared" si="104"/>
        <v>5.4198767149926177E-3</v>
      </c>
      <c r="E3349" s="53">
        <v>-6.5526996392638939E-3</v>
      </c>
      <c r="G3349" s="90">
        <v>3341</v>
      </c>
      <c r="H3349" s="90">
        <f t="shared" ca="1" si="105"/>
        <v>-3.0178120412705347E-3</v>
      </c>
    </row>
    <row r="3350" spans="2:8" x14ac:dyDescent="0.3">
      <c r="B3350" s="58">
        <f>'DATA HISTORICAL'!$B3995</f>
        <v>40969</v>
      </c>
      <c r="C3350" s="60">
        <f>'DATA HISTORICAL'!$C3995</f>
        <v>1416.85</v>
      </c>
      <c r="D3350" s="53">
        <f t="shared" si="104"/>
        <v>7.4028497111659347E-3</v>
      </c>
      <c r="E3350" s="53">
        <v>-6.5585765288627418E-3</v>
      </c>
      <c r="G3350" s="90">
        <v>3342</v>
      </c>
      <c r="H3350" s="90">
        <f t="shared" ca="1" si="105"/>
        <v>-2.9009091583685236E-2</v>
      </c>
    </row>
    <row r="3351" spans="2:8" x14ac:dyDescent="0.3">
      <c r="B3351" s="58">
        <f>'DATA HISTORICAL'!$B3996</f>
        <v>40968</v>
      </c>
      <c r="C3351" s="60">
        <f>'DATA HISTORICAL'!$C3996</f>
        <v>1406.4</v>
      </c>
      <c r="D3351" s="53">
        <f t="shared" si="104"/>
        <v>1.0315329849175481E-3</v>
      </c>
      <c r="E3351" s="53">
        <v>-6.5605066851010694E-3</v>
      </c>
      <c r="G3351" s="90">
        <v>3343</v>
      </c>
      <c r="H3351" s="90">
        <f t="shared" ca="1" si="105"/>
        <v>2.0255904444293408E-3</v>
      </c>
    </row>
    <row r="3352" spans="2:8" x14ac:dyDescent="0.3">
      <c r="B3352" s="58">
        <f>'DATA HISTORICAL'!$B3997</f>
        <v>40967</v>
      </c>
      <c r="C3352" s="60">
        <f>'DATA HISTORICAL'!$C3997</f>
        <v>1404.95</v>
      </c>
      <c r="D3352" s="53">
        <f t="shared" si="104"/>
        <v>4.2082801050127875E-3</v>
      </c>
      <c r="E3352" s="53">
        <v>-6.5658924300411783E-3</v>
      </c>
      <c r="G3352" s="90">
        <v>3344</v>
      </c>
      <c r="H3352" s="90">
        <f t="shared" ca="1" si="105"/>
        <v>1.9832201024672719E-2</v>
      </c>
    </row>
    <row r="3353" spans="2:8" x14ac:dyDescent="0.3">
      <c r="B3353" s="58">
        <f>'DATA HISTORICAL'!$B3998</f>
        <v>40966</v>
      </c>
      <c r="C3353" s="60">
        <f>'DATA HISTORICAL'!$C3998</f>
        <v>1399.05</v>
      </c>
      <c r="D3353" s="53">
        <f t="shared" si="104"/>
        <v>-2.3916197660426063E-3</v>
      </c>
      <c r="E3353" s="53">
        <v>-6.5835464274090622E-3</v>
      </c>
      <c r="G3353" s="90">
        <v>3345</v>
      </c>
      <c r="H3353" s="90">
        <f t="shared" ca="1" si="105"/>
        <v>4.3331060803477707E-3</v>
      </c>
    </row>
    <row r="3354" spans="2:8" x14ac:dyDescent="0.3">
      <c r="B3354" s="58">
        <f>'DATA HISTORICAL'!$B3999</f>
        <v>40963</v>
      </c>
      <c r="C3354" s="60">
        <f>'DATA HISTORICAL'!$C3999</f>
        <v>1402.4</v>
      </c>
      <c r="D3354" s="53">
        <f t="shared" si="104"/>
        <v>-3.0616069111685143E-2</v>
      </c>
      <c r="E3354" s="53">
        <v>-6.6121626545659097E-3</v>
      </c>
      <c r="G3354" s="90">
        <v>3346</v>
      </c>
      <c r="H3354" s="90">
        <f t="shared" ca="1" si="105"/>
        <v>1.0597414499333307E-2</v>
      </c>
    </row>
    <row r="3355" spans="2:8" x14ac:dyDescent="0.3">
      <c r="B3355" s="58">
        <f>'DATA HISTORICAL'!$B4000</f>
        <v>40962</v>
      </c>
      <c r="C3355" s="60">
        <f>'DATA HISTORICAL'!$C4000</f>
        <v>1446</v>
      </c>
      <c r="D3355" s="53">
        <f t="shared" si="104"/>
        <v>-2.3612516626860067E-2</v>
      </c>
      <c r="E3355" s="53">
        <v>-6.626770757597278E-3</v>
      </c>
      <c r="G3355" s="90">
        <v>3347</v>
      </c>
      <c r="H3355" s="90">
        <f t="shared" ca="1" si="105"/>
        <v>-1.5192895086802962E-2</v>
      </c>
    </row>
    <row r="3356" spans="2:8" x14ac:dyDescent="0.3">
      <c r="B3356" s="58">
        <f>'DATA HISTORICAL'!$B4001</f>
        <v>40961</v>
      </c>
      <c r="C3356" s="60">
        <f>'DATA HISTORICAL'!$C4001</f>
        <v>1480.55</v>
      </c>
      <c r="D3356" s="53">
        <f t="shared" si="104"/>
        <v>1.0131883356916628E-4</v>
      </c>
      <c r="E3356" s="53">
        <v>-6.628773403091745E-3</v>
      </c>
      <c r="G3356" s="90">
        <v>3348</v>
      </c>
      <c r="H3356" s="90">
        <f t="shared" ca="1" si="105"/>
        <v>1.5264938249943637E-2</v>
      </c>
    </row>
    <row r="3357" spans="2:8" x14ac:dyDescent="0.3">
      <c r="B3357" s="58">
        <f>'DATA HISTORICAL'!$B4002</f>
        <v>40960</v>
      </c>
      <c r="C3357" s="60">
        <f>'DATA HISTORICAL'!$C4002</f>
        <v>1480.4</v>
      </c>
      <c r="D3357" s="53">
        <f t="shared" si="104"/>
        <v>2.773363971958692E-3</v>
      </c>
      <c r="E3357" s="53">
        <v>-6.6411579296470988E-3</v>
      </c>
      <c r="G3357" s="90">
        <v>3349</v>
      </c>
      <c r="H3357" s="90">
        <f t="shared" ca="1" si="105"/>
        <v>1.9799698922299193E-2</v>
      </c>
    </row>
    <row r="3358" spans="2:8" x14ac:dyDescent="0.3">
      <c r="B3358" s="58">
        <f>'DATA HISTORICAL'!$B4003</f>
        <v>40956</v>
      </c>
      <c r="C3358" s="60">
        <f>'DATA HISTORICAL'!$C4003</f>
        <v>1476.3</v>
      </c>
      <c r="D3358" s="53">
        <f t="shared" si="104"/>
        <v>2.7131536686794315E-3</v>
      </c>
      <c r="E3358" s="53">
        <v>-6.6436198480426274E-3</v>
      </c>
      <c r="G3358" s="90">
        <v>3350</v>
      </c>
      <c r="H3358" s="90">
        <f t="shared" ca="1" si="105"/>
        <v>-2.9990817609089466E-2</v>
      </c>
    </row>
    <row r="3359" spans="2:8" x14ac:dyDescent="0.3">
      <c r="B3359" s="58">
        <f>'DATA HISTORICAL'!$B4004</f>
        <v>40955</v>
      </c>
      <c r="C3359" s="60">
        <f>'DATA HISTORICAL'!$C4004</f>
        <v>1472.3</v>
      </c>
      <c r="D3359" s="53">
        <f t="shared" si="104"/>
        <v>2.2703659315443842E-2</v>
      </c>
      <c r="E3359" s="53">
        <v>-6.661550222248673E-3</v>
      </c>
      <c r="G3359" s="90">
        <v>3351</v>
      </c>
      <c r="H3359" s="90">
        <f t="shared" ca="1" si="105"/>
        <v>-6.5781581741892236E-3</v>
      </c>
    </row>
    <row r="3360" spans="2:8" x14ac:dyDescent="0.3">
      <c r="B3360" s="58">
        <f>'DATA HISTORICAL'!$B4005</f>
        <v>40954</v>
      </c>
      <c r="C3360" s="60">
        <f>'DATA HISTORICAL'!$C4005</f>
        <v>1439.25</v>
      </c>
      <c r="D3360" s="53">
        <f t="shared" si="104"/>
        <v>2.1561338112014251E-2</v>
      </c>
      <c r="E3360" s="53">
        <v>-6.6766409360851427E-3</v>
      </c>
      <c r="G3360" s="90">
        <v>3352</v>
      </c>
      <c r="H3360" s="90">
        <f t="shared" ca="1" si="105"/>
        <v>3.2084906902098559E-3</v>
      </c>
    </row>
    <row r="3361" spans="2:8" x14ac:dyDescent="0.3">
      <c r="B3361" s="58">
        <f>'DATA HISTORICAL'!$B4006</f>
        <v>40953</v>
      </c>
      <c r="C3361" s="60">
        <f>'DATA HISTORICAL'!$C4006</f>
        <v>1408.55</v>
      </c>
      <c r="D3361" s="53">
        <f t="shared" si="104"/>
        <v>8.5917000586733586E-3</v>
      </c>
      <c r="E3361" s="53">
        <v>-6.6792507261792802E-3</v>
      </c>
      <c r="G3361" s="90">
        <v>3353</v>
      </c>
      <c r="H3361" s="90">
        <f t="shared" ca="1" si="105"/>
        <v>-1.2999084172533242E-2</v>
      </c>
    </row>
    <row r="3362" spans="2:8" x14ac:dyDescent="0.3">
      <c r="B3362" s="58">
        <f>'DATA HISTORICAL'!$B4007</f>
        <v>40952</v>
      </c>
      <c r="C3362" s="60">
        <f>'DATA HISTORICAL'!$C4007</f>
        <v>1396.5</v>
      </c>
      <c r="D3362" s="53">
        <f t="shared" si="104"/>
        <v>9.8225194725184341E-3</v>
      </c>
      <c r="E3362" s="53">
        <v>-6.6794862457152651E-3</v>
      </c>
      <c r="G3362" s="90">
        <v>3354</v>
      </c>
      <c r="H3362" s="90">
        <f t="shared" ca="1" si="105"/>
        <v>-4.8741844658311004E-3</v>
      </c>
    </row>
    <row r="3363" spans="2:8" x14ac:dyDescent="0.3">
      <c r="B3363" s="58">
        <f>'DATA HISTORICAL'!$B4008</f>
        <v>40949</v>
      </c>
      <c r="C3363" s="60">
        <f>'DATA HISTORICAL'!$C4008</f>
        <v>1382.85</v>
      </c>
      <c r="D3363" s="53">
        <f t="shared" si="104"/>
        <v>-1.2789827657659646E-2</v>
      </c>
      <c r="E3363" s="53">
        <v>-6.6884597351109616E-3</v>
      </c>
      <c r="G3363" s="90">
        <v>3355</v>
      </c>
      <c r="H3363" s="90">
        <f t="shared" ca="1" si="105"/>
        <v>5.8489264333794019E-2</v>
      </c>
    </row>
    <row r="3364" spans="2:8" x14ac:dyDescent="0.3">
      <c r="B3364" s="58">
        <f>'DATA HISTORICAL'!$B4009</f>
        <v>40948</v>
      </c>
      <c r="C3364" s="60">
        <f>'DATA HISTORICAL'!$C4009</f>
        <v>1400.65</v>
      </c>
      <c r="D3364" s="53">
        <f t="shared" si="104"/>
        <v>9.7572248786152518E-3</v>
      </c>
      <c r="E3364" s="53">
        <v>-6.6895618247279709E-3</v>
      </c>
      <c r="G3364" s="90">
        <v>3356</v>
      </c>
      <c r="H3364" s="90">
        <f t="shared" ca="1" si="105"/>
        <v>5.3387163898488132E-3</v>
      </c>
    </row>
    <row r="3365" spans="2:8" x14ac:dyDescent="0.3">
      <c r="B3365" s="58">
        <f>'DATA HISTORICAL'!$B4010</f>
        <v>40947</v>
      </c>
      <c r="C3365" s="60">
        <f>'DATA HISTORICAL'!$C4010</f>
        <v>1387.05</v>
      </c>
      <c r="D3365" s="53">
        <f t="shared" si="104"/>
        <v>1.9179916494944479E-2</v>
      </c>
      <c r="E3365" s="53">
        <v>-6.6917897679480472E-3</v>
      </c>
      <c r="G3365" s="90">
        <v>3357</v>
      </c>
      <c r="H3365" s="90">
        <f t="shared" ca="1" si="105"/>
        <v>-2.1287047557247914E-2</v>
      </c>
    </row>
    <row r="3366" spans="2:8" x14ac:dyDescent="0.3">
      <c r="B3366" s="58">
        <f>'DATA HISTORICAL'!$B4011</f>
        <v>40946</v>
      </c>
      <c r="C3366" s="60">
        <f>'DATA HISTORICAL'!$C4011</f>
        <v>1360.7</v>
      </c>
      <c r="D3366" s="53">
        <f t="shared" si="104"/>
        <v>-2.2389849504677304E-3</v>
      </c>
      <c r="E3366" s="53">
        <v>-6.7004196076826212E-3</v>
      </c>
      <c r="G3366" s="90">
        <v>3358</v>
      </c>
      <c r="H3366" s="90">
        <f t="shared" ca="1" si="105"/>
        <v>-5.684681739198688E-3</v>
      </c>
    </row>
    <row r="3367" spans="2:8" x14ac:dyDescent="0.3">
      <c r="B3367" s="58">
        <f>'DATA HISTORICAL'!$B4012</f>
        <v>40945</v>
      </c>
      <c r="C3367" s="60">
        <f>'DATA HISTORICAL'!$C4012</f>
        <v>1363.75</v>
      </c>
      <c r="D3367" s="53">
        <f t="shared" si="104"/>
        <v>6.6664825339425596E-2</v>
      </c>
      <c r="E3367" s="53">
        <v>-6.7038927970376975E-3</v>
      </c>
      <c r="G3367" s="90">
        <v>3359</v>
      </c>
      <c r="H3367" s="90">
        <f t="shared" ca="1" si="105"/>
        <v>3.6897464842602409E-2</v>
      </c>
    </row>
    <row r="3368" spans="2:8" x14ac:dyDescent="0.3">
      <c r="B3368" s="58">
        <f>'DATA HISTORICAL'!$B4013</f>
        <v>40942</v>
      </c>
      <c r="C3368" s="60">
        <f>'DATA HISTORICAL'!$C4013</f>
        <v>1275.8</v>
      </c>
      <c r="D3368" s="53">
        <f t="shared" si="104"/>
        <v>9.8856676358368943E-3</v>
      </c>
      <c r="E3368" s="53">
        <v>-6.7254581384776557E-3</v>
      </c>
      <c r="G3368" s="90">
        <v>3360</v>
      </c>
      <c r="H3368" s="90">
        <f t="shared" ca="1" si="105"/>
        <v>2.3703263156692342E-2</v>
      </c>
    </row>
    <row r="3369" spans="2:8" x14ac:dyDescent="0.3">
      <c r="B3369" s="58">
        <f>'DATA HISTORICAL'!$B4014</f>
        <v>40941</v>
      </c>
      <c r="C3369" s="60">
        <f>'DATA HISTORICAL'!$C4014</f>
        <v>1263.25</v>
      </c>
      <c r="D3369" s="53">
        <f t="shared" si="104"/>
        <v>1.9262104495393978E-2</v>
      </c>
      <c r="E3369" s="53">
        <v>-6.727015308033938E-3</v>
      </c>
      <c r="G3369" s="90">
        <v>3361</v>
      </c>
      <c r="H3369" s="90">
        <f t="shared" ca="1" si="105"/>
        <v>2.1531015131610095E-2</v>
      </c>
    </row>
    <row r="3370" spans="2:8" x14ac:dyDescent="0.3">
      <c r="B3370" s="58">
        <f>'DATA HISTORICAL'!$B4015</f>
        <v>40940</v>
      </c>
      <c r="C3370" s="60">
        <f>'DATA HISTORICAL'!$C4015</f>
        <v>1239.1500000000001</v>
      </c>
      <c r="D3370" s="53">
        <f t="shared" si="104"/>
        <v>1.988736639061172E-2</v>
      </c>
      <c r="E3370" s="53">
        <v>-6.7325505675050242E-3</v>
      </c>
      <c r="G3370" s="90">
        <v>3362</v>
      </c>
      <c r="H3370" s="90">
        <f t="shared" ca="1" si="105"/>
        <v>1.6202984001278189E-3</v>
      </c>
    </row>
    <row r="3371" spans="2:8" x14ac:dyDescent="0.3">
      <c r="B3371" s="58">
        <f>'DATA HISTORICAL'!$B4016</f>
        <v>40939</v>
      </c>
      <c r="C3371" s="60">
        <f>'DATA HISTORICAL'!$C4016</f>
        <v>1214.75</v>
      </c>
      <c r="D3371" s="53">
        <f t="shared" si="104"/>
        <v>2.0542971256396033E-2</v>
      </c>
      <c r="E3371" s="53">
        <v>-6.7620141001599673E-3</v>
      </c>
      <c r="G3371" s="90">
        <v>3363</v>
      </c>
      <c r="H3371" s="90">
        <f t="shared" ca="1" si="105"/>
        <v>3.5639916716534133E-3</v>
      </c>
    </row>
    <row r="3372" spans="2:8" x14ac:dyDescent="0.3">
      <c r="B3372" s="58">
        <f>'DATA HISTORICAL'!$B4017</f>
        <v>40938</v>
      </c>
      <c r="C3372" s="60">
        <f>'DATA HISTORICAL'!$C4017</f>
        <v>1190.05</v>
      </c>
      <c r="D3372" s="53">
        <f t="shared" si="104"/>
        <v>-3.2856231489752821E-2</v>
      </c>
      <c r="E3372" s="53">
        <v>-6.7703241246273495E-3</v>
      </c>
      <c r="G3372" s="90">
        <v>3364</v>
      </c>
      <c r="H3372" s="90">
        <f t="shared" ca="1" si="105"/>
        <v>5.1225448723354473E-2</v>
      </c>
    </row>
    <row r="3373" spans="2:8" x14ac:dyDescent="0.3">
      <c r="B3373" s="58">
        <f>'DATA HISTORICAL'!$B4018</f>
        <v>40935</v>
      </c>
      <c r="C3373" s="60">
        <f>'DATA HISTORICAL'!$C4018</f>
        <v>1229.8</v>
      </c>
      <c r="D3373" s="53">
        <f t="shared" si="104"/>
        <v>-8.0178603247319426E-3</v>
      </c>
      <c r="E3373" s="53">
        <v>-6.774318784987382E-3</v>
      </c>
      <c r="G3373" s="90">
        <v>3365</v>
      </c>
      <c r="H3373" s="90">
        <f t="shared" ca="1" si="105"/>
        <v>-1.5093602799798007E-2</v>
      </c>
    </row>
    <row r="3374" spans="2:8" x14ac:dyDescent="0.3">
      <c r="B3374" s="58">
        <f>'DATA HISTORICAL'!$B4019</f>
        <v>40933</v>
      </c>
      <c r="C3374" s="60">
        <f>'DATA HISTORICAL'!$C4019</f>
        <v>1239.7</v>
      </c>
      <c r="D3374" s="53">
        <f t="shared" si="104"/>
        <v>1.7782405867536061E-2</v>
      </c>
      <c r="E3374" s="53">
        <v>-6.777335296237438E-3</v>
      </c>
      <c r="G3374" s="90">
        <v>3366</v>
      </c>
      <c r="H3374" s="90">
        <f t="shared" ca="1" si="105"/>
        <v>2.4813878346171013E-2</v>
      </c>
    </row>
    <row r="3375" spans="2:8" x14ac:dyDescent="0.3">
      <c r="B3375" s="58">
        <f>'DATA HISTORICAL'!$B4020</f>
        <v>40932</v>
      </c>
      <c r="C3375" s="60">
        <f>'DATA HISTORICAL'!$C4020</f>
        <v>1217.8499999999999</v>
      </c>
      <c r="D3375" s="53">
        <f t="shared" si="104"/>
        <v>-4.9255018850751908E-4</v>
      </c>
      <c r="E3375" s="53">
        <v>-6.782032915811251E-3</v>
      </c>
      <c r="G3375" s="90">
        <v>3367</v>
      </c>
      <c r="H3375" s="90">
        <f t="shared" ca="1" si="105"/>
        <v>1.3832784018266115E-2</v>
      </c>
    </row>
    <row r="3376" spans="2:8" x14ac:dyDescent="0.3">
      <c r="B3376" s="58">
        <f>'DATA HISTORICAL'!$B4021</f>
        <v>40931</v>
      </c>
      <c r="C3376" s="60">
        <f>'DATA HISTORICAL'!$C4021</f>
        <v>1218.45</v>
      </c>
      <c r="D3376" s="53">
        <f t="shared" si="104"/>
        <v>3.8648185595380213E-3</v>
      </c>
      <c r="E3376" s="53">
        <v>-6.788257490314753E-3</v>
      </c>
      <c r="G3376" s="90">
        <v>3368</v>
      </c>
      <c r="H3376" s="90">
        <f t="shared" ca="1" si="105"/>
        <v>-3.3916470795626603E-2</v>
      </c>
    </row>
    <row r="3377" spans="2:8" x14ac:dyDescent="0.3">
      <c r="B3377" s="58">
        <f>'DATA HISTORICAL'!$B4022</f>
        <v>40928</v>
      </c>
      <c r="C3377" s="60">
        <f>'DATA HISTORICAL'!$C4022</f>
        <v>1213.75</v>
      </c>
      <c r="D3377" s="53">
        <f t="shared" si="104"/>
        <v>1.1601538867179797E-2</v>
      </c>
      <c r="E3377" s="53">
        <v>-6.8039653710614363E-3</v>
      </c>
      <c r="G3377" s="90">
        <v>3369</v>
      </c>
      <c r="H3377" s="90">
        <f t="shared" ca="1" si="105"/>
        <v>5.0392652726675901E-3</v>
      </c>
    </row>
    <row r="3378" spans="2:8" x14ac:dyDescent="0.3">
      <c r="B3378" s="58">
        <f>'DATA HISTORICAL'!$B4023</f>
        <v>40927</v>
      </c>
      <c r="C3378" s="60">
        <f>'DATA HISTORICAL'!$C4023</f>
        <v>1199.75</v>
      </c>
      <c r="D3378" s="53">
        <f t="shared" si="104"/>
        <v>1.444007796808316E-2</v>
      </c>
      <c r="E3378" s="53">
        <v>-6.8095441176875696E-3</v>
      </c>
      <c r="G3378" s="90">
        <v>3370</v>
      </c>
      <c r="H3378" s="90">
        <f t="shared" ca="1" si="105"/>
        <v>3.4303683055307059E-2</v>
      </c>
    </row>
    <row r="3379" spans="2:8" x14ac:dyDescent="0.3">
      <c r="B3379" s="58">
        <f>'DATA HISTORICAL'!$B4024</f>
        <v>40926</v>
      </c>
      <c r="C3379" s="60">
        <f>'DATA HISTORICAL'!$C4024</f>
        <v>1182.55</v>
      </c>
      <c r="D3379" s="53">
        <f t="shared" si="104"/>
        <v>2.4129549224750093E-3</v>
      </c>
      <c r="E3379" s="53">
        <v>-6.8177196526685736E-3</v>
      </c>
      <c r="G3379" s="90">
        <v>3371</v>
      </c>
      <c r="H3379" s="90">
        <f t="shared" ca="1" si="105"/>
        <v>1.8495013878130368E-3</v>
      </c>
    </row>
    <row r="3380" spans="2:8" x14ac:dyDescent="0.3">
      <c r="B3380" s="58">
        <f>'DATA HISTORICAL'!$B4025</f>
        <v>40925</v>
      </c>
      <c r="C3380" s="60">
        <f>'DATA HISTORICAL'!$C4025</f>
        <v>1179.7</v>
      </c>
      <c r="D3380" s="53">
        <f t="shared" si="104"/>
        <v>1.7400665626807317E-2</v>
      </c>
      <c r="E3380" s="53">
        <v>-6.8244888199480574E-3</v>
      </c>
      <c r="G3380" s="90">
        <v>3372</v>
      </c>
      <c r="H3380" s="90">
        <f t="shared" ca="1" si="105"/>
        <v>1.384851102857812E-2</v>
      </c>
    </row>
    <row r="3381" spans="2:8" x14ac:dyDescent="0.3">
      <c r="B3381" s="58">
        <f>'DATA HISTORICAL'!$B4026</f>
        <v>40924</v>
      </c>
      <c r="C3381" s="60">
        <f>'DATA HISTORICAL'!$C4026</f>
        <v>1159.3499999999999</v>
      </c>
      <c r="D3381" s="53">
        <f t="shared" si="104"/>
        <v>-4.3893692988095003E-3</v>
      </c>
      <c r="E3381" s="53">
        <v>-6.8309919124362626E-3</v>
      </c>
      <c r="G3381" s="90">
        <v>3373</v>
      </c>
      <c r="H3381" s="90">
        <f t="shared" ca="1" si="105"/>
        <v>-1.4220692587328238E-2</v>
      </c>
    </row>
    <row r="3382" spans="2:8" x14ac:dyDescent="0.3">
      <c r="B3382" s="58">
        <f>'DATA HISTORICAL'!$B4027</f>
        <v>40921</v>
      </c>
      <c r="C3382" s="60">
        <f>'DATA HISTORICAL'!$C4027</f>
        <v>1164.45</v>
      </c>
      <c r="D3382" s="53">
        <f t="shared" si="104"/>
        <v>1.5186222149322217E-2</v>
      </c>
      <c r="E3382" s="53">
        <v>-6.8369407390825882E-3</v>
      </c>
      <c r="G3382" s="90">
        <v>3374</v>
      </c>
      <c r="H3382" s="90">
        <f t="shared" ca="1" si="105"/>
        <v>4.4678725142389915E-2</v>
      </c>
    </row>
    <row r="3383" spans="2:8" x14ac:dyDescent="0.3">
      <c r="B3383" s="58">
        <f>'DATA HISTORICAL'!$B4028</f>
        <v>40920</v>
      </c>
      <c r="C3383" s="60">
        <f>'DATA HISTORICAL'!$C4028</f>
        <v>1146.9000000000001</v>
      </c>
      <c r="D3383" s="53">
        <f t="shared" si="104"/>
        <v>8.0100224737255695E-3</v>
      </c>
      <c r="E3383" s="53">
        <v>-6.8385250784345044E-3</v>
      </c>
      <c r="G3383" s="90">
        <v>3375</v>
      </c>
      <c r="H3383" s="90">
        <f t="shared" ca="1" si="105"/>
        <v>-8.3949715169217426E-3</v>
      </c>
    </row>
    <row r="3384" spans="2:8" x14ac:dyDescent="0.3">
      <c r="B3384" s="58">
        <f>'DATA HISTORICAL'!$B4029</f>
        <v>40919</v>
      </c>
      <c r="C3384" s="60">
        <f>'DATA HISTORICAL'!$C4029</f>
        <v>1137.75</v>
      </c>
      <c r="D3384" s="53">
        <f t="shared" si="104"/>
        <v>-2.3625539727090826E-2</v>
      </c>
      <c r="E3384" s="53">
        <v>-6.8396610123567627E-3</v>
      </c>
      <c r="G3384" s="90">
        <v>3376</v>
      </c>
      <c r="H3384" s="90">
        <f t="shared" ca="1" si="105"/>
        <v>1.7593269806379101E-2</v>
      </c>
    </row>
    <row r="3385" spans="2:8" x14ac:dyDescent="0.3">
      <c r="B3385" s="58">
        <f>'DATA HISTORICAL'!$B4030</f>
        <v>40918</v>
      </c>
      <c r="C3385" s="60">
        <f>'DATA HISTORICAL'!$C4030</f>
        <v>1164.95</v>
      </c>
      <c r="D3385" s="53">
        <f t="shared" si="104"/>
        <v>1.1395642807815834E-2</v>
      </c>
      <c r="E3385" s="53">
        <v>-6.9136077848181206E-3</v>
      </c>
      <c r="G3385" s="90">
        <v>3377</v>
      </c>
      <c r="H3385" s="90">
        <f t="shared" ca="1" si="105"/>
        <v>6.9845256697575108E-3</v>
      </c>
    </row>
    <row r="3386" spans="2:8" x14ac:dyDescent="0.3">
      <c r="B3386" s="58">
        <f>'DATA HISTORICAL'!$B4031</f>
        <v>40917</v>
      </c>
      <c r="C3386" s="60">
        <f>'DATA HISTORICAL'!$C4031</f>
        <v>1151.75</v>
      </c>
      <c r="D3386" s="53">
        <f t="shared" si="104"/>
        <v>9.9897938683342347E-4</v>
      </c>
      <c r="E3386" s="53">
        <v>-6.9227516975240658E-3</v>
      </c>
      <c r="G3386" s="90">
        <v>3378</v>
      </c>
      <c r="H3386" s="90">
        <f t="shared" ca="1" si="105"/>
        <v>1.5515682522374192E-2</v>
      </c>
    </row>
    <row r="3387" spans="2:8" x14ac:dyDescent="0.3">
      <c r="B3387" s="58">
        <f>'DATA HISTORICAL'!$B4032</f>
        <v>40914</v>
      </c>
      <c r="C3387" s="60">
        <f>'DATA HISTORICAL'!$C4032</f>
        <v>1150.5999999999999</v>
      </c>
      <c r="D3387" s="53">
        <f t="shared" si="104"/>
        <v>4.346503306574447E-4</v>
      </c>
      <c r="E3387" s="53">
        <v>-6.9679222800522146E-3</v>
      </c>
      <c r="G3387" s="90">
        <v>3379</v>
      </c>
      <c r="H3387" s="90">
        <f t="shared" ca="1" si="105"/>
        <v>-5.0405998950928876E-3</v>
      </c>
    </row>
    <row r="3388" spans="2:8" x14ac:dyDescent="0.3">
      <c r="B3388" s="58">
        <f>'DATA HISTORICAL'!$B4033</f>
        <v>40913</v>
      </c>
      <c r="C3388" s="60">
        <f>'DATA HISTORICAL'!$C4033</f>
        <v>1150.0999999999999</v>
      </c>
      <c r="D3388" s="53">
        <f t="shared" si="104"/>
        <v>7.1553533909332239E-3</v>
      </c>
      <c r="E3388" s="53">
        <v>-6.9747449270719745E-3</v>
      </c>
      <c r="G3388" s="90">
        <v>3380</v>
      </c>
      <c r="H3388" s="90">
        <f t="shared" ca="1" si="105"/>
        <v>1.1226086925647128E-3</v>
      </c>
    </row>
    <row r="3389" spans="2:8" x14ac:dyDescent="0.3">
      <c r="B3389" s="58">
        <f>'DATA HISTORICAL'!$B4034</f>
        <v>40912</v>
      </c>
      <c r="C3389" s="60">
        <f>'DATA HISTORICAL'!$C4034</f>
        <v>1141.9000000000001</v>
      </c>
      <c r="D3389" s="53">
        <f t="shared" si="104"/>
        <v>-2.9127644406012707E-2</v>
      </c>
      <c r="E3389" s="53">
        <v>-6.9789926746536713E-3</v>
      </c>
      <c r="G3389" s="90">
        <v>3381</v>
      </c>
      <c r="H3389" s="90">
        <f t="shared" ca="1" si="105"/>
        <v>2.833181732506778E-2</v>
      </c>
    </row>
    <row r="3390" spans="2:8" x14ac:dyDescent="0.3">
      <c r="B3390" s="58">
        <f>'DATA HISTORICAL'!$B4035</f>
        <v>40911</v>
      </c>
      <c r="C3390" s="60">
        <f>'DATA HISTORICAL'!$C4035</f>
        <v>1175.6500000000001</v>
      </c>
      <c r="D3390" s="53">
        <f t="shared" si="104"/>
        <v>1.8587018045570239E-2</v>
      </c>
      <c r="E3390" s="53">
        <v>-6.9841890407927425E-3</v>
      </c>
      <c r="G3390" s="90">
        <v>3382</v>
      </c>
      <c r="H3390" s="90">
        <f t="shared" ca="1" si="105"/>
        <v>2.3663912701780192E-2</v>
      </c>
    </row>
    <row r="3391" spans="2:8" x14ac:dyDescent="0.3">
      <c r="B3391" s="58">
        <f>'DATA HISTORICAL'!$B4036</f>
        <v>40910</v>
      </c>
      <c r="C3391" s="60">
        <f>'DATA HISTORICAL'!$C4036</f>
        <v>1154</v>
      </c>
      <c r="D3391" s="53">
        <f t="shared" si="104"/>
        <v>-1.0773644393439733E-2</v>
      </c>
      <c r="E3391" s="53">
        <v>-7.0139711034949937E-3</v>
      </c>
      <c r="G3391" s="90">
        <v>3383</v>
      </c>
      <c r="H3391" s="90">
        <f t="shared" ca="1" si="105"/>
        <v>2.2938496206527853E-2</v>
      </c>
    </row>
    <row r="3392" spans="2:8" x14ac:dyDescent="0.3">
      <c r="B3392" s="58">
        <f>'DATA HISTORICAL'!$B4037</f>
        <v>40907</v>
      </c>
      <c r="C3392" s="60">
        <f>'DATA HISTORICAL'!$C4037</f>
        <v>1166.5</v>
      </c>
      <c r="D3392" s="53">
        <f t="shared" si="104"/>
        <v>7.6157242642771643E-3</v>
      </c>
      <c r="E3392" s="53">
        <v>-7.0344149717616383E-3</v>
      </c>
      <c r="G3392" s="90">
        <v>3384</v>
      </c>
      <c r="H3392" s="90">
        <f t="shared" ca="1" si="105"/>
        <v>-1.9964499831842435E-2</v>
      </c>
    </row>
    <row r="3393" spans="2:8" x14ac:dyDescent="0.3">
      <c r="B3393" s="58">
        <f>'DATA HISTORICAL'!$B4038</f>
        <v>40906</v>
      </c>
      <c r="C3393" s="60">
        <f>'DATA HISTORICAL'!$C4038</f>
        <v>1157.6500000000001</v>
      </c>
      <c r="D3393" s="53">
        <f t="shared" si="104"/>
        <v>-1.5386567347554756E-2</v>
      </c>
      <c r="E3393" s="53">
        <v>-7.0380822551502987E-3</v>
      </c>
      <c r="G3393" s="90">
        <v>3385</v>
      </c>
      <c r="H3393" s="90">
        <f t="shared" ca="1" si="105"/>
        <v>3.6960265447087211E-3</v>
      </c>
    </row>
    <row r="3394" spans="2:8" x14ac:dyDescent="0.3">
      <c r="B3394" s="58">
        <f>'DATA HISTORICAL'!$B4039</f>
        <v>40905</v>
      </c>
      <c r="C3394" s="60">
        <f>'DATA HISTORICAL'!$C4039</f>
        <v>1175.5999999999999</v>
      </c>
      <c r="D3394" s="53">
        <f t="shared" si="104"/>
        <v>-1.2846694596859104E-2</v>
      </c>
      <c r="E3394" s="53">
        <v>-7.038882516779533E-3</v>
      </c>
      <c r="G3394" s="90">
        <v>3386</v>
      </c>
      <c r="H3394" s="90">
        <f t="shared" ca="1" si="105"/>
        <v>2.4550072280719201E-2</v>
      </c>
    </row>
    <row r="3395" spans="2:8" x14ac:dyDescent="0.3">
      <c r="B3395" s="58">
        <f>'DATA HISTORICAL'!$B4040</f>
        <v>40904</v>
      </c>
      <c r="C3395" s="60">
        <f>'DATA HISTORICAL'!$C4040</f>
        <v>1190.8</v>
      </c>
      <c r="D3395" s="53">
        <f t="shared" si="104"/>
        <v>1.2597367166902488E-4</v>
      </c>
      <c r="E3395" s="53">
        <v>-7.0406540037995097E-3</v>
      </c>
      <c r="G3395" s="90">
        <v>3387</v>
      </c>
      <c r="H3395" s="90">
        <f t="shared" ca="1" si="105"/>
        <v>1.3299010654744214E-2</v>
      </c>
    </row>
    <row r="3396" spans="2:8" x14ac:dyDescent="0.3">
      <c r="B3396" s="58">
        <f>'DATA HISTORICAL'!$B4041</f>
        <v>40903</v>
      </c>
      <c r="C3396" s="60">
        <f>'DATA HISTORICAL'!$C4041</f>
        <v>1190.6500000000001</v>
      </c>
      <c r="D3396" s="53">
        <f t="shared" si="104"/>
        <v>8.1801771713662808E-3</v>
      </c>
      <c r="E3396" s="53">
        <v>-7.0459141500814355E-3</v>
      </c>
      <c r="G3396" s="90">
        <v>3388</v>
      </c>
      <c r="H3396" s="90">
        <f t="shared" ca="1" si="105"/>
        <v>-2.415130516574733E-2</v>
      </c>
    </row>
    <row r="3397" spans="2:8" x14ac:dyDescent="0.3">
      <c r="B3397" s="58">
        <f>'DATA HISTORICAL'!$B4042</f>
        <v>40900</v>
      </c>
      <c r="C3397" s="60">
        <f>'DATA HISTORICAL'!$C4042</f>
        <v>1180.95</v>
      </c>
      <c r="D3397" s="53">
        <f t="shared" si="104"/>
        <v>1.1968539486524316E-2</v>
      </c>
      <c r="E3397" s="53">
        <v>-7.0475355353665425E-3</v>
      </c>
      <c r="G3397" s="90">
        <v>3389</v>
      </c>
      <c r="H3397" s="90">
        <f t="shared" ca="1" si="105"/>
        <v>-1.4039341918379428E-2</v>
      </c>
    </row>
    <row r="3398" spans="2:8" x14ac:dyDescent="0.3">
      <c r="B3398" s="58">
        <f>'DATA HISTORICAL'!$B4043</f>
        <v>40899</v>
      </c>
      <c r="C3398" s="60">
        <f>'DATA HISTORICAL'!$C4043</f>
        <v>1166.9000000000001</v>
      </c>
      <c r="D3398" s="53">
        <f t="shared" si="104"/>
        <v>3.9505268160883976E-2</v>
      </c>
      <c r="E3398" s="53">
        <v>-7.0634045244548924E-3</v>
      </c>
      <c r="G3398" s="90">
        <v>3390</v>
      </c>
      <c r="H3398" s="90">
        <f t="shared" ca="1" si="105"/>
        <v>4.6213586601665316E-4</v>
      </c>
    </row>
    <row r="3399" spans="2:8" x14ac:dyDescent="0.3">
      <c r="B3399" s="58">
        <f>'DATA HISTORICAL'!$B4044</f>
        <v>40898</v>
      </c>
      <c r="C3399" s="60">
        <f>'DATA HISTORICAL'!$C4044</f>
        <v>1121.7</v>
      </c>
      <c r="D3399" s="53">
        <f t="shared" si="104"/>
        <v>8.4728761562895087E-4</v>
      </c>
      <c r="E3399" s="53">
        <v>-7.0772511597646318E-3</v>
      </c>
      <c r="G3399" s="90">
        <v>3391</v>
      </c>
      <c r="H3399" s="90">
        <f t="shared" ca="1" si="105"/>
        <v>7.5762189960037994E-3</v>
      </c>
    </row>
    <row r="3400" spans="2:8" x14ac:dyDescent="0.3">
      <c r="B3400" s="58">
        <f>'DATA HISTORICAL'!$B4045</f>
        <v>40897</v>
      </c>
      <c r="C3400" s="60">
        <f>'DATA HISTORICAL'!$C4045</f>
        <v>1120.75</v>
      </c>
      <c r="D3400" s="53">
        <f t="shared" si="104"/>
        <v>-9.6344563918632029E-3</v>
      </c>
      <c r="E3400" s="53">
        <v>-7.0930062285195434E-3</v>
      </c>
      <c r="G3400" s="90">
        <v>3392</v>
      </c>
      <c r="H3400" s="90">
        <f t="shared" ca="1" si="105"/>
        <v>1.6489577497772356E-2</v>
      </c>
    </row>
    <row r="3401" spans="2:8" x14ac:dyDescent="0.3">
      <c r="B3401" s="58">
        <f>'DATA HISTORICAL'!$B4046</f>
        <v>40896</v>
      </c>
      <c r="C3401" s="60">
        <f>'DATA HISTORICAL'!$C4046</f>
        <v>1131.5999999999999</v>
      </c>
      <c r="D3401" s="53">
        <f t="shared" ref="D3401:D3464" si="106">LN(C3401/C3402)</f>
        <v>-5.7715767659856356E-3</v>
      </c>
      <c r="E3401" s="53">
        <v>-7.1148157258966345E-3</v>
      </c>
      <c r="G3401" s="90">
        <v>3393</v>
      </c>
      <c r="H3401" s="90">
        <f t="shared" ref="H3401:H3464" ca="1" si="107">_xlfn.NORM.INV(RAND(),N$10,N$11)</f>
        <v>9.4444925255388924E-3</v>
      </c>
    </row>
    <row r="3402" spans="2:8" x14ac:dyDescent="0.3">
      <c r="B3402" s="58">
        <f>'DATA HISTORICAL'!$B4047</f>
        <v>40893</v>
      </c>
      <c r="C3402" s="60">
        <f>'DATA HISTORICAL'!$C4047</f>
        <v>1138.1500000000001</v>
      </c>
      <c r="D3402" s="53">
        <f t="shared" si="106"/>
        <v>-8.0943759743731438E-3</v>
      </c>
      <c r="E3402" s="53">
        <v>-7.118306188961929E-3</v>
      </c>
      <c r="G3402" s="90">
        <v>3394</v>
      </c>
      <c r="H3402" s="90">
        <f t="shared" ca="1" si="107"/>
        <v>1.5122662601353202E-2</v>
      </c>
    </row>
    <row r="3403" spans="2:8" x14ac:dyDescent="0.3">
      <c r="B3403" s="58">
        <f>'DATA HISTORICAL'!$B4048</f>
        <v>40892</v>
      </c>
      <c r="C3403" s="60">
        <f>'DATA HISTORICAL'!$C4048</f>
        <v>1147.4000000000001</v>
      </c>
      <c r="D3403" s="53">
        <f t="shared" si="106"/>
        <v>-2.5242647341938312E-3</v>
      </c>
      <c r="E3403" s="53">
        <v>-7.1238477387135391E-3</v>
      </c>
      <c r="G3403" s="90">
        <v>3395</v>
      </c>
      <c r="H3403" s="90">
        <f t="shared" ca="1" si="107"/>
        <v>-4.2662328936505537E-3</v>
      </c>
    </row>
    <row r="3404" spans="2:8" x14ac:dyDescent="0.3">
      <c r="B3404" s="58">
        <f>'DATA HISTORICAL'!$B4049</f>
        <v>40891</v>
      </c>
      <c r="C3404" s="60">
        <f>'DATA HISTORICAL'!$C4049</f>
        <v>1150.3</v>
      </c>
      <c r="D3404" s="53">
        <f t="shared" si="106"/>
        <v>6.7164106116024327E-3</v>
      </c>
      <c r="E3404" s="53">
        <v>-7.1244832644321732E-3</v>
      </c>
      <c r="G3404" s="90">
        <v>3396</v>
      </c>
      <c r="H3404" s="90">
        <f t="shared" ca="1" si="107"/>
        <v>-1.8877819288705383E-2</v>
      </c>
    </row>
    <row r="3405" spans="2:8" x14ac:dyDescent="0.3">
      <c r="B3405" s="58">
        <f>'DATA HISTORICAL'!$B4050</f>
        <v>40890</v>
      </c>
      <c r="C3405" s="60">
        <f>'DATA HISTORICAL'!$C4050</f>
        <v>1142.5999999999999</v>
      </c>
      <c r="D3405" s="53">
        <f t="shared" si="106"/>
        <v>-4.9326769155407461E-3</v>
      </c>
      <c r="E3405" s="53">
        <v>-7.1563602876165058E-3</v>
      </c>
      <c r="G3405" s="90">
        <v>3397</v>
      </c>
      <c r="H3405" s="90">
        <f t="shared" ca="1" si="107"/>
        <v>2.5466193250672654E-2</v>
      </c>
    </row>
    <row r="3406" spans="2:8" x14ac:dyDescent="0.3">
      <c r="B3406" s="58">
        <f>'DATA HISTORICAL'!$B4051</f>
        <v>40889</v>
      </c>
      <c r="C3406" s="60">
        <f>'DATA HISTORICAL'!$C4051</f>
        <v>1148.25</v>
      </c>
      <c r="D3406" s="53">
        <f t="shared" si="106"/>
        <v>-5.0851219765560271E-2</v>
      </c>
      <c r="E3406" s="53">
        <v>-7.1700314340638754E-3</v>
      </c>
      <c r="G3406" s="90">
        <v>3398</v>
      </c>
      <c r="H3406" s="90">
        <f t="shared" ca="1" si="107"/>
        <v>4.6370805621562278E-3</v>
      </c>
    </row>
    <row r="3407" spans="2:8" x14ac:dyDescent="0.3">
      <c r="B3407" s="58">
        <f>'DATA HISTORICAL'!$B4052</f>
        <v>40886</v>
      </c>
      <c r="C3407" s="60">
        <f>'DATA HISTORICAL'!$C4052</f>
        <v>1208.1500000000001</v>
      </c>
      <c r="D3407" s="53">
        <f t="shared" si="106"/>
        <v>-7.339633806460303E-3</v>
      </c>
      <c r="E3407" s="53">
        <v>-7.1727954470519953E-3</v>
      </c>
      <c r="G3407" s="90">
        <v>3399</v>
      </c>
      <c r="H3407" s="90">
        <f t="shared" ca="1" si="107"/>
        <v>9.1578557357871026E-3</v>
      </c>
    </row>
    <row r="3408" spans="2:8" x14ac:dyDescent="0.3">
      <c r="B3408" s="58">
        <f>'DATA HISTORICAL'!$B4053</f>
        <v>40885</v>
      </c>
      <c r="C3408" s="60">
        <f>'DATA HISTORICAL'!$C4053</f>
        <v>1217.05</v>
      </c>
      <c r="D3408" s="53">
        <f t="shared" si="106"/>
        <v>-2.666832359870423E-3</v>
      </c>
      <c r="E3408" s="53">
        <v>-7.1768916359968727E-3</v>
      </c>
      <c r="G3408" s="90">
        <v>3400</v>
      </c>
      <c r="H3408" s="90">
        <f t="shared" ca="1" si="107"/>
        <v>1.728442629079838E-2</v>
      </c>
    </row>
    <row r="3409" spans="2:8" x14ac:dyDescent="0.3">
      <c r="B3409" s="58">
        <f>'DATA HISTORICAL'!$B4054</f>
        <v>40884</v>
      </c>
      <c r="C3409" s="60">
        <f>'DATA HISTORICAL'!$C4054</f>
        <v>1220.3</v>
      </c>
      <c r="D3409" s="53">
        <f t="shared" si="106"/>
        <v>2.5227460176685916E-2</v>
      </c>
      <c r="E3409" s="53">
        <v>-7.1882783044118909E-3</v>
      </c>
      <c r="G3409" s="90">
        <v>3401</v>
      </c>
      <c r="H3409" s="90">
        <f t="shared" ca="1" si="107"/>
        <v>-9.3346804986760082E-3</v>
      </c>
    </row>
    <row r="3410" spans="2:8" x14ac:dyDescent="0.3">
      <c r="B3410" s="58">
        <f>'DATA HISTORICAL'!$B4055</f>
        <v>40882</v>
      </c>
      <c r="C3410" s="60">
        <f>'DATA HISTORICAL'!$C4055</f>
        <v>1189.9000000000001</v>
      </c>
      <c r="D3410" s="53">
        <f t="shared" si="106"/>
        <v>1.1155359491224631E-2</v>
      </c>
      <c r="E3410" s="53">
        <v>-7.19386857304255E-3</v>
      </c>
      <c r="G3410" s="90">
        <v>3402</v>
      </c>
      <c r="H3410" s="90">
        <f t="shared" ca="1" si="107"/>
        <v>-7.3853704055970313E-3</v>
      </c>
    </row>
    <row r="3411" spans="2:8" x14ac:dyDescent="0.3">
      <c r="B3411" s="58">
        <f>'DATA HISTORICAL'!$B4056</f>
        <v>40879</v>
      </c>
      <c r="C3411" s="60">
        <f>'DATA HISTORICAL'!$C4056</f>
        <v>1176.7</v>
      </c>
      <c r="D3411" s="53">
        <f t="shared" si="106"/>
        <v>9.8211643846036617E-3</v>
      </c>
      <c r="E3411" s="53">
        <v>-7.2417343581487542E-3</v>
      </c>
      <c r="G3411" s="90">
        <v>3403</v>
      </c>
      <c r="H3411" s="90">
        <f t="shared" ca="1" si="107"/>
        <v>2.0359958281760205E-3</v>
      </c>
    </row>
    <row r="3412" spans="2:8" x14ac:dyDescent="0.3">
      <c r="B3412" s="58">
        <f>'DATA HISTORICAL'!$B4057</f>
        <v>40878</v>
      </c>
      <c r="C3412" s="60">
        <f>'DATA HISTORICAL'!$C4057</f>
        <v>1165.2</v>
      </c>
      <c r="D3412" s="53">
        <f t="shared" si="106"/>
        <v>1.4261877933920995E-2</v>
      </c>
      <c r="E3412" s="53">
        <v>-7.2434682454366071E-3</v>
      </c>
      <c r="G3412" s="90">
        <v>3404</v>
      </c>
      <c r="H3412" s="90">
        <f t="shared" ca="1" si="107"/>
        <v>-1.0678331218009183E-2</v>
      </c>
    </row>
    <row r="3413" spans="2:8" x14ac:dyDescent="0.3">
      <c r="B3413" s="58">
        <f>'DATA HISTORICAL'!$B4058</f>
        <v>40877</v>
      </c>
      <c r="C3413" s="60">
        <f>'DATA HISTORICAL'!$C4058</f>
        <v>1148.7</v>
      </c>
      <c r="D3413" s="53">
        <f t="shared" si="106"/>
        <v>3.0473868893465377E-4</v>
      </c>
      <c r="E3413" s="53">
        <v>-7.243525559644198E-3</v>
      </c>
      <c r="G3413" s="90">
        <v>3405</v>
      </c>
      <c r="H3413" s="90">
        <f t="shared" ca="1" si="107"/>
        <v>3.5889464479302328E-3</v>
      </c>
    </row>
    <row r="3414" spans="2:8" x14ac:dyDescent="0.3">
      <c r="B3414" s="58">
        <f>'DATA HISTORICAL'!$B4059</f>
        <v>40876</v>
      </c>
      <c r="C3414" s="60">
        <f>'DATA HISTORICAL'!$C4059</f>
        <v>1148.3499999999999</v>
      </c>
      <c r="D3414" s="53">
        <f t="shared" si="106"/>
        <v>-1.8164667279146358E-2</v>
      </c>
      <c r="E3414" s="53">
        <v>-7.2719928408642755E-3</v>
      </c>
      <c r="G3414" s="90">
        <v>3406</v>
      </c>
      <c r="H3414" s="90">
        <f t="shared" ca="1" si="107"/>
        <v>-1.2563036892542595E-2</v>
      </c>
    </row>
    <row r="3415" spans="2:8" x14ac:dyDescent="0.3">
      <c r="B3415" s="58">
        <f>'DATA HISTORICAL'!$B4060</f>
        <v>40875</v>
      </c>
      <c r="C3415" s="60">
        <f>'DATA HISTORICAL'!$C4060</f>
        <v>1169.4000000000001</v>
      </c>
      <c r="D3415" s="53">
        <f t="shared" si="106"/>
        <v>4.454699853744893E-2</v>
      </c>
      <c r="E3415" s="53">
        <v>-7.2745836921717004E-3</v>
      </c>
      <c r="G3415" s="90">
        <v>3407</v>
      </c>
      <c r="H3415" s="90">
        <f t="shared" ca="1" si="107"/>
        <v>5.4243824558616024E-2</v>
      </c>
    </row>
    <row r="3416" spans="2:8" x14ac:dyDescent="0.3">
      <c r="B3416" s="58">
        <f>'DATA HISTORICAL'!$B4061</f>
        <v>40872</v>
      </c>
      <c r="C3416" s="60">
        <f>'DATA HISTORICAL'!$C4061</f>
        <v>1118.45</v>
      </c>
      <c r="D3416" s="53">
        <f t="shared" si="106"/>
        <v>-3.6590848501029628E-3</v>
      </c>
      <c r="E3416" s="53">
        <v>-7.2806957759969718E-3</v>
      </c>
      <c r="G3416" s="90">
        <v>3408</v>
      </c>
      <c r="H3416" s="90">
        <f t="shared" ca="1" si="107"/>
        <v>2.0788810748766252E-2</v>
      </c>
    </row>
    <row r="3417" spans="2:8" x14ac:dyDescent="0.3">
      <c r="B3417" s="58">
        <f>'DATA HISTORICAL'!$B4062</f>
        <v>40871</v>
      </c>
      <c r="C3417" s="60">
        <f>'DATA HISTORICAL'!$C4062</f>
        <v>1122.55</v>
      </c>
      <c r="D3417" s="53">
        <f t="shared" si="106"/>
        <v>1.2865805620975073E-2</v>
      </c>
      <c r="E3417" s="53">
        <v>-7.2921372073964444E-3</v>
      </c>
      <c r="G3417" s="90">
        <v>3409</v>
      </c>
      <c r="H3417" s="90">
        <f t="shared" ca="1" si="107"/>
        <v>1.4930155730866701E-2</v>
      </c>
    </row>
    <row r="3418" spans="2:8" x14ac:dyDescent="0.3">
      <c r="B3418" s="58">
        <f>'DATA HISTORICAL'!$B4063</f>
        <v>40870</v>
      </c>
      <c r="C3418" s="60">
        <f>'DATA HISTORICAL'!$C4063</f>
        <v>1108.2</v>
      </c>
      <c r="D3418" s="53">
        <f t="shared" si="106"/>
        <v>-1.9215033299633793E-2</v>
      </c>
      <c r="E3418" s="53">
        <v>-7.296911436093457E-3</v>
      </c>
      <c r="G3418" s="90">
        <v>3410</v>
      </c>
      <c r="H3418" s="90">
        <f t="shared" ca="1" si="107"/>
        <v>1.1980427934328242E-2</v>
      </c>
    </row>
    <row r="3419" spans="2:8" x14ac:dyDescent="0.3">
      <c r="B3419" s="58">
        <f>'DATA HISTORICAL'!$B4064</f>
        <v>40869</v>
      </c>
      <c r="C3419" s="60">
        <f>'DATA HISTORICAL'!$C4064</f>
        <v>1129.7</v>
      </c>
      <c r="D3419" s="53">
        <f t="shared" si="106"/>
        <v>1.7727239693213617E-2</v>
      </c>
      <c r="E3419" s="53">
        <v>-7.3063677824263627E-3</v>
      </c>
      <c r="G3419" s="90">
        <v>3411</v>
      </c>
      <c r="H3419" s="90">
        <f t="shared" ca="1" si="107"/>
        <v>1.7821850762897877E-2</v>
      </c>
    </row>
    <row r="3420" spans="2:8" x14ac:dyDescent="0.3">
      <c r="B3420" s="58">
        <f>'DATA HISTORICAL'!$B4065</f>
        <v>40868</v>
      </c>
      <c r="C3420" s="60">
        <f>'DATA HISTORICAL'!$C4065</f>
        <v>1109.8499999999999</v>
      </c>
      <c r="D3420" s="53">
        <f t="shared" si="106"/>
        <v>-2.2936274559146451E-2</v>
      </c>
      <c r="E3420" s="53">
        <v>-7.3237623102525755E-3</v>
      </c>
      <c r="G3420" s="90">
        <v>3412</v>
      </c>
      <c r="H3420" s="90">
        <f t="shared" ca="1" si="107"/>
        <v>-2.4044946311259651E-2</v>
      </c>
    </row>
    <row r="3421" spans="2:8" x14ac:dyDescent="0.3">
      <c r="B3421" s="58">
        <f>'DATA HISTORICAL'!$B4066</f>
        <v>40865</v>
      </c>
      <c r="C3421" s="60">
        <f>'DATA HISTORICAL'!$C4066</f>
        <v>1135.5999999999999</v>
      </c>
      <c r="D3421" s="53">
        <f t="shared" si="106"/>
        <v>-1.0424517335884202E-2</v>
      </c>
      <c r="E3421" s="53">
        <v>-7.3265717909214842E-3</v>
      </c>
      <c r="G3421" s="90">
        <v>3413</v>
      </c>
      <c r="H3421" s="90">
        <f t="shared" ca="1" si="107"/>
        <v>1.2605890740044817E-2</v>
      </c>
    </row>
    <row r="3422" spans="2:8" x14ac:dyDescent="0.3">
      <c r="B3422" s="58">
        <f>'DATA HISTORICAL'!$B4067</f>
        <v>40864</v>
      </c>
      <c r="C3422" s="60">
        <f>'DATA HISTORICAL'!$C4067</f>
        <v>1147.5</v>
      </c>
      <c r="D3422" s="53">
        <f t="shared" si="106"/>
        <v>-7.8125397367936247E-3</v>
      </c>
      <c r="E3422" s="53">
        <v>-7.3362655522466527E-3</v>
      </c>
      <c r="G3422" s="90">
        <v>3414</v>
      </c>
      <c r="H3422" s="90">
        <f t="shared" ca="1" si="107"/>
        <v>2.1284334519747184E-3</v>
      </c>
    </row>
    <row r="3423" spans="2:8" x14ac:dyDescent="0.3">
      <c r="B3423" s="58">
        <f>'DATA HISTORICAL'!$B4068</f>
        <v>40863</v>
      </c>
      <c r="C3423" s="60">
        <f>'DATA HISTORICAL'!$C4068</f>
        <v>1156.5</v>
      </c>
      <c r="D3423" s="53">
        <f t="shared" si="106"/>
        <v>6.8979254442516867E-3</v>
      </c>
      <c r="E3423" s="53">
        <v>-7.336980612979895E-3</v>
      </c>
      <c r="G3423" s="90">
        <v>3415</v>
      </c>
      <c r="H3423" s="90">
        <f t="shared" ca="1" si="107"/>
        <v>1.5408826900175844E-2</v>
      </c>
    </row>
    <row r="3424" spans="2:8" x14ac:dyDescent="0.3">
      <c r="B3424" s="58">
        <f>'DATA HISTORICAL'!$B4069</f>
        <v>40862</v>
      </c>
      <c r="C3424" s="60">
        <f>'DATA HISTORICAL'!$C4069</f>
        <v>1148.55</v>
      </c>
      <c r="D3424" s="53">
        <f t="shared" si="106"/>
        <v>-2.0723228302872567E-2</v>
      </c>
      <c r="E3424" s="53">
        <v>-7.3374066561879177E-3</v>
      </c>
      <c r="G3424" s="90">
        <v>3416</v>
      </c>
      <c r="H3424" s="90">
        <f t="shared" ca="1" si="107"/>
        <v>-3.5854695340254567E-2</v>
      </c>
    </row>
    <row r="3425" spans="2:8" x14ac:dyDescent="0.3">
      <c r="B3425" s="58">
        <f>'DATA HISTORICAL'!$B4070</f>
        <v>40861</v>
      </c>
      <c r="C3425" s="60">
        <f>'DATA HISTORICAL'!$C4070</f>
        <v>1172.5999999999999</v>
      </c>
      <c r="D3425" s="53">
        <f t="shared" si="106"/>
        <v>-3.2354221497253675E-3</v>
      </c>
      <c r="E3425" s="53">
        <v>-7.3578769860359753E-3</v>
      </c>
      <c r="G3425" s="90">
        <v>3417</v>
      </c>
      <c r="H3425" s="90">
        <f t="shared" ca="1" si="107"/>
        <v>3.1106972610991206E-3</v>
      </c>
    </row>
    <row r="3426" spans="2:8" x14ac:dyDescent="0.3">
      <c r="B3426" s="58">
        <f>'DATA HISTORICAL'!$B4071</f>
        <v>40858</v>
      </c>
      <c r="C3426" s="60">
        <f>'DATA HISTORICAL'!$C4071</f>
        <v>1176.4000000000001</v>
      </c>
      <c r="D3426" s="53">
        <f t="shared" si="106"/>
        <v>1.0596578388457012E-2</v>
      </c>
      <c r="E3426" s="53">
        <v>-7.3622222781483272E-3</v>
      </c>
      <c r="G3426" s="90">
        <v>3418</v>
      </c>
      <c r="H3426" s="90">
        <f t="shared" ca="1" si="107"/>
        <v>-9.4765951209161304E-4</v>
      </c>
    </row>
    <row r="3427" spans="2:8" x14ac:dyDescent="0.3">
      <c r="B3427" s="58">
        <f>'DATA HISTORICAL'!$B4072</f>
        <v>40856</v>
      </c>
      <c r="C3427" s="60">
        <f>'DATA HISTORICAL'!$C4072</f>
        <v>1164</v>
      </c>
      <c r="D3427" s="53">
        <f t="shared" si="106"/>
        <v>5.2111489835534571E-3</v>
      </c>
      <c r="E3427" s="53">
        <v>-7.3659260183291794E-3</v>
      </c>
      <c r="G3427" s="90">
        <v>3419</v>
      </c>
      <c r="H3427" s="90">
        <f t="shared" ca="1" si="107"/>
        <v>1.8065920342347302E-2</v>
      </c>
    </row>
    <row r="3428" spans="2:8" x14ac:dyDescent="0.3">
      <c r="B3428" s="58">
        <f>'DATA HISTORICAL'!$B4073</f>
        <v>40855</v>
      </c>
      <c r="C3428" s="60">
        <f>'DATA HISTORICAL'!$C4073</f>
        <v>1157.95</v>
      </c>
      <c r="D3428" s="53">
        <f t="shared" si="106"/>
        <v>6.8457806348165189E-3</v>
      </c>
      <c r="E3428" s="53">
        <v>-7.3710934763386478E-3</v>
      </c>
      <c r="G3428" s="90">
        <v>3420</v>
      </c>
      <c r="H3428" s="90">
        <f t="shared" ca="1" si="107"/>
        <v>-5.8053506170100003E-3</v>
      </c>
    </row>
    <row r="3429" spans="2:8" x14ac:dyDescent="0.3">
      <c r="B3429" s="58">
        <f>'DATA HISTORICAL'!$B4074</f>
        <v>40851</v>
      </c>
      <c r="C3429" s="60">
        <f>'DATA HISTORICAL'!$C4074</f>
        <v>1150.05</v>
      </c>
      <c r="D3429" s="53">
        <f t="shared" si="106"/>
        <v>1.7405687349808701E-3</v>
      </c>
      <c r="E3429" s="53">
        <v>-7.3775349867485941E-3</v>
      </c>
      <c r="G3429" s="90">
        <v>3421</v>
      </c>
      <c r="H3429" s="90">
        <f t="shared" ca="1" si="107"/>
        <v>1.6980631217838663E-2</v>
      </c>
    </row>
    <row r="3430" spans="2:8" x14ac:dyDescent="0.3">
      <c r="B3430" s="58">
        <f>'DATA HISTORICAL'!$B4075</f>
        <v>40850</v>
      </c>
      <c r="C3430" s="60">
        <f>'DATA HISTORICAL'!$C4075</f>
        <v>1148.05</v>
      </c>
      <c r="D3430" s="53">
        <f t="shared" si="106"/>
        <v>2.747554008265281E-3</v>
      </c>
      <c r="E3430" s="53">
        <v>-7.3822579069440534E-3</v>
      </c>
      <c r="G3430" s="90">
        <v>3422</v>
      </c>
      <c r="H3430" s="90">
        <f t="shared" ca="1" si="107"/>
        <v>7.7384674607110706E-3</v>
      </c>
    </row>
    <row r="3431" spans="2:8" x14ac:dyDescent="0.3">
      <c r="B3431" s="58">
        <f>'DATA HISTORICAL'!$B4076</f>
        <v>40849</v>
      </c>
      <c r="C3431" s="60">
        <f>'DATA HISTORICAL'!$C4076</f>
        <v>1144.9000000000001</v>
      </c>
      <c r="D3431" s="53">
        <f t="shared" si="106"/>
        <v>1.5296871495304501E-3</v>
      </c>
      <c r="E3431" s="53">
        <v>-7.3974782531370806E-3</v>
      </c>
      <c r="G3431" s="90">
        <v>3423</v>
      </c>
      <c r="H3431" s="90">
        <f t="shared" ca="1" si="107"/>
        <v>-1.0014764975452943E-3</v>
      </c>
    </row>
    <row r="3432" spans="2:8" x14ac:dyDescent="0.3">
      <c r="B3432" s="58">
        <f>'DATA HISTORICAL'!$B4077</f>
        <v>40848</v>
      </c>
      <c r="C3432" s="60">
        <f>'DATA HISTORICAL'!$C4077</f>
        <v>1143.1500000000001</v>
      </c>
      <c r="D3432" s="53">
        <f t="shared" si="106"/>
        <v>-8.2326502223296974E-3</v>
      </c>
      <c r="E3432" s="53">
        <v>-7.4264635875892536E-3</v>
      </c>
      <c r="G3432" s="90">
        <v>3424</v>
      </c>
      <c r="H3432" s="90">
        <f t="shared" ca="1" si="107"/>
        <v>2.4811454292126508E-3</v>
      </c>
    </row>
    <row r="3433" spans="2:8" x14ac:dyDescent="0.3">
      <c r="B3433" s="58">
        <f>'DATA HISTORICAL'!$B4078</f>
        <v>40847</v>
      </c>
      <c r="C3433" s="60">
        <f>'DATA HISTORICAL'!$C4078</f>
        <v>1152.5999999999999</v>
      </c>
      <c r="D3433" s="53">
        <f t="shared" si="106"/>
        <v>-1.0185672868902309E-2</v>
      </c>
      <c r="E3433" s="53">
        <v>-7.4441238330094951E-3</v>
      </c>
      <c r="G3433" s="90">
        <v>3425</v>
      </c>
      <c r="H3433" s="90">
        <f t="shared" ca="1" si="107"/>
        <v>3.4585795695413292E-2</v>
      </c>
    </row>
    <row r="3434" spans="2:8" x14ac:dyDescent="0.3">
      <c r="B3434" s="58">
        <f>'DATA HISTORICAL'!$B4079</f>
        <v>40844</v>
      </c>
      <c r="C3434" s="60">
        <f>'DATA HISTORICAL'!$C4079</f>
        <v>1164.4000000000001</v>
      </c>
      <c r="D3434" s="53">
        <f t="shared" si="106"/>
        <v>2.7028084161102778E-2</v>
      </c>
      <c r="E3434" s="53">
        <v>-7.4445216105051325E-3</v>
      </c>
      <c r="G3434" s="90">
        <v>3426</v>
      </c>
      <c r="H3434" s="90">
        <f t="shared" ca="1" si="107"/>
        <v>-2.9464784185765248E-4</v>
      </c>
    </row>
    <row r="3435" spans="2:8" x14ac:dyDescent="0.3">
      <c r="B3435" s="58">
        <f>'DATA HISTORICAL'!$B4080</f>
        <v>40842</v>
      </c>
      <c r="C3435" s="60">
        <f>'DATA HISTORICAL'!$C4080</f>
        <v>1133.3499999999999</v>
      </c>
      <c r="D3435" s="53">
        <f t="shared" si="106"/>
        <v>-8.8195093250411857E-4</v>
      </c>
      <c r="E3435" s="53">
        <v>-7.4752249106226866E-3</v>
      </c>
      <c r="G3435" s="90">
        <v>3427</v>
      </c>
      <c r="H3435" s="90">
        <f t="shared" ca="1" si="107"/>
        <v>4.1417116650124854E-2</v>
      </c>
    </row>
    <row r="3436" spans="2:8" x14ac:dyDescent="0.3">
      <c r="B3436" s="58">
        <f>'DATA HISTORICAL'!$B4081</f>
        <v>40841</v>
      </c>
      <c r="C3436" s="60">
        <f>'DATA HISTORICAL'!$C4081</f>
        <v>1134.3499999999999</v>
      </c>
      <c r="D3436" s="53">
        <f t="shared" si="106"/>
        <v>4.2847427348116683E-3</v>
      </c>
      <c r="E3436" s="53">
        <v>-7.4818642727714525E-3</v>
      </c>
      <c r="G3436" s="90">
        <v>3428</v>
      </c>
      <c r="H3436" s="90">
        <f t="shared" ca="1" si="107"/>
        <v>-2.7400147157912853E-2</v>
      </c>
    </row>
    <row r="3437" spans="2:8" x14ac:dyDescent="0.3">
      <c r="B3437" s="58">
        <f>'DATA HISTORICAL'!$B4082</f>
        <v>40840</v>
      </c>
      <c r="C3437" s="60">
        <f>'DATA HISTORICAL'!$C4082</f>
        <v>1129.5</v>
      </c>
      <c r="D3437" s="53">
        <f t="shared" si="106"/>
        <v>7.7769528725090027E-3</v>
      </c>
      <c r="E3437" s="53">
        <v>-7.4863580281962867E-3</v>
      </c>
      <c r="G3437" s="90">
        <v>3429</v>
      </c>
      <c r="H3437" s="90">
        <f t="shared" ca="1" si="107"/>
        <v>1.9171012954505597E-2</v>
      </c>
    </row>
    <row r="3438" spans="2:8" x14ac:dyDescent="0.3">
      <c r="B3438" s="58">
        <f>'DATA HISTORICAL'!$B4083</f>
        <v>40837</v>
      </c>
      <c r="C3438" s="60">
        <f>'DATA HISTORICAL'!$C4083</f>
        <v>1120.75</v>
      </c>
      <c r="D3438" s="53">
        <f t="shared" si="106"/>
        <v>1.5179929694106305E-3</v>
      </c>
      <c r="E3438" s="53">
        <v>-7.4885838339180865E-3</v>
      </c>
      <c r="G3438" s="90">
        <v>3430</v>
      </c>
      <c r="H3438" s="90">
        <f t="shared" ca="1" si="107"/>
        <v>9.1603221500415229E-4</v>
      </c>
    </row>
    <row r="3439" spans="2:8" x14ac:dyDescent="0.3">
      <c r="B3439" s="58">
        <f>'DATA HISTORICAL'!$B4084</f>
        <v>40836</v>
      </c>
      <c r="C3439" s="60">
        <f>'DATA HISTORICAL'!$C4084</f>
        <v>1119.05</v>
      </c>
      <c r="D3439" s="53">
        <f t="shared" si="106"/>
        <v>-4.4136403874981212E-3</v>
      </c>
      <c r="E3439" s="53">
        <v>-7.4966409762596744E-3</v>
      </c>
      <c r="G3439" s="90">
        <v>3431</v>
      </c>
      <c r="H3439" s="90">
        <f t="shared" ca="1" si="107"/>
        <v>1.9779572739446607E-2</v>
      </c>
    </row>
    <row r="3440" spans="2:8" x14ac:dyDescent="0.3">
      <c r="B3440" s="58">
        <f>'DATA HISTORICAL'!$B4085</f>
        <v>40835</v>
      </c>
      <c r="C3440" s="60">
        <f>'DATA HISTORICAL'!$C4085</f>
        <v>1124</v>
      </c>
      <c r="D3440" s="53">
        <f t="shared" si="106"/>
        <v>4.4484975207027466E-5</v>
      </c>
      <c r="E3440" s="53">
        <v>-7.4985892713911829E-3</v>
      </c>
      <c r="G3440" s="90">
        <v>3432</v>
      </c>
      <c r="H3440" s="90">
        <f t="shared" ca="1" si="107"/>
        <v>-2.6997933840078803E-2</v>
      </c>
    </row>
    <row r="3441" spans="2:8" x14ac:dyDescent="0.3">
      <c r="B3441" s="58">
        <f>'DATA HISTORICAL'!$B4086</f>
        <v>40834</v>
      </c>
      <c r="C3441" s="60">
        <f>'DATA HISTORICAL'!$C4086</f>
        <v>1123.95</v>
      </c>
      <c r="D3441" s="53">
        <f t="shared" si="106"/>
        <v>2.6695141642783544E-4</v>
      </c>
      <c r="E3441" s="53">
        <v>-7.5221515492067239E-3</v>
      </c>
      <c r="G3441" s="90">
        <v>3433</v>
      </c>
      <c r="H3441" s="90">
        <f t="shared" ca="1" si="107"/>
        <v>2.1255858780770288E-2</v>
      </c>
    </row>
    <row r="3442" spans="2:8" x14ac:dyDescent="0.3">
      <c r="B3442" s="58">
        <f>'DATA HISTORICAL'!$B4087</f>
        <v>40833</v>
      </c>
      <c r="C3442" s="60">
        <f>'DATA HISTORICAL'!$C4087</f>
        <v>1123.6500000000001</v>
      </c>
      <c r="D3442" s="53">
        <f t="shared" si="106"/>
        <v>-1.6006405978457674E-3</v>
      </c>
      <c r="E3442" s="53">
        <v>-7.5233270709766376E-3</v>
      </c>
      <c r="G3442" s="90">
        <v>3434</v>
      </c>
      <c r="H3442" s="90">
        <f t="shared" ca="1" si="107"/>
        <v>-6.7264062947373221E-4</v>
      </c>
    </row>
    <row r="3443" spans="2:8" x14ac:dyDescent="0.3">
      <c r="B3443" s="58">
        <f>'DATA HISTORICAL'!$B4088</f>
        <v>40830</v>
      </c>
      <c r="C3443" s="60">
        <f>'DATA HISTORICAL'!$C4088</f>
        <v>1125.45</v>
      </c>
      <c r="D3443" s="53">
        <f t="shared" si="106"/>
        <v>-4.919241456273018E-3</v>
      </c>
      <c r="E3443" s="53">
        <v>-7.5291994592640091E-3</v>
      </c>
      <c r="G3443" s="90">
        <v>3435</v>
      </c>
      <c r="H3443" s="90">
        <f t="shared" ca="1" si="107"/>
        <v>-3.5296101787091914E-3</v>
      </c>
    </row>
    <row r="3444" spans="2:8" x14ac:dyDescent="0.3">
      <c r="B3444" s="58">
        <f>'DATA HISTORICAL'!$B4089</f>
        <v>40829</v>
      </c>
      <c r="C3444" s="60">
        <f>'DATA HISTORICAL'!$C4089</f>
        <v>1131</v>
      </c>
      <c r="D3444" s="53">
        <f t="shared" si="106"/>
        <v>1.815676761248888E-2</v>
      </c>
      <c r="E3444" s="53">
        <v>-7.5310582732641823E-3</v>
      </c>
      <c r="G3444" s="90">
        <v>3436</v>
      </c>
      <c r="H3444" s="90">
        <f t="shared" ca="1" si="107"/>
        <v>6.2756700826731441E-3</v>
      </c>
    </row>
    <row r="3445" spans="2:8" x14ac:dyDescent="0.3">
      <c r="B3445" s="58">
        <f>'DATA HISTORICAL'!$B4090</f>
        <v>40828</v>
      </c>
      <c r="C3445" s="60">
        <f>'DATA HISTORICAL'!$C4090</f>
        <v>1110.6500000000001</v>
      </c>
      <c r="D3445" s="53">
        <f t="shared" si="106"/>
        <v>2.350370093425088E-2</v>
      </c>
      <c r="E3445" s="53">
        <v>-7.5468881427013306E-3</v>
      </c>
      <c r="G3445" s="90">
        <v>3437</v>
      </c>
      <c r="H3445" s="90">
        <f t="shared" ca="1" si="107"/>
        <v>1.1695248332418392E-2</v>
      </c>
    </row>
    <row r="3446" spans="2:8" x14ac:dyDescent="0.3">
      <c r="B3446" s="58">
        <f>'DATA HISTORICAL'!$B4091</f>
        <v>40827</v>
      </c>
      <c r="C3446" s="60">
        <f>'DATA HISTORICAL'!$C4091</f>
        <v>1084.8499999999999</v>
      </c>
      <c r="D3446" s="53">
        <f t="shared" si="106"/>
        <v>-1.8434029270139094E-4</v>
      </c>
      <c r="E3446" s="53">
        <v>-7.5595629202455852E-3</v>
      </c>
      <c r="G3446" s="90">
        <v>3438</v>
      </c>
      <c r="H3446" s="90">
        <f t="shared" ca="1" si="107"/>
        <v>-3.8118933709115179E-3</v>
      </c>
    </row>
    <row r="3447" spans="2:8" x14ac:dyDescent="0.3">
      <c r="B3447" s="58">
        <f>'DATA HISTORICAL'!$B4092</f>
        <v>40826</v>
      </c>
      <c r="C3447" s="60">
        <f>'DATA HISTORICAL'!$C4092</f>
        <v>1085.05</v>
      </c>
      <c r="D3447" s="53">
        <f t="shared" si="106"/>
        <v>-9.6304513916071529E-3</v>
      </c>
      <c r="E3447" s="53">
        <v>-7.566717482286823E-3</v>
      </c>
      <c r="G3447" s="90">
        <v>3439</v>
      </c>
      <c r="H3447" s="90">
        <f t="shared" ca="1" si="107"/>
        <v>-2.1776669556060432E-2</v>
      </c>
    </row>
    <row r="3448" spans="2:8" x14ac:dyDescent="0.3">
      <c r="B3448" s="58">
        <f>'DATA HISTORICAL'!$B4093</f>
        <v>40823</v>
      </c>
      <c r="C3448" s="60">
        <f>'DATA HISTORICAL'!$C4093</f>
        <v>1095.55</v>
      </c>
      <c r="D3448" s="53">
        <f t="shared" si="106"/>
        <v>-9.4933828285907983E-3</v>
      </c>
      <c r="E3448" s="53">
        <v>-7.568185622719362E-3</v>
      </c>
      <c r="G3448" s="90">
        <v>3440</v>
      </c>
      <c r="H3448" s="90">
        <f t="shared" ca="1" si="107"/>
        <v>1.3971248803674306E-2</v>
      </c>
    </row>
    <row r="3449" spans="2:8" x14ac:dyDescent="0.3">
      <c r="B3449" s="58">
        <f>'DATA HISTORICAL'!$B4094</f>
        <v>40821</v>
      </c>
      <c r="C3449" s="60">
        <f>'DATA HISTORICAL'!$C4094</f>
        <v>1106</v>
      </c>
      <c r="D3449" s="53">
        <f t="shared" si="106"/>
        <v>4.9852811157637374E-3</v>
      </c>
      <c r="E3449" s="53">
        <v>-7.5942155407173091E-3</v>
      </c>
      <c r="G3449" s="90">
        <v>3441</v>
      </c>
      <c r="H3449" s="90">
        <f t="shared" ca="1" si="107"/>
        <v>3.4097274038562713E-3</v>
      </c>
    </row>
    <row r="3450" spans="2:8" x14ac:dyDescent="0.3">
      <c r="B3450" s="58">
        <f>'DATA HISTORICAL'!$B4095</f>
        <v>40820</v>
      </c>
      <c r="C3450" s="60">
        <f>'DATA HISTORICAL'!$C4095</f>
        <v>1100.5</v>
      </c>
      <c r="D3450" s="53">
        <f t="shared" si="106"/>
        <v>-4.543286159658149E-5</v>
      </c>
      <c r="E3450" s="53">
        <v>-7.5950471718770948E-3</v>
      </c>
      <c r="G3450" s="90">
        <v>3442</v>
      </c>
      <c r="H3450" s="90">
        <f t="shared" ca="1" si="107"/>
        <v>1.8984286711231417E-2</v>
      </c>
    </row>
    <row r="3451" spans="2:8" x14ac:dyDescent="0.3">
      <c r="B3451" s="58">
        <f>'DATA HISTORICAL'!$B4096</f>
        <v>40819</v>
      </c>
      <c r="C3451" s="60">
        <f>'DATA HISTORICAL'!$C4096</f>
        <v>1100.55</v>
      </c>
      <c r="D3451" s="53">
        <f t="shared" si="106"/>
        <v>-3.6620732334513621E-2</v>
      </c>
      <c r="E3451" s="53">
        <v>-7.5963884422508218E-3</v>
      </c>
      <c r="G3451" s="90">
        <v>3443</v>
      </c>
      <c r="H3451" s="90">
        <f t="shared" ca="1" si="107"/>
        <v>-1.3805844153320111E-2</v>
      </c>
    </row>
    <row r="3452" spans="2:8" x14ac:dyDescent="0.3">
      <c r="B3452" s="58">
        <f>'DATA HISTORICAL'!$B4097</f>
        <v>40816</v>
      </c>
      <c r="C3452" s="60">
        <f>'DATA HISTORICAL'!$C4097</f>
        <v>1141.5999999999999</v>
      </c>
      <c r="D3452" s="53">
        <f t="shared" si="106"/>
        <v>3.7737549722277391E-3</v>
      </c>
      <c r="E3452" s="53">
        <v>-7.5970088394969743E-3</v>
      </c>
      <c r="G3452" s="90">
        <v>3444</v>
      </c>
      <c r="H3452" s="90">
        <f t="shared" ca="1" si="107"/>
        <v>1.7780986244517332E-2</v>
      </c>
    </row>
    <row r="3453" spans="2:8" x14ac:dyDescent="0.3">
      <c r="B3453" s="58">
        <f>'DATA HISTORICAL'!$B4098</f>
        <v>40815</v>
      </c>
      <c r="C3453" s="60">
        <f>'DATA HISTORICAL'!$C4098</f>
        <v>1137.3</v>
      </c>
      <c r="D3453" s="53">
        <f t="shared" si="106"/>
        <v>-9.9738359609596993E-3</v>
      </c>
      <c r="E3453" s="53">
        <v>-7.5983135320619836E-3</v>
      </c>
      <c r="G3453" s="90">
        <v>3445</v>
      </c>
      <c r="H3453" s="90">
        <f t="shared" ca="1" si="107"/>
        <v>2.7184607221625769E-3</v>
      </c>
    </row>
    <row r="3454" spans="2:8" x14ac:dyDescent="0.3">
      <c r="B3454" s="58">
        <f>'DATA HISTORICAL'!$B4099</f>
        <v>40814</v>
      </c>
      <c r="C3454" s="60">
        <f>'DATA HISTORICAL'!$C4099</f>
        <v>1148.7</v>
      </c>
      <c r="D3454" s="53">
        <f t="shared" si="106"/>
        <v>1.2306634835727148E-2</v>
      </c>
      <c r="E3454" s="53">
        <v>-7.6202247091452287E-3</v>
      </c>
      <c r="G3454" s="90">
        <v>3446</v>
      </c>
      <c r="H3454" s="90">
        <f t="shared" ca="1" si="107"/>
        <v>6.7059013164140098E-3</v>
      </c>
    </row>
    <row r="3455" spans="2:8" x14ac:dyDescent="0.3">
      <c r="B3455" s="58">
        <f>'DATA HISTORICAL'!$B4100</f>
        <v>40813</v>
      </c>
      <c r="C3455" s="60">
        <f>'DATA HISTORICAL'!$C4100</f>
        <v>1134.6500000000001</v>
      </c>
      <c r="D3455" s="53">
        <f t="shared" si="106"/>
        <v>-2.5965467333448418E-3</v>
      </c>
      <c r="E3455" s="53">
        <v>-7.624029840955047E-3</v>
      </c>
      <c r="G3455" s="90">
        <v>3447</v>
      </c>
      <c r="H3455" s="90">
        <f t="shared" ca="1" si="107"/>
        <v>2.8155045688187416E-3</v>
      </c>
    </row>
    <row r="3456" spans="2:8" x14ac:dyDescent="0.3">
      <c r="B3456" s="58">
        <f>'DATA HISTORICAL'!$B4101</f>
        <v>40812</v>
      </c>
      <c r="C3456" s="60">
        <f>'DATA HISTORICAL'!$C4101</f>
        <v>1137.5999999999999</v>
      </c>
      <c r="D3456" s="53">
        <f t="shared" si="106"/>
        <v>-2.1221878362880236E-2</v>
      </c>
      <c r="E3456" s="53">
        <v>-7.6250261127363359E-3</v>
      </c>
      <c r="G3456" s="90">
        <v>3448</v>
      </c>
      <c r="H3456" s="90">
        <f t="shared" ca="1" si="107"/>
        <v>1.9611698807802776E-2</v>
      </c>
    </row>
    <row r="3457" spans="2:8" x14ac:dyDescent="0.3">
      <c r="B3457" s="58">
        <f>'DATA HISTORICAL'!$B4102</f>
        <v>40809</v>
      </c>
      <c r="C3457" s="60">
        <f>'DATA HISTORICAL'!$C4102</f>
        <v>1162</v>
      </c>
      <c r="D3457" s="53">
        <f t="shared" si="106"/>
        <v>5.5662373224766998E-3</v>
      </c>
      <c r="E3457" s="53">
        <v>-7.6297219925166955E-3</v>
      </c>
      <c r="G3457" s="90">
        <v>3449</v>
      </c>
      <c r="H3457" s="90">
        <f t="shared" ca="1" si="107"/>
        <v>2.1963701118863893E-2</v>
      </c>
    </row>
    <row r="3458" spans="2:8" x14ac:dyDescent="0.3">
      <c r="B3458" s="58">
        <f>'DATA HISTORICAL'!$B4103</f>
        <v>40808</v>
      </c>
      <c r="C3458" s="60">
        <f>'DATA HISTORICAL'!$C4103</f>
        <v>1155.55</v>
      </c>
      <c r="D3458" s="53">
        <f t="shared" si="106"/>
        <v>-1.110166307243556E-2</v>
      </c>
      <c r="E3458" s="53">
        <v>-7.6319507248529652E-3</v>
      </c>
      <c r="G3458" s="90">
        <v>3450</v>
      </c>
      <c r="H3458" s="90">
        <f t="shared" ca="1" si="107"/>
        <v>2.3708981834121901E-2</v>
      </c>
    </row>
    <row r="3459" spans="2:8" x14ac:dyDescent="0.3">
      <c r="B3459" s="58">
        <f>'DATA HISTORICAL'!$B4104</f>
        <v>40807</v>
      </c>
      <c r="C3459" s="60">
        <f>'DATA HISTORICAL'!$C4104</f>
        <v>1168.45</v>
      </c>
      <c r="D3459" s="53">
        <f t="shared" si="106"/>
        <v>2.0928683628064063E-2</v>
      </c>
      <c r="E3459" s="53">
        <v>-7.6589121006969329E-3</v>
      </c>
      <c r="G3459" s="90">
        <v>3451</v>
      </c>
      <c r="H3459" s="90">
        <f t="shared" ca="1" si="107"/>
        <v>9.7933583747715804E-3</v>
      </c>
    </row>
    <row r="3460" spans="2:8" x14ac:dyDescent="0.3">
      <c r="B3460" s="58">
        <f>'DATA HISTORICAL'!$B4105</f>
        <v>40806</v>
      </c>
      <c r="C3460" s="60">
        <f>'DATA HISTORICAL'!$C4105</f>
        <v>1144.25</v>
      </c>
      <c r="D3460" s="53">
        <f t="shared" si="106"/>
        <v>6.9280291137301933E-3</v>
      </c>
      <c r="E3460" s="53">
        <v>-7.6688118036439424E-3</v>
      </c>
      <c r="G3460" s="90">
        <v>3452</v>
      </c>
      <c r="H3460" s="90">
        <f t="shared" ca="1" si="107"/>
        <v>1.34404579422312E-2</v>
      </c>
    </row>
    <row r="3461" spans="2:8" x14ac:dyDescent="0.3">
      <c r="B3461" s="58">
        <f>'DATA HISTORICAL'!$B4106</f>
        <v>40805</v>
      </c>
      <c r="C3461" s="60">
        <f>'DATA HISTORICAL'!$C4106</f>
        <v>1136.3499999999999</v>
      </c>
      <c r="D3461" s="53">
        <f t="shared" si="106"/>
        <v>9.1498417203856406E-3</v>
      </c>
      <c r="E3461" s="53">
        <v>-7.6935263025620874E-3</v>
      </c>
      <c r="G3461" s="90">
        <v>3453</v>
      </c>
      <c r="H3461" s="90">
        <f t="shared" ca="1" si="107"/>
        <v>1.4504868954252556E-2</v>
      </c>
    </row>
    <row r="3462" spans="2:8" x14ac:dyDescent="0.3">
      <c r="B3462" s="58">
        <f>'DATA HISTORICAL'!$B4107</f>
        <v>40802</v>
      </c>
      <c r="C3462" s="60">
        <f>'DATA HISTORICAL'!$C4107</f>
        <v>1126</v>
      </c>
      <c r="D3462" s="53">
        <f t="shared" si="106"/>
        <v>-1.8085903637361293E-2</v>
      </c>
      <c r="E3462" s="53">
        <v>-7.697671396868163E-3</v>
      </c>
      <c r="G3462" s="90">
        <v>3454</v>
      </c>
      <c r="H3462" s="90">
        <f t="shared" ca="1" si="107"/>
        <v>1.677576235489156E-2</v>
      </c>
    </row>
    <row r="3463" spans="2:8" x14ac:dyDescent="0.3">
      <c r="B3463" s="58">
        <f>'DATA HISTORICAL'!$B4108</f>
        <v>40801</v>
      </c>
      <c r="C3463" s="60">
        <f>'DATA HISTORICAL'!$C4108</f>
        <v>1146.55</v>
      </c>
      <c r="D3463" s="53">
        <f t="shared" si="106"/>
        <v>3.9358527367727221E-2</v>
      </c>
      <c r="E3463" s="53">
        <v>-7.7284477254590317E-3</v>
      </c>
      <c r="G3463" s="90">
        <v>3455</v>
      </c>
      <c r="H3463" s="90">
        <f t="shared" ca="1" si="107"/>
        <v>2.1362527792817894E-2</v>
      </c>
    </row>
    <row r="3464" spans="2:8" x14ac:dyDescent="0.3">
      <c r="B3464" s="58">
        <f>'DATA HISTORICAL'!$B4109</f>
        <v>40800</v>
      </c>
      <c r="C3464" s="60">
        <f>'DATA HISTORICAL'!$C4109</f>
        <v>1102.3</v>
      </c>
      <c r="D3464" s="53">
        <f t="shared" si="106"/>
        <v>-9.3905881943851192E-3</v>
      </c>
      <c r="E3464" s="53">
        <v>-7.7314427043238161E-3</v>
      </c>
      <c r="G3464" s="90">
        <v>3456</v>
      </c>
      <c r="H3464" s="90">
        <f t="shared" ca="1" si="107"/>
        <v>-1.1878513525117197E-2</v>
      </c>
    </row>
    <row r="3465" spans="2:8" x14ac:dyDescent="0.3">
      <c r="B3465" s="58">
        <f>'DATA HISTORICAL'!$B4110</f>
        <v>40799</v>
      </c>
      <c r="C3465" s="60">
        <f>'DATA HISTORICAL'!$C4110</f>
        <v>1112.7</v>
      </c>
      <c r="D3465" s="53">
        <f t="shared" ref="D3465:D3528" si="108">LN(C3465/C3466)</f>
        <v>1.1252067472454054E-2</v>
      </c>
      <c r="E3465" s="53">
        <v>-7.7435849259778486E-3</v>
      </c>
      <c r="G3465" s="90">
        <v>3457</v>
      </c>
      <c r="H3465" s="90">
        <f t="shared" ref="H3465:H3528" ca="1" si="109">_xlfn.NORM.INV(RAND(),N$10,N$11)</f>
        <v>5.1518575555252778E-3</v>
      </c>
    </row>
    <row r="3466" spans="2:8" x14ac:dyDescent="0.3">
      <c r="B3466" s="58">
        <f>'DATA HISTORICAL'!$B4111</f>
        <v>40798</v>
      </c>
      <c r="C3466" s="60">
        <f>'DATA HISTORICAL'!$C4111</f>
        <v>1100.25</v>
      </c>
      <c r="D3466" s="53">
        <f t="shared" si="108"/>
        <v>1.0323497494582867E-2</v>
      </c>
      <c r="E3466" s="53">
        <v>-7.7508213333942252E-3</v>
      </c>
      <c r="G3466" s="90">
        <v>3458</v>
      </c>
      <c r="H3466" s="90">
        <f t="shared" ca="1" si="109"/>
        <v>-9.7317111149690695E-3</v>
      </c>
    </row>
    <row r="3467" spans="2:8" x14ac:dyDescent="0.3">
      <c r="B3467" s="58">
        <f>'DATA HISTORICAL'!$B4112</f>
        <v>40795</v>
      </c>
      <c r="C3467" s="60">
        <f>'DATA HISTORICAL'!$C4112</f>
        <v>1088.95</v>
      </c>
      <c r="D3467" s="53">
        <f t="shared" si="108"/>
        <v>-2.6059073194948018E-2</v>
      </c>
      <c r="E3467" s="53">
        <v>-7.7592560885192024E-3</v>
      </c>
      <c r="G3467" s="90">
        <v>3459</v>
      </c>
      <c r="H3467" s="90">
        <f t="shared" ca="1" si="109"/>
        <v>9.5303074851602419E-3</v>
      </c>
    </row>
    <row r="3468" spans="2:8" x14ac:dyDescent="0.3">
      <c r="B3468" s="58">
        <f>'DATA HISTORICAL'!$B4113</f>
        <v>40794</v>
      </c>
      <c r="C3468" s="60">
        <f>'DATA HISTORICAL'!$C4113</f>
        <v>1117.7</v>
      </c>
      <c r="D3468" s="53">
        <f t="shared" si="108"/>
        <v>4.9220306607041105E-4</v>
      </c>
      <c r="E3468" s="53">
        <v>-7.7656690331146735E-3</v>
      </c>
      <c r="G3468" s="90">
        <v>3460</v>
      </c>
      <c r="H3468" s="90">
        <f t="shared" ca="1" si="109"/>
        <v>3.1830930219109918E-3</v>
      </c>
    </row>
    <row r="3469" spans="2:8" x14ac:dyDescent="0.3">
      <c r="B3469" s="58">
        <f>'DATA HISTORICAL'!$B4114</f>
        <v>40793</v>
      </c>
      <c r="C3469" s="60">
        <f>'DATA HISTORICAL'!$C4114</f>
        <v>1117.1500000000001</v>
      </c>
      <c r="D3469" s="53">
        <f t="shared" si="108"/>
        <v>1.3654088612635651E-2</v>
      </c>
      <c r="E3469" s="53">
        <v>-7.7719863627307697E-3</v>
      </c>
      <c r="G3469" s="90">
        <v>3461</v>
      </c>
      <c r="H3469" s="90">
        <f t="shared" ca="1" si="109"/>
        <v>-3.0528993360900602E-2</v>
      </c>
    </row>
    <row r="3470" spans="2:8" x14ac:dyDescent="0.3">
      <c r="B3470" s="58">
        <f>'DATA HISTORICAL'!$B4115</f>
        <v>40792</v>
      </c>
      <c r="C3470" s="60">
        <f>'DATA HISTORICAL'!$C4115</f>
        <v>1102</v>
      </c>
      <c r="D3470" s="53">
        <f t="shared" si="108"/>
        <v>-1.994380137084458E-3</v>
      </c>
      <c r="E3470" s="53">
        <v>-7.7789203911845291E-3</v>
      </c>
      <c r="G3470" s="90">
        <v>3462</v>
      </c>
      <c r="H3470" s="90">
        <f t="shared" ca="1" si="109"/>
        <v>-5.1099458858810216E-3</v>
      </c>
    </row>
    <row r="3471" spans="2:8" x14ac:dyDescent="0.3">
      <c r="B3471" s="58">
        <f>'DATA HISTORICAL'!$B4116</f>
        <v>40791</v>
      </c>
      <c r="C3471" s="60">
        <f>'DATA HISTORICAL'!$C4116</f>
        <v>1104.2</v>
      </c>
      <c r="D3471" s="53">
        <f t="shared" si="108"/>
        <v>3.7654575510545052E-3</v>
      </c>
      <c r="E3471" s="53">
        <v>-7.7834629815265038E-3</v>
      </c>
      <c r="G3471" s="90">
        <v>3463</v>
      </c>
      <c r="H3471" s="90">
        <f t="shared" ca="1" si="109"/>
        <v>2.4325139893928559E-2</v>
      </c>
    </row>
    <row r="3472" spans="2:8" x14ac:dyDescent="0.3">
      <c r="B3472" s="58">
        <f>'DATA HISTORICAL'!$B4117</f>
        <v>40788</v>
      </c>
      <c r="C3472" s="60">
        <f>'DATA HISTORICAL'!$C4117</f>
        <v>1100.05</v>
      </c>
      <c r="D3472" s="53">
        <f t="shared" si="108"/>
        <v>2.7510086421685623E-2</v>
      </c>
      <c r="E3472" s="53">
        <v>-7.7930807131692988E-3</v>
      </c>
      <c r="G3472" s="90">
        <v>3464</v>
      </c>
      <c r="H3472" s="90">
        <f t="shared" ca="1" si="109"/>
        <v>1.403893445684725E-2</v>
      </c>
    </row>
    <row r="3473" spans="2:8" x14ac:dyDescent="0.3">
      <c r="B3473" s="58">
        <f>'DATA HISTORICAL'!$B4118</f>
        <v>40785</v>
      </c>
      <c r="C3473" s="60">
        <f>'DATA HISTORICAL'!$C4118</f>
        <v>1070.2</v>
      </c>
      <c r="D3473" s="53">
        <f t="shared" si="108"/>
        <v>2.6197619773597417E-3</v>
      </c>
      <c r="E3473" s="53">
        <v>-7.7963068427440805E-3</v>
      </c>
      <c r="G3473" s="90">
        <v>3465</v>
      </c>
      <c r="H3473" s="90">
        <f t="shared" ca="1" si="109"/>
        <v>7.6891312799026307E-3</v>
      </c>
    </row>
    <row r="3474" spans="2:8" x14ac:dyDescent="0.3">
      <c r="B3474" s="58">
        <f>'DATA HISTORICAL'!$B4119</f>
        <v>40784</v>
      </c>
      <c r="C3474" s="60">
        <f>'DATA HISTORICAL'!$C4119</f>
        <v>1067.4000000000001</v>
      </c>
      <c r="D3474" s="53">
        <f t="shared" si="108"/>
        <v>7.3814952332696979E-3</v>
      </c>
      <c r="E3474" s="53">
        <v>-7.8007533961274231E-3</v>
      </c>
      <c r="G3474" s="90">
        <v>3466</v>
      </c>
      <c r="H3474" s="90">
        <f t="shared" ca="1" si="109"/>
        <v>3.2271727650930626E-3</v>
      </c>
    </row>
    <row r="3475" spans="2:8" x14ac:dyDescent="0.3">
      <c r="B3475" s="58">
        <f>'DATA HISTORICAL'!$B4120</f>
        <v>40781</v>
      </c>
      <c r="C3475" s="60">
        <f>'DATA HISTORICAL'!$C4120</f>
        <v>1059.55</v>
      </c>
      <c r="D3475" s="53">
        <f t="shared" si="108"/>
        <v>-8.1306992390950631E-3</v>
      </c>
      <c r="E3475" s="53">
        <v>-7.8125397367936247E-3</v>
      </c>
      <c r="G3475" s="90">
        <v>3467</v>
      </c>
      <c r="H3475" s="90">
        <f t="shared" ca="1" si="109"/>
        <v>-1.6159297882503344E-2</v>
      </c>
    </row>
    <row r="3476" spans="2:8" x14ac:dyDescent="0.3">
      <c r="B3476" s="58">
        <f>'DATA HISTORICAL'!$B4121</f>
        <v>40780</v>
      </c>
      <c r="C3476" s="60">
        <f>'DATA HISTORICAL'!$C4121</f>
        <v>1068.2</v>
      </c>
      <c r="D3476" s="53">
        <f t="shared" si="108"/>
        <v>5.1501745174702964E-4</v>
      </c>
      <c r="E3476" s="53">
        <v>-7.8240858143026025E-3</v>
      </c>
      <c r="G3476" s="90">
        <v>3468</v>
      </c>
      <c r="H3476" s="90">
        <f t="shared" ca="1" si="109"/>
        <v>2.1686554137626112E-2</v>
      </c>
    </row>
    <row r="3477" spans="2:8" x14ac:dyDescent="0.3">
      <c r="B3477" s="58">
        <f>'DATA HISTORICAL'!$B4122</f>
        <v>40779</v>
      </c>
      <c r="C3477" s="60">
        <f>'DATA HISTORICAL'!$C4122</f>
        <v>1067.6500000000001</v>
      </c>
      <c r="D3477" s="53">
        <f t="shared" si="108"/>
        <v>6.625185750893439E-3</v>
      </c>
      <c r="E3477" s="53">
        <v>-7.832499097908294E-3</v>
      </c>
      <c r="G3477" s="90">
        <v>3469</v>
      </c>
      <c r="H3477" s="90">
        <f t="shared" ca="1" si="109"/>
        <v>1.3837209979854666E-2</v>
      </c>
    </row>
    <row r="3478" spans="2:8" x14ac:dyDescent="0.3">
      <c r="B3478" s="58">
        <f>'DATA HISTORICAL'!$B4123</f>
        <v>40778</v>
      </c>
      <c r="C3478" s="60">
        <f>'DATA HISTORICAL'!$C4123</f>
        <v>1060.5999999999999</v>
      </c>
      <c r="D3478" s="53">
        <f t="shared" si="108"/>
        <v>3.717114608486613E-2</v>
      </c>
      <c r="E3478" s="53">
        <v>-7.8345228317944597E-3</v>
      </c>
      <c r="G3478" s="90">
        <v>3470</v>
      </c>
      <c r="H3478" s="90">
        <f t="shared" ca="1" si="109"/>
        <v>9.5424166911685319E-3</v>
      </c>
    </row>
    <row r="3479" spans="2:8" x14ac:dyDescent="0.3">
      <c r="B3479" s="58">
        <f>'DATA HISTORICAL'!$B4124</f>
        <v>40777</v>
      </c>
      <c r="C3479" s="60">
        <f>'DATA HISTORICAL'!$C4124</f>
        <v>1021.9</v>
      </c>
      <c r="D3479" s="53">
        <f t="shared" si="108"/>
        <v>3.3786829438336885E-2</v>
      </c>
      <c r="E3479" s="53">
        <v>-7.8413900049755045E-3</v>
      </c>
      <c r="G3479" s="90">
        <v>3471</v>
      </c>
      <c r="H3479" s="90">
        <f t="shared" ca="1" si="109"/>
        <v>2.8089124434203636E-3</v>
      </c>
    </row>
    <row r="3480" spans="2:8" x14ac:dyDescent="0.3">
      <c r="B3480" s="58">
        <f>'DATA HISTORICAL'!$B4125</f>
        <v>40774</v>
      </c>
      <c r="C3480" s="60">
        <f>'DATA HISTORICAL'!$C4125</f>
        <v>987.95</v>
      </c>
      <c r="D3480" s="53">
        <f t="shared" si="108"/>
        <v>2.635181173234755E-3</v>
      </c>
      <c r="E3480" s="53">
        <v>-7.849491848040983E-3</v>
      </c>
      <c r="G3480" s="90">
        <v>3472</v>
      </c>
      <c r="H3480" s="90">
        <f t="shared" ca="1" si="109"/>
        <v>-2.134386505457396E-2</v>
      </c>
    </row>
    <row r="3481" spans="2:8" x14ac:dyDescent="0.3">
      <c r="B3481" s="58">
        <f>'DATA HISTORICAL'!$B4126</f>
        <v>40773</v>
      </c>
      <c r="C3481" s="60">
        <f>'DATA HISTORICAL'!$C4126</f>
        <v>985.35</v>
      </c>
      <c r="D3481" s="53">
        <f t="shared" si="108"/>
        <v>-2.5302584851216618E-2</v>
      </c>
      <c r="E3481" s="53">
        <v>-7.8749853956972017E-3</v>
      </c>
      <c r="G3481" s="90">
        <v>3473</v>
      </c>
      <c r="H3481" s="90">
        <f t="shared" ca="1" si="109"/>
        <v>1.5820960662974226E-2</v>
      </c>
    </row>
    <row r="3482" spans="2:8" x14ac:dyDescent="0.3">
      <c r="B3482" s="58">
        <f>'DATA HISTORICAL'!$B4127</f>
        <v>40772</v>
      </c>
      <c r="C3482" s="60">
        <f>'DATA HISTORICAL'!$C4127</f>
        <v>1010.6</v>
      </c>
      <c r="D3482" s="53">
        <f t="shared" si="108"/>
        <v>-1.1901974954158961E-2</v>
      </c>
      <c r="E3482" s="53">
        <v>-7.885961830599952E-3</v>
      </c>
      <c r="G3482" s="90">
        <v>3474</v>
      </c>
      <c r="H3482" s="90">
        <f t="shared" ca="1" si="109"/>
        <v>-1.2646548866575805E-2</v>
      </c>
    </row>
    <row r="3483" spans="2:8" x14ac:dyDescent="0.3">
      <c r="B3483" s="58">
        <f>'DATA HISTORICAL'!$B4128</f>
        <v>40771</v>
      </c>
      <c r="C3483" s="60">
        <f>'DATA HISTORICAL'!$C4128</f>
        <v>1022.7</v>
      </c>
      <c r="D3483" s="53">
        <f t="shared" si="108"/>
        <v>2.6925823429938094E-3</v>
      </c>
      <c r="E3483" s="53">
        <v>-7.8859692673360054E-3</v>
      </c>
      <c r="G3483" s="90">
        <v>3475</v>
      </c>
      <c r="H3483" s="90">
        <f t="shared" ca="1" si="109"/>
        <v>3.7494039031036185E-3</v>
      </c>
    </row>
    <row r="3484" spans="2:8" x14ac:dyDescent="0.3">
      <c r="B3484" s="58">
        <f>'DATA HISTORICAL'!$B4129</f>
        <v>40767</v>
      </c>
      <c r="C3484" s="60">
        <f>'DATA HISTORICAL'!$C4129</f>
        <v>1019.95</v>
      </c>
      <c r="D3484" s="53">
        <f t="shared" si="108"/>
        <v>-4.8902244259235927E-3</v>
      </c>
      <c r="E3484" s="53">
        <v>-7.8910906588484445E-3</v>
      </c>
      <c r="G3484" s="90">
        <v>3476</v>
      </c>
      <c r="H3484" s="90">
        <f t="shared" ca="1" si="109"/>
        <v>7.8783449697354038E-3</v>
      </c>
    </row>
    <row r="3485" spans="2:8" x14ac:dyDescent="0.3">
      <c r="B3485" s="58">
        <f>'DATA HISTORICAL'!$B4130</f>
        <v>40766</v>
      </c>
      <c r="C3485" s="60">
        <f>'DATA HISTORICAL'!$C4130</f>
        <v>1024.95</v>
      </c>
      <c r="D3485" s="53">
        <f t="shared" si="108"/>
        <v>7.5900763469323252E-3</v>
      </c>
      <c r="E3485" s="53">
        <v>-7.8971242155920895E-3</v>
      </c>
      <c r="G3485" s="90">
        <v>3477</v>
      </c>
      <c r="H3485" s="90">
        <f t="shared" ca="1" si="109"/>
        <v>-1.4306158278333359E-2</v>
      </c>
    </row>
    <row r="3486" spans="2:8" x14ac:dyDescent="0.3">
      <c r="B3486" s="58">
        <f>'DATA HISTORICAL'!$B4131</f>
        <v>40765</v>
      </c>
      <c r="C3486" s="60">
        <f>'DATA HISTORICAL'!$C4131</f>
        <v>1017.2</v>
      </c>
      <c r="D3486" s="53">
        <f t="shared" si="108"/>
        <v>2.9683170965969161E-2</v>
      </c>
      <c r="E3486" s="53">
        <v>-7.9033175957681865E-3</v>
      </c>
      <c r="G3486" s="90">
        <v>3478</v>
      </c>
      <c r="H3486" s="90">
        <f t="shared" ca="1" si="109"/>
        <v>2.7087073339547032E-3</v>
      </c>
    </row>
    <row r="3487" spans="2:8" x14ac:dyDescent="0.3">
      <c r="B3487" s="58">
        <f>'DATA HISTORICAL'!$B4132</f>
        <v>40764</v>
      </c>
      <c r="C3487" s="60">
        <f>'DATA HISTORICAL'!$C4132</f>
        <v>987.45</v>
      </c>
      <c r="D3487" s="53">
        <f t="shared" si="108"/>
        <v>2.1755010461689119E-2</v>
      </c>
      <c r="E3487" s="53">
        <v>-7.904750767496329E-3</v>
      </c>
      <c r="G3487" s="90">
        <v>3479</v>
      </c>
      <c r="H3487" s="90">
        <f t="shared" ca="1" si="109"/>
        <v>-1.1531810983248889E-2</v>
      </c>
    </row>
    <row r="3488" spans="2:8" x14ac:dyDescent="0.3">
      <c r="B3488" s="58">
        <f>'DATA HISTORICAL'!$B4133</f>
        <v>40763</v>
      </c>
      <c r="C3488" s="60">
        <f>'DATA HISTORICAL'!$C4133</f>
        <v>966.2</v>
      </c>
      <c r="D3488" s="53">
        <f t="shared" si="108"/>
        <v>-3.4834325642195456E-2</v>
      </c>
      <c r="E3488" s="53">
        <v>-7.9051795071131501E-3</v>
      </c>
      <c r="G3488" s="90">
        <v>3480</v>
      </c>
      <c r="H3488" s="90">
        <f t="shared" ca="1" si="109"/>
        <v>2.818850420490291E-2</v>
      </c>
    </row>
    <row r="3489" spans="2:8" x14ac:dyDescent="0.3">
      <c r="B3489" s="58">
        <f>'DATA HISTORICAL'!$B4134</f>
        <v>40760</v>
      </c>
      <c r="C3489" s="60">
        <f>'DATA HISTORICAL'!$C4134</f>
        <v>1000.45</v>
      </c>
      <c r="D3489" s="53">
        <f t="shared" si="108"/>
        <v>-1.8077405833518842E-2</v>
      </c>
      <c r="E3489" s="53">
        <v>-7.943452216212751E-3</v>
      </c>
      <c r="G3489" s="90">
        <v>3481</v>
      </c>
      <c r="H3489" s="90">
        <f t="shared" ca="1" si="109"/>
        <v>-1.4179936474789032E-2</v>
      </c>
    </row>
    <row r="3490" spans="2:8" x14ac:dyDescent="0.3">
      <c r="B3490" s="58">
        <f>'DATA HISTORICAL'!$B4135</f>
        <v>40759</v>
      </c>
      <c r="C3490" s="60">
        <f>'DATA HISTORICAL'!$C4135</f>
        <v>1018.7</v>
      </c>
      <c r="D3490" s="53">
        <f t="shared" si="108"/>
        <v>-8.9905814228557219E-3</v>
      </c>
      <c r="E3490" s="53">
        <v>-7.9475690030024713E-3</v>
      </c>
      <c r="G3490" s="90">
        <v>3482</v>
      </c>
      <c r="H3490" s="90">
        <f t="shared" ca="1" si="109"/>
        <v>-9.7177230822151558E-3</v>
      </c>
    </row>
    <row r="3491" spans="2:8" x14ac:dyDescent="0.3">
      <c r="B3491" s="58">
        <f>'DATA HISTORICAL'!$B4136</f>
        <v>40758</v>
      </c>
      <c r="C3491" s="60">
        <f>'DATA HISTORICAL'!$C4136</f>
        <v>1027.9000000000001</v>
      </c>
      <c r="D3491" s="53">
        <f t="shared" si="108"/>
        <v>-1.3610735136373074E-3</v>
      </c>
      <c r="E3491" s="53">
        <v>-7.9730339581720322E-3</v>
      </c>
      <c r="G3491" s="90">
        <v>3483</v>
      </c>
      <c r="H3491" s="90">
        <f t="shared" ca="1" si="109"/>
        <v>1.7832447744627489E-2</v>
      </c>
    </row>
    <row r="3492" spans="2:8" x14ac:dyDescent="0.3">
      <c r="B3492" s="58">
        <f>'DATA HISTORICAL'!$B4137</f>
        <v>40757</v>
      </c>
      <c r="C3492" s="60">
        <f>'DATA HISTORICAL'!$C4137</f>
        <v>1029.3</v>
      </c>
      <c r="D3492" s="53">
        <f t="shared" si="108"/>
        <v>4.3728591907368785E-4</v>
      </c>
      <c r="E3492" s="53">
        <v>-8.027173123963777E-3</v>
      </c>
      <c r="G3492" s="90">
        <v>3484</v>
      </c>
      <c r="H3492" s="90">
        <f t="shared" ca="1" si="109"/>
        <v>2.7953123259388903E-2</v>
      </c>
    </row>
    <row r="3493" spans="2:8" x14ac:dyDescent="0.3">
      <c r="B3493" s="58">
        <f>'DATA HISTORICAL'!$B4138</f>
        <v>40756</v>
      </c>
      <c r="C3493" s="60">
        <f>'DATA HISTORICAL'!$C4138</f>
        <v>1028.8499999999999</v>
      </c>
      <c r="D3493" s="53">
        <f t="shared" si="108"/>
        <v>-5.8300540931340082E-4</v>
      </c>
      <c r="E3493" s="53">
        <v>-8.0355928068550388E-3</v>
      </c>
      <c r="G3493" s="90">
        <v>3485</v>
      </c>
      <c r="H3493" s="90">
        <f t="shared" ca="1" si="109"/>
        <v>4.6433093119818327E-3</v>
      </c>
    </row>
    <row r="3494" spans="2:8" x14ac:dyDescent="0.3">
      <c r="B3494" s="58">
        <f>'DATA HISTORICAL'!$B4139</f>
        <v>40753</v>
      </c>
      <c r="C3494" s="60">
        <f>'DATA HISTORICAL'!$C4139</f>
        <v>1029.45</v>
      </c>
      <c r="D3494" s="53">
        <f t="shared" si="108"/>
        <v>3.3569322920386571E-3</v>
      </c>
      <c r="E3494" s="53">
        <v>-8.0816405058716147E-3</v>
      </c>
      <c r="G3494" s="90">
        <v>3486</v>
      </c>
      <c r="H3494" s="90">
        <f t="shared" ca="1" si="109"/>
        <v>3.698248724400114E-2</v>
      </c>
    </row>
    <row r="3495" spans="2:8" x14ac:dyDescent="0.3">
      <c r="B3495" s="58">
        <f>'DATA HISTORICAL'!$B4140</f>
        <v>40752</v>
      </c>
      <c r="C3495" s="60">
        <f>'DATA HISTORICAL'!$C4140</f>
        <v>1026</v>
      </c>
      <c r="D3495" s="53">
        <f t="shared" si="108"/>
        <v>-9.7418419784337472E-4</v>
      </c>
      <c r="E3495" s="53">
        <v>-8.0957343627231296E-3</v>
      </c>
      <c r="G3495" s="90">
        <v>3487</v>
      </c>
      <c r="H3495" s="90">
        <f t="shared" ca="1" si="109"/>
        <v>-2.0556032971303543E-2</v>
      </c>
    </row>
    <row r="3496" spans="2:8" x14ac:dyDescent="0.3">
      <c r="B3496" s="58">
        <f>'DATA HISTORICAL'!$B4141</f>
        <v>40751</v>
      </c>
      <c r="C3496" s="60">
        <f>'DATA HISTORICAL'!$C4141</f>
        <v>1027</v>
      </c>
      <c r="D3496" s="53">
        <f t="shared" si="108"/>
        <v>2.3098217323056239E-2</v>
      </c>
      <c r="E3496" s="53">
        <v>-8.1086551780647342E-3</v>
      </c>
      <c r="G3496" s="90">
        <v>3488</v>
      </c>
      <c r="H3496" s="90">
        <f t="shared" ca="1" si="109"/>
        <v>-9.7788375248719812E-5</v>
      </c>
    </row>
    <row r="3497" spans="2:8" x14ac:dyDescent="0.3">
      <c r="B3497" s="58">
        <f>'DATA HISTORICAL'!$B4142</f>
        <v>40750</v>
      </c>
      <c r="C3497" s="60">
        <f>'DATA HISTORICAL'!$C4142</f>
        <v>1003.55</v>
      </c>
      <c r="D3497" s="53">
        <f t="shared" si="108"/>
        <v>3.3437336206986359E-3</v>
      </c>
      <c r="E3497" s="53">
        <v>-8.1275039405663344E-3</v>
      </c>
      <c r="G3497" s="90">
        <v>3489</v>
      </c>
      <c r="H3497" s="90">
        <f t="shared" ca="1" si="109"/>
        <v>1.6576227294480658E-2</v>
      </c>
    </row>
    <row r="3498" spans="2:8" x14ac:dyDescent="0.3">
      <c r="B3498" s="58">
        <f>'DATA HISTORICAL'!$B4143</f>
        <v>40749</v>
      </c>
      <c r="C3498" s="60">
        <f>'DATA HISTORICAL'!$C4143</f>
        <v>1000.2</v>
      </c>
      <c r="D3498" s="53">
        <f t="shared" si="108"/>
        <v>-3.0945869467636686E-3</v>
      </c>
      <c r="E3498" s="53">
        <v>-8.1446474376280827E-3</v>
      </c>
      <c r="G3498" s="90">
        <v>3490</v>
      </c>
      <c r="H3498" s="90">
        <f t="shared" ca="1" si="109"/>
        <v>1.0678536357522033E-2</v>
      </c>
    </row>
    <row r="3499" spans="2:8" x14ac:dyDescent="0.3">
      <c r="B3499" s="58">
        <f>'DATA HISTORICAL'!$B4144</f>
        <v>40746</v>
      </c>
      <c r="C3499" s="60">
        <f>'DATA HISTORICAL'!$C4144</f>
        <v>1003.3</v>
      </c>
      <c r="D3499" s="53">
        <f t="shared" si="108"/>
        <v>3.0562994103623668E-2</v>
      </c>
      <c r="E3499" s="53">
        <v>-8.1462759132165091E-3</v>
      </c>
      <c r="G3499" s="90">
        <v>3491</v>
      </c>
      <c r="H3499" s="90">
        <f t="shared" ca="1" si="109"/>
        <v>3.5670401833825852E-3</v>
      </c>
    </row>
    <row r="3500" spans="2:8" x14ac:dyDescent="0.3">
      <c r="B3500" s="58">
        <f>'DATA HISTORICAL'!$B4145</f>
        <v>40745</v>
      </c>
      <c r="C3500" s="60">
        <f>'DATA HISTORICAL'!$C4145</f>
        <v>973.1</v>
      </c>
      <c r="D3500" s="53">
        <f t="shared" si="108"/>
        <v>-1.245931150048551E-2</v>
      </c>
      <c r="E3500" s="53">
        <v>-8.1539985780240756E-3</v>
      </c>
      <c r="G3500" s="90">
        <v>3492</v>
      </c>
      <c r="H3500" s="90">
        <f t="shared" ca="1" si="109"/>
        <v>5.2631030476531282E-2</v>
      </c>
    </row>
    <row r="3501" spans="2:8" x14ac:dyDescent="0.3">
      <c r="B3501" s="58">
        <f>'DATA HISTORICAL'!$B4146</f>
        <v>40744</v>
      </c>
      <c r="C3501" s="60">
        <f>'DATA HISTORICAL'!$C4146</f>
        <v>985.3</v>
      </c>
      <c r="D3501" s="53">
        <f t="shared" si="108"/>
        <v>-1.1904902506318427E-2</v>
      </c>
      <c r="E3501" s="53">
        <v>-8.1604482052620494E-3</v>
      </c>
      <c r="G3501" s="90">
        <v>3493</v>
      </c>
      <c r="H3501" s="90">
        <f t="shared" ca="1" si="109"/>
        <v>2.0771637825590959E-2</v>
      </c>
    </row>
    <row r="3502" spans="2:8" x14ac:dyDescent="0.3">
      <c r="B3502" s="58">
        <f>'DATA HISTORICAL'!$B4147</f>
        <v>40743</v>
      </c>
      <c r="C3502" s="60">
        <f>'DATA HISTORICAL'!$C4147</f>
        <v>997.1</v>
      </c>
      <c r="D3502" s="53">
        <f t="shared" si="108"/>
        <v>2.5075854591133601E-4</v>
      </c>
      <c r="E3502" s="53">
        <v>-8.1737258411898623E-3</v>
      </c>
      <c r="G3502" s="90">
        <v>3494</v>
      </c>
      <c r="H3502" s="90">
        <f t="shared" ca="1" si="109"/>
        <v>-1.4366017098770088E-4</v>
      </c>
    </row>
    <row r="3503" spans="2:8" x14ac:dyDescent="0.3">
      <c r="B3503" s="58">
        <f>'DATA HISTORICAL'!$B4148</f>
        <v>40742</v>
      </c>
      <c r="C3503" s="60">
        <f>'DATA HISTORICAL'!$C4148</f>
        <v>996.85</v>
      </c>
      <c r="D3503" s="53">
        <f t="shared" si="108"/>
        <v>-1.6037692005647004E-3</v>
      </c>
      <c r="E3503" s="53">
        <v>-8.1741468866369307E-3</v>
      </c>
      <c r="G3503" s="90">
        <v>3495</v>
      </c>
      <c r="H3503" s="90">
        <f t="shared" ca="1" si="109"/>
        <v>3.6467724456656085E-3</v>
      </c>
    </row>
    <row r="3504" spans="2:8" x14ac:dyDescent="0.3">
      <c r="B3504" s="58">
        <f>'DATA HISTORICAL'!$B4149</f>
        <v>40739</v>
      </c>
      <c r="C3504" s="60">
        <f>'DATA HISTORICAL'!$C4149</f>
        <v>998.45</v>
      </c>
      <c r="D3504" s="53">
        <f t="shared" si="108"/>
        <v>5.4734124442280228E-3</v>
      </c>
      <c r="E3504" s="53">
        <v>-8.1842815605595344E-3</v>
      </c>
      <c r="G3504" s="90">
        <v>3496</v>
      </c>
      <c r="H3504" s="90">
        <f t="shared" ca="1" si="109"/>
        <v>-4.6216855036602953E-3</v>
      </c>
    </row>
    <row r="3505" spans="2:8" x14ac:dyDescent="0.3">
      <c r="B3505" s="58">
        <f>'DATA HISTORICAL'!$B4150</f>
        <v>40738</v>
      </c>
      <c r="C3505" s="60">
        <f>'DATA HISTORICAL'!$C4150</f>
        <v>993</v>
      </c>
      <c r="D3505" s="53">
        <f t="shared" si="108"/>
        <v>1.158777871054876E-3</v>
      </c>
      <c r="E3505" s="53">
        <v>-8.2010449953838754E-3</v>
      </c>
      <c r="G3505" s="90">
        <v>3497</v>
      </c>
      <c r="H3505" s="90">
        <f t="shared" ca="1" si="109"/>
        <v>1.0868218276127998E-2</v>
      </c>
    </row>
    <row r="3506" spans="2:8" x14ac:dyDescent="0.3">
      <c r="B3506" s="58">
        <f>'DATA HISTORICAL'!$B4151</f>
        <v>40737</v>
      </c>
      <c r="C3506" s="60">
        <f>'DATA HISTORICAL'!$C4151</f>
        <v>991.85</v>
      </c>
      <c r="D3506" s="53">
        <f t="shared" si="108"/>
        <v>1.4266736029572444E-2</v>
      </c>
      <c r="E3506" s="53">
        <v>-8.2248126009007577E-3</v>
      </c>
      <c r="G3506" s="90">
        <v>3498</v>
      </c>
      <c r="H3506" s="90">
        <f t="shared" ca="1" si="109"/>
        <v>4.364261265931331E-2</v>
      </c>
    </row>
    <row r="3507" spans="2:8" x14ac:dyDescent="0.3">
      <c r="B3507" s="58">
        <f>'DATA HISTORICAL'!$B4152</f>
        <v>40736</v>
      </c>
      <c r="C3507" s="60">
        <f>'DATA HISTORICAL'!$C4152</f>
        <v>977.8</v>
      </c>
      <c r="D3507" s="53">
        <f t="shared" si="108"/>
        <v>-7.6673400643298233E-4</v>
      </c>
      <c r="E3507" s="53">
        <v>-8.2256340889564263E-3</v>
      </c>
      <c r="G3507" s="90">
        <v>3499</v>
      </c>
      <c r="H3507" s="90">
        <f t="shared" ca="1" si="109"/>
        <v>8.6652598945291398E-3</v>
      </c>
    </row>
    <row r="3508" spans="2:8" x14ac:dyDescent="0.3">
      <c r="B3508" s="58">
        <f>'DATA HISTORICAL'!$B4153</f>
        <v>40735</v>
      </c>
      <c r="C3508" s="60">
        <f>'DATA HISTORICAL'!$C4153</f>
        <v>978.55</v>
      </c>
      <c r="D3508" s="53">
        <f t="shared" si="108"/>
        <v>-3.1629451937798545E-3</v>
      </c>
      <c r="E3508" s="53">
        <v>-8.227554907572111E-3</v>
      </c>
      <c r="G3508" s="90">
        <v>3500</v>
      </c>
      <c r="H3508" s="90">
        <f t="shared" ca="1" si="109"/>
        <v>-2.4537742472207646E-2</v>
      </c>
    </row>
    <row r="3509" spans="2:8" x14ac:dyDescent="0.3">
      <c r="B3509" s="58">
        <f>'DATA HISTORICAL'!$B4154</f>
        <v>40732</v>
      </c>
      <c r="C3509" s="60">
        <f>'DATA HISTORICAL'!$C4154</f>
        <v>981.65</v>
      </c>
      <c r="D3509" s="53">
        <f t="shared" si="108"/>
        <v>-3.2037455254857131E-3</v>
      </c>
      <c r="E3509" s="53">
        <v>-8.2343498860830682E-3</v>
      </c>
      <c r="G3509" s="90">
        <v>3501</v>
      </c>
      <c r="H3509" s="90">
        <f t="shared" ca="1" si="109"/>
        <v>1.2652619599478108E-2</v>
      </c>
    </row>
    <row r="3510" spans="2:8" x14ac:dyDescent="0.3">
      <c r="B3510" s="58">
        <f>'DATA HISTORICAL'!$B4155</f>
        <v>40731</v>
      </c>
      <c r="C3510" s="60">
        <f>'DATA HISTORICAL'!$C4155</f>
        <v>984.8</v>
      </c>
      <c r="D3510" s="53">
        <f t="shared" si="108"/>
        <v>2.4412138117103414E-2</v>
      </c>
      <c r="E3510" s="53">
        <v>-8.2420965545489701E-3</v>
      </c>
      <c r="G3510" s="90">
        <v>3502</v>
      </c>
      <c r="H3510" s="90">
        <f t="shared" ca="1" si="109"/>
        <v>1.4439489258658324E-2</v>
      </c>
    </row>
    <row r="3511" spans="2:8" x14ac:dyDescent="0.3">
      <c r="B3511" s="58">
        <f>'DATA HISTORICAL'!$B4156</f>
        <v>40730</v>
      </c>
      <c r="C3511" s="60">
        <f>'DATA HISTORICAL'!$C4156</f>
        <v>961.05</v>
      </c>
      <c r="D3511" s="53">
        <f t="shared" si="108"/>
        <v>-2.2346378014163771E-3</v>
      </c>
      <c r="E3511" s="53">
        <v>-8.2523962896431761E-3</v>
      </c>
      <c r="G3511" s="90">
        <v>3503</v>
      </c>
      <c r="H3511" s="90">
        <f t="shared" ca="1" si="109"/>
        <v>4.5379628294962742E-3</v>
      </c>
    </row>
    <row r="3512" spans="2:8" x14ac:dyDescent="0.3">
      <c r="B3512" s="58">
        <f>'DATA HISTORICAL'!$B4157</f>
        <v>40729</v>
      </c>
      <c r="C3512" s="60">
        <f>'DATA HISTORICAL'!$C4157</f>
        <v>963.2</v>
      </c>
      <c r="D3512" s="53">
        <f t="shared" si="108"/>
        <v>1.3956997163498431E-2</v>
      </c>
      <c r="E3512" s="53">
        <v>-8.2674688917772528E-3</v>
      </c>
      <c r="G3512" s="90">
        <v>3504</v>
      </c>
      <c r="H3512" s="90">
        <f t="shared" ca="1" si="109"/>
        <v>2.1187336976928584E-2</v>
      </c>
    </row>
    <row r="3513" spans="2:8" x14ac:dyDescent="0.3">
      <c r="B3513" s="58">
        <f>'DATA HISTORICAL'!$B4158</f>
        <v>40728</v>
      </c>
      <c r="C3513" s="60">
        <f>'DATA HISTORICAL'!$C4158</f>
        <v>949.85</v>
      </c>
      <c r="D3513" s="53">
        <f t="shared" si="108"/>
        <v>1.4635183536780835E-2</v>
      </c>
      <c r="E3513" s="53">
        <v>-8.2802652910713807E-3</v>
      </c>
      <c r="G3513" s="90">
        <v>3505</v>
      </c>
      <c r="H3513" s="90">
        <f t="shared" ca="1" si="109"/>
        <v>-4.302971924846407E-4</v>
      </c>
    </row>
    <row r="3514" spans="2:8" x14ac:dyDescent="0.3">
      <c r="B3514" s="58">
        <f>'DATA HISTORICAL'!$B4159</f>
        <v>40725</v>
      </c>
      <c r="C3514" s="60">
        <f>'DATA HISTORICAL'!$C4159</f>
        <v>936.05</v>
      </c>
      <c r="D3514" s="53">
        <f t="shared" si="108"/>
        <v>6.5918403701257832E-3</v>
      </c>
      <c r="E3514" s="53">
        <v>-8.2955245614794587E-3</v>
      </c>
      <c r="G3514" s="90">
        <v>3506</v>
      </c>
      <c r="H3514" s="90">
        <f t="shared" ca="1" si="109"/>
        <v>-2.1180790772240806E-3</v>
      </c>
    </row>
    <row r="3515" spans="2:8" x14ac:dyDescent="0.3">
      <c r="B3515" s="58">
        <f>'DATA HISTORICAL'!$B4160</f>
        <v>40724</v>
      </c>
      <c r="C3515" s="60">
        <f>'DATA HISTORICAL'!$C4160</f>
        <v>929.9</v>
      </c>
      <c r="D3515" s="53">
        <f t="shared" si="108"/>
        <v>-2.8412809199970142E-2</v>
      </c>
      <c r="E3515" s="53">
        <v>-8.3109322298468638E-3</v>
      </c>
      <c r="G3515" s="90">
        <v>3507</v>
      </c>
      <c r="H3515" s="90">
        <f t="shared" ca="1" si="109"/>
        <v>-1.5252086673798369E-2</v>
      </c>
    </row>
    <row r="3516" spans="2:8" x14ac:dyDescent="0.3">
      <c r="B3516" s="58">
        <f>'DATA HISTORICAL'!$B4161</f>
        <v>40723</v>
      </c>
      <c r="C3516" s="60">
        <f>'DATA HISTORICAL'!$C4161</f>
        <v>956.7</v>
      </c>
      <c r="D3516" s="53">
        <f t="shared" si="108"/>
        <v>-5.3686506680688017E-3</v>
      </c>
      <c r="E3516" s="53">
        <v>-8.3168956126562724E-3</v>
      </c>
      <c r="G3516" s="90">
        <v>3508</v>
      </c>
      <c r="H3516" s="90">
        <f t="shared" ca="1" si="109"/>
        <v>3.5022336119960844E-3</v>
      </c>
    </row>
    <row r="3517" spans="2:8" x14ac:dyDescent="0.3">
      <c r="B3517" s="58">
        <f>'DATA HISTORICAL'!$B4162</f>
        <v>40722</v>
      </c>
      <c r="C3517" s="60">
        <f>'DATA HISTORICAL'!$C4162</f>
        <v>961.85</v>
      </c>
      <c r="D3517" s="53">
        <f t="shared" si="108"/>
        <v>-5.1981806379397665E-5</v>
      </c>
      <c r="E3517" s="53">
        <v>-8.3187245891854309E-3</v>
      </c>
      <c r="G3517" s="90">
        <v>3509</v>
      </c>
      <c r="H3517" s="90">
        <f t="shared" ca="1" si="109"/>
        <v>2.1986010404098165E-2</v>
      </c>
    </row>
    <row r="3518" spans="2:8" x14ac:dyDescent="0.3">
      <c r="B3518" s="58">
        <f>'DATA HISTORICAL'!$B4163</f>
        <v>40721</v>
      </c>
      <c r="C3518" s="60">
        <f>'DATA HISTORICAL'!$C4163</f>
        <v>961.9</v>
      </c>
      <c r="D3518" s="53">
        <f t="shared" si="108"/>
        <v>4.3759186309962443E-3</v>
      </c>
      <c r="E3518" s="53">
        <v>-8.3309113789324582E-3</v>
      </c>
      <c r="G3518" s="90">
        <v>3510</v>
      </c>
      <c r="H3518" s="90">
        <f t="shared" ca="1" si="109"/>
        <v>-7.196181083277923E-3</v>
      </c>
    </row>
    <row r="3519" spans="2:8" x14ac:dyDescent="0.3">
      <c r="B3519" s="58">
        <f>'DATA HISTORICAL'!$B4164</f>
        <v>40718</v>
      </c>
      <c r="C3519" s="60">
        <f>'DATA HISTORICAL'!$C4164</f>
        <v>957.7</v>
      </c>
      <c r="D3519" s="53">
        <f t="shared" si="108"/>
        <v>7.8343304349150829E-4</v>
      </c>
      <c r="E3519" s="53">
        <v>-8.3448632076633094E-3</v>
      </c>
      <c r="G3519" s="90">
        <v>3511</v>
      </c>
      <c r="H3519" s="90">
        <f t="shared" ca="1" si="109"/>
        <v>-4.3685233444815006E-3</v>
      </c>
    </row>
    <row r="3520" spans="2:8" x14ac:dyDescent="0.3">
      <c r="B3520" s="58">
        <f>'DATA HISTORICAL'!$B4165</f>
        <v>40717</v>
      </c>
      <c r="C3520" s="60">
        <f>'DATA HISTORICAL'!$C4165</f>
        <v>956.95</v>
      </c>
      <c r="D3520" s="53">
        <f t="shared" si="108"/>
        <v>-1.5656099982566531E-2</v>
      </c>
      <c r="E3520" s="53">
        <v>-8.3460797528768244E-3</v>
      </c>
      <c r="G3520" s="90">
        <v>3512</v>
      </c>
      <c r="H3520" s="90">
        <f t="shared" ca="1" si="109"/>
        <v>-1.0794729613766152E-2</v>
      </c>
    </row>
    <row r="3521" spans="2:8" x14ac:dyDescent="0.3">
      <c r="B3521" s="58">
        <f>'DATA HISTORICAL'!$B4166</f>
        <v>40716</v>
      </c>
      <c r="C3521" s="60">
        <f>'DATA HISTORICAL'!$C4166</f>
        <v>972.05</v>
      </c>
      <c r="D3521" s="53">
        <f t="shared" si="108"/>
        <v>4.3301268750940061E-3</v>
      </c>
      <c r="E3521" s="53">
        <v>-8.3498704358721081E-3</v>
      </c>
      <c r="G3521" s="90">
        <v>3513</v>
      </c>
      <c r="H3521" s="90">
        <f t="shared" ca="1" si="109"/>
        <v>-1.573918625700434E-2</v>
      </c>
    </row>
    <row r="3522" spans="2:8" x14ac:dyDescent="0.3">
      <c r="B3522" s="58">
        <f>'DATA HISTORICAL'!$B4167</f>
        <v>40715</v>
      </c>
      <c r="C3522" s="60">
        <f>'DATA HISTORICAL'!$C4167</f>
        <v>967.85</v>
      </c>
      <c r="D3522" s="53">
        <f t="shared" si="108"/>
        <v>2.3680571278801878E-2</v>
      </c>
      <c r="E3522" s="53">
        <v>-8.3696823068802224E-3</v>
      </c>
      <c r="G3522" s="90">
        <v>3514</v>
      </c>
      <c r="H3522" s="90">
        <f t="shared" ca="1" si="109"/>
        <v>8.4754174510777314E-3</v>
      </c>
    </row>
    <row r="3523" spans="2:8" x14ac:dyDescent="0.3">
      <c r="B3523" s="58">
        <f>'DATA HISTORICAL'!$B4168</f>
        <v>40714</v>
      </c>
      <c r="C3523" s="60">
        <f>'DATA HISTORICAL'!$C4168</f>
        <v>945.2</v>
      </c>
      <c r="D3523" s="53">
        <f t="shared" si="108"/>
        <v>-1.9539135530847549E-2</v>
      </c>
      <c r="E3523" s="53">
        <v>-8.3795337413581829E-3</v>
      </c>
      <c r="G3523" s="90">
        <v>3515</v>
      </c>
      <c r="H3523" s="90">
        <f t="shared" ca="1" si="109"/>
        <v>6.6360070766972139E-3</v>
      </c>
    </row>
    <row r="3524" spans="2:8" x14ac:dyDescent="0.3">
      <c r="B3524" s="58">
        <f>'DATA HISTORICAL'!$B4169</f>
        <v>40711</v>
      </c>
      <c r="C3524" s="60">
        <f>'DATA HISTORICAL'!$C4169</f>
        <v>963.85</v>
      </c>
      <c r="D3524" s="53">
        <f t="shared" si="108"/>
        <v>-4.3745558209269834E-2</v>
      </c>
      <c r="E3524" s="53">
        <v>-8.386892300619354E-3</v>
      </c>
      <c r="G3524" s="90">
        <v>3516</v>
      </c>
      <c r="H3524" s="90">
        <f t="shared" ca="1" si="109"/>
        <v>-1.6374894872838615E-2</v>
      </c>
    </row>
    <row r="3525" spans="2:8" x14ac:dyDescent="0.3">
      <c r="B3525" s="58">
        <f>'DATA HISTORICAL'!$B4170</f>
        <v>40710</v>
      </c>
      <c r="C3525" s="60">
        <f>'DATA HISTORICAL'!$C4170</f>
        <v>1006.95</v>
      </c>
      <c r="D3525" s="53">
        <f t="shared" si="108"/>
        <v>-2.5734822168815188E-2</v>
      </c>
      <c r="E3525" s="53">
        <v>-8.4023948367973611E-3</v>
      </c>
      <c r="G3525" s="90">
        <v>3517</v>
      </c>
      <c r="H3525" s="90">
        <f t="shared" ca="1" si="109"/>
        <v>-1.943510489252645E-2</v>
      </c>
    </row>
    <row r="3526" spans="2:8" x14ac:dyDescent="0.3">
      <c r="B3526" s="58">
        <f>'DATA HISTORICAL'!$B4171</f>
        <v>40709</v>
      </c>
      <c r="C3526" s="60">
        <f>'DATA HISTORICAL'!$C4171</f>
        <v>1033.2</v>
      </c>
      <c r="D3526" s="53">
        <f t="shared" si="108"/>
        <v>-1.4604410227565905E-2</v>
      </c>
      <c r="E3526" s="53">
        <v>-8.4488037201542569E-3</v>
      </c>
      <c r="G3526" s="90">
        <v>3518</v>
      </c>
      <c r="H3526" s="90">
        <f t="shared" ca="1" si="109"/>
        <v>-7.7262503514248194E-3</v>
      </c>
    </row>
    <row r="3527" spans="2:8" x14ac:dyDescent="0.3">
      <c r="B3527" s="58">
        <f>'DATA HISTORICAL'!$B4172</f>
        <v>40708</v>
      </c>
      <c r="C3527" s="60">
        <f>'DATA HISTORICAL'!$C4172</f>
        <v>1048.4000000000001</v>
      </c>
      <c r="D3527" s="53">
        <f t="shared" si="108"/>
        <v>2.09641180477435E-2</v>
      </c>
      <c r="E3527" s="53">
        <v>-8.4605315145869012E-3</v>
      </c>
      <c r="G3527" s="90">
        <v>3519</v>
      </c>
      <c r="H3527" s="90">
        <f t="shared" ca="1" si="109"/>
        <v>4.2865792940588662E-2</v>
      </c>
    </row>
    <row r="3528" spans="2:8" x14ac:dyDescent="0.3">
      <c r="B3528" s="58">
        <f>'DATA HISTORICAL'!$B4173</f>
        <v>40707</v>
      </c>
      <c r="C3528" s="60">
        <f>'DATA HISTORICAL'!$C4173</f>
        <v>1026.6500000000001</v>
      </c>
      <c r="D3528" s="53">
        <f t="shared" si="108"/>
        <v>3.1706570305162604E-3</v>
      </c>
      <c r="E3528" s="53">
        <v>-8.4792740315243371E-3</v>
      </c>
      <c r="G3528" s="90">
        <v>3520</v>
      </c>
      <c r="H3528" s="90">
        <f t="shared" ca="1" si="109"/>
        <v>3.2079251723417801E-2</v>
      </c>
    </row>
    <row r="3529" spans="2:8" x14ac:dyDescent="0.3">
      <c r="B3529" s="58">
        <f>'DATA HISTORICAL'!$B4174</f>
        <v>40704</v>
      </c>
      <c r="C3529" s="60">
        <f>'DATA HISTORICAL'!$C4174</f>
        <v>1023.4</v>
      </c>
      <c r="D3529" s="53">
        <f t="shared" ref="D3529:D3592" si="110">LN(C3529/C3530)</f>
        <v>-1.6282584967980712E-2</v>
      </c>
      <c r="E3529" s="53">
        <v>-8.4793027711445174E-3</v>
      </c>
      <c r="G3529" s="90">
        <v>3521</v>
      </c>
      <c r="H3529" s="90">
        <f t="shared" ref="H3529:H3592" ca="1" si="111">_xlfn.NORM.INV(RAND(),N$10,N$11)</f>
        <v>3.4345410387467065E-2</v>
      </c>
    </row>
    <row r="3530" spans="2:8" x14ac:dyDescent="0.3">
      <c r="B3530" s="58">
        <f>'DATA HISTORICAL'!$B4175</f>
        <v>40703</v>
      </c>
      <c r="C3530" s="60">
        <f>'DATA HISTORICAL'!$C4175</f>
        <v>1040.2</v>
      </c>
      <c r="D3530" s="53">
        <f t="shared" si="110"/>
        <v>9.5629803879498515E-3</v>
      </c>
      <c r="E3530" s="53">
        <v>-8.5013538201201642E-3</v>
      </c>
      <c r="G3530" s="90">
        <v>3522</v>
      </c>
      <c r="H3530" s="90">
        <f t="shared" ca="1" si="111"/>
        <v>-2.1456005982723843E-2</v>
      </c>
    </row>
    <row r="3531" spans="2:8" x14ac:dyDescent="0.3">
      <c r="B3531" s="58">
        <f>'DATA HISTORICAL'!$B4176</f>
        <v>40702</v>
      </c>
      <c r="C3531" s="60">
        <f>'DATA HISTORICAL'!$C4176</f>
        <v>1030.3</v>
      </c>
      <c r="D3531" s="53">
        <f t="shared" si="110"/>
        <v>1.0243492329966958E-2</v>
      </c>
      <c r="E3531" s="53">
        <v>-8.5021767474235156E-3</v>
      </c>
      <c r="G3531" s="90">
        <v>3523</v>
      </c>
      <c r="H3531" s="90">
        <f t="shared" ca="1" si="111"/>
        <v>7.122686354794309E-3</v>
      </c>
    </row>
    <row r="3532" spans="2:8" x14ac:dyDescent="0.3">
      <c r="B3532" s="58">
        <f>'DATA HISTORICAL'!$B4177</f>
        <v>40701</v>
      </c>
      <c r="C3532" s="60">
        <f>'DATA HISTORICAL'!$C4177</f>
        <v>1019.8</v>
      </c>
      <c r="D3532" s="53">
        <f t="shared" si="110"/>
        <v>5.5064052601364764E-3</v>
      </c>
      <c r="E3532" s="53">
        <v>-8.5106896679087302E-3</v>
      </c>
      <c r="G3532" s="90">
        <v>3524</v>
      </c>
      <c r="H3532" s="90">
        <f t="shared" ca="1" si="111"/>
        <v>-2.8127190341519382E-4</v>
      </c>
    </row>
    <row r="3533" spans="2:8" x14ac:dyDescent="0.3">
      <c r="B3533" s="58">
        <f>'DATA HISTORICAL'!$B4178</f>
        <v>40700</v>
      </c>
      <c r="C3533" s="60">
        <f>'DATA HISTORICAL'!$C4178</f>
        <v>1014.2</v>
      </c>
      <c r="D3533" s="53">
        <f t="shared" si="110"/>
        <v>-1.5410132995159377E-2</v>
      </c>
      <c r="E3533" s="53">
        <v>-8.511456954250882E-3</v>
      </c>
      <c r="G3533" s="90">
        <v>3525</v>
      </c>
      <c r="H3533" s="90">
        <f t="shared" ca="1" si="111"/>
        <v>-9.6613850759932236E-3</v>
      </c>
    </row>
    <row r="3534" spans="2:8" x14ac:dyDescent="0.3">
      <c r="B3534" s="58">
        <f>'DATA HISTORICAL'!$B4179</f>
        <v>40697</v>
      </c>
      <c r="C3534" s="60">
        <f>'DATA HISTORICAL'!$C4179</f>
        <v>1029.95</v>
      </c>
      <c r="D3534" s="53">
        <f t="shared" si="110"/>
        <v>-1.0959675179772106E-2</v>
      </c>
      <c r="E3534" s="53">
        <v>-8.515357271936197E-3</v>
      </c>
      <c r="G3534" s="90">
        <v>3526</v>
      </c>
      <c r="H3534" s="90">
        <f t="shared" ca="1" si="111"/>
        <v>-1.2390942651146737E-3</v>
      </c>
    </row>
    <row r="3535" spans="2:8" x14ac:dyDescent="0.3">
      <c r="B3535" s="58">
        <f>'DATA HISTORICAL'!$B4180</f>
        <v>40696</v>
      </c>
      <c r="C3535" s="60">
        <f>'DATA HISTORICAL'!$C4180</f>
        <v>1041.3</v>
      </c>
      <c r="D3535" s="53">
        <f t="shared" si="110"/>
        <v>5.3924059410169868E-3</v>
      </c>
      <c r="E3535" s="53">
        <v>-8.5267113140953931E-3</v>
      </c>
      <c r="G3535" s="90">
        <v>3527</v>
      </c>
      <c r="H3535" s="90">
        <f t="shared" ca="1" si="111"/>
        <v>1.8522553055609941E-2</v>
      </c>
    </row>
    <row r="3536" spans="2:8" x14ac:dyDescent="0.3">
      <c r="B3536" s="58">
        <f>'DATA HISTORICAL'!$B4181</f>
        <v>40695</v>
      </c>
      <c r="C3536" s="60">
        <f>'DATA HISTORICAL'!$C4181</f>
        <v>1035.7</v>
      </c>
      <c r="D3536" s="53">
        <f t="shared" si="110"/>
        <v>9.7997194284276182E-3</v>
      </c>
      <c r="E3536" s="53">
        <v>-8.5543219752207099E-3</v>
      </c>
      <c r="G3536" s="90">
        <v>3528</v>
      </c>
      <c r="H3536" s="90">
        <f t="shared" ca="1" si="111"/>
        <v>7.6003978059199116E-3</v>
      </c>
    </row>
    <row r="3537" spans="2:8" x14ac:dyDescent="0.3">
      <c r="B3537" s="58">
        <f>'DATA HISTORICAL'!$B4182</f>
        <v>40694</v>
      </c>
      <c r="C3537" s="60">
        <f>'DATA HISTORICAL'!$C4182</f>
        <v>1025.5999999999999</v>
      </c>
      <c r="D3537" s="53">
        <f t="shared" si="110"/>
        <v>7.2905521698815624E-3</v>
      </c>
      <c r="E3537" s="53">
        <v>-8.5639792950953208E-3</v>
      </c>
      <c r="G3537" s="90">
        <v>3529</v>
      </c>
      <c r="H3537" s="90">
        <f t="shared" ca="1" si="111"/>
        <v>-2.2129741469453828E-2</v>
      </c>
    </row>
    <row r="3538" spans="2:8" x14ac:dyDescent="0.3">
      <c r="B3538" s="58">
        <f>'DATA HISTORICAL'!$B4183</f>
        <v>40693</v>
      </c>
      <c r="C3538" s="60">
        <f>'DATA HISTORICAL'!$C4183</f>
        <v>1018.15</v>
      </c>
      <c r="D3538" s="53">
        <f t="shared" si="110"/>
        <v>-1.5979294548885938E-2</v>
      </c>
      <c r="E3538" s="53">
        <v>-8.5777205846644302E-3</v>
      </c>
      <c r="G3538" s="90">
        <v>3530</v>
      </c>
      <c r="H3538" s="90">
        <f t="shared" ca="1" si="111"/>
        <v>1.4824647375020591E-2</v>
      </c>
    </row>
    <row r="3539" spans="2:8" x14ac:dyDescent="0.3">
      <c r="B3539" s="58">
        <f>'DATA HISTORICAL'!$B4184</f>
        <v>40690</v>
      </c>
      <c r="C3539" s="60">
        <f>'DATA HISTORICAL'!$C4184</f>
        <v>1034.55</v>
      </c>
      <c r="D3539" s="53">
        <f t="shared" si="110"/>
        <v>8.7374955174973814E-3</v>
      </c>
      <c r="E3539" s="53">
        <v>-8.6087166765589015E-3</v>
      </c>
      <c r="G3539" s="90">
        <v>3531</v>
      </c>
      <c r="H3539" s="90">
        <f t="shared" ca="1" si="111"/>
        <v>1.7615736779934922E-2</v>
      </c>
    </row>
    <row r="3540" spans="2:8" x14ac:dyDescent="0.3">
      <c r="B3540" s="58">
        <f>'DATA HISTORICAL'!$B4185</f>
        <v>40689</v>
      </c>
      <c r="C3540" s="60">
        <f>'DATA HISTORICAL'!$C4185</f>
        <v>1025.55</v>
      </c>
      <c r="D3540" s="53">
        <f t="shared" si="110"/>
        <v>2.245217655400283E-3</v>
      </c>
      <c r="E3540" s="53">
        <v>-8.6320065042168239E-3</v>
      </c>
      <c r="G3540" s="90">
        <v>3532</v>
      </c>
      <c r="H3540" s="90">
        <f t="shared" ca="1" si="111"/>
        <v>2.2798393247624039E-2</v>
      </c>
    </row>
    <row r="3541" spans="2:8" x14ac:dyDescent="0.3">
      <c r="B3541" s="58">
        <f>'DATA HISTORICAL'!$B4186</f>
        <v>40688</v>
      </c>
      <c r="C3541" s="60">
        <f>'DATA HISTORICAL'!$C4186</f>
        <v>1023.25</v>
      </c>
      <c r="D3541" s="53">
        <f t="shared" si="110"/>
        <v>-2.9762652791562151E-3</v>
      </c>
      <c r="E3541" s="53">
        <v>-8.6436209781379208E-3</v>
      </c>
      <c r="G3541" s="90">
        <v>3533</v>
      </c>
      <c r="H3541" s="90">
        <f t="shared" ca="1" si="111"/>
        <v>7.2147295338714649E-3</v>
      </c>
    </row>
    <row r="3542" spans="2:8" x14ac:dyDescent="0.3">
      <c r="B3542" s="58">
        <f>'DATA HISTORICAL'!$B4187</f>
        <v>40687</v>
      </c>
      <c r="C3542" s="60">
        <f>'DATA HISTORICAL'!$C4187</f>
        <v>1026.3</v>
      </c>
      <c r="D3542" s="53">
        <f t="shared" si="110"/>
        <v>-6.7974625686405268E-3</v>
      </c>
      <c r="E3542" s="53">
        <v>-8.6523082039172746E-3</v>
      </c>
      <c r="G3542" s="90">
        <v>3534</v>
      </c>
      <c r="H3542" s="90">
        <f t="shared" ca="1" si="111"/>
        <v>-2.0546189760323373E-2</v>
      </c>
    </row>
    <row r="3543" spans="2:8" x14ac:dyDescent="0.3">
      <c r="B3543" s="58">
        <f>'DATA HISTORICAL'!$B4188</f>
        <v>40686</v>
      </c>
      <c r="C3543" s="60">
        <f>'DATA HISTORICAL'!$C4188</f>
        <v>1033.3</v>
      </c>
      <c r="D3543" s="53">
        <f t="shared" si="110"/>
        <v>-5.8049537233831154E-4</v>
      </c>
      <c r="E3543" s="53">
        <v>-8.6583851745571649E-3</v>
      </c>
      <c r="G3543" s="90">
        <v>3535</v>
      </c>
      <c r="H3543" s="90">
        <f t="shared" ca="1" si="111"/>
        <v>1.9361776398983017E-2</v>
      </c>
    </row>
    <row r="3544" spans="2:8" x14ac:dyDescent="0.3">
      <c r="B3544" s="58">
        <f>'DATA HISTORICAL'!$B4189</f>
        <v>40683</v>
      </c>
      <c r="C3544" s="60">
        <f>'DATA HISTORICAL'!$C4189</f>
        <v>1033.9000000000001</v>
      </c>
      <c r="D3544" s="53">
        <f t="shared" si="110"/>
        <v>8.3528069166021023E-3</v>
      </c>
      <c r="E3544" s="53">
        <v>-8.6632612847009002E-3</v>
      </c>
      <c r="G3544" s="90">
        <v>3536</v>
      </c>
      <c r="H3544" s="90">
        <f t="shared" ca="1" si="111"/>
        <v>-1.3369068771947934E-2</v>
      </c>
    </row>
    <row r="3545" spans="2:8" x14ac:dyDescent="0.3">
      <c r="B3545" s="58">
        <f>'DATA HISTORICAL'!$B4190</f>
        <v>40682</v>
      </c>
      <c r="C3545" s="60">
        <f>'DATA HISTORICAL'!$C4190</f>
        <v>1025.3</v>
      </c>
      <c r="D3545" s="53">
        <f t="shared" si="110"/>
        <v>-1.0478411581660451E-2</v>
      </c>
      <c r="E3545" s="53">
        <v>-8.6635650556966277E-3</v>
      </c>
      <c r="G3545" s="90">
        <v>3537</v>
      </c>
      <c r="H3545" s="90">
        <f t="shared" ca="1" si="111"/>
        <v>-3.6958711690124888E-3</v>
      </c>
    </row>
    <row r="3546" spans="2:8" x14ac:dyDescent="0.3">
      <c r="B3546" s="58">
        <f>'DATA HISTORICAL'!$B4191</f>
        <v>40681</v>
      </c>
      <c r="C3546" s="60">
        <f>'DATA HISTORICAL'!$C4191</f>
        <v>1036.0999999999999</v>
      </c>
      <c r="D3546" s="53">
        <f t="shared" si="110"/>
        <v>-2.7469234881831043E-3</v>
      </c>
      <c r="E3546" s="53">
        <v>-8.6730417665692398E-3</v>
      </c>
      <c r="G3546" s="90">
        <v>3538</v>
      </c>
      <c r="H3546" s="90">
        <f t="shared" ca="1" si="111"/>
        <v>-1.0673437450614349E-2</v>
      </c>
    </row>
    <row r="3547" spans="2:8" x14ac:dyDescent="0.3">
      <c r="B3547" s="58">
        <f>'DATA HISTORICAL'!$B4192</f>
        <v>40680</v>
      </c>
      <c r="C3547" s="60">
        <f>'DATA HISTORICAL'!$C4192</f>
        <v>1038.95</v>
      </c>
      <c r="D3547" s="53">
        <f t="shared" si="110"/>
        <v>-8.5775737350069457E-3</v>
      </c>
      <c r="E3547" s="53">
        <v>-8.673477393788119E-3</v>
      </c>
      <c r="G3547" s="90">
        <v>3539</v>
      </c>
      <c r="H3547" s="90">
        <f t="shared" ca="1" si="111"/>
        <v>3.4905585286775398E-2</v>
      </c>
    </row>
    <row r="3548" spans="2:8" x14ac:dyDescent="0.3">
      <c r="B3548" s="58">
        <f>'DATA HISTORICAL'!$B4193</f>
        <v>40679</v>
      </c>
      <c r="C3548" s="60">
        <f>'DATA HISTORICAL'!$C4193</f>
        <v>1047.9000000000001</v>
      </c>
      <c r="D3548" s="53">
        <f t="shared" si="110"/>
        <v>-2.8111989925251077E-3</v>
      </c>
      <c r="E3548" s="53">
        <v>-8.6750183926706421E-3</v>
      </c>
      <c r="G3548" s="90">
        <v>3540</v>
      </c>
      <c r="H3548" s="90">
        <f t="shared" ca="1" si="111"/>
        <v>1.0847816594703784E-3</v>
      </c>
    </row>
    <row r="3549" spans="2:8" x14ac:dyDescent="0.3">
      <c r="B3549" s="58">
        <f>'DATA HISTORICAL'!$B4194</f>
        <v>40676</v>
      </c>
      <c r="C3549" s="60">
        <f>'DATA HISTORICAL'!$C4194</f>
        <v>1050.8499999999999</v>
      </c>
      <c r="D3549" s="53">
        <f t="shared" si="110"/>
        <v>1.7761603642532889E-2</v>
      </c>
      <c r="E3549" s="53">
        <v>-8.6755894055502783E-3</v>
      </c>
      <c r="G3549" s="90">
        <v>3541</v>
      </c>
      <c r="H3549" s="90">
        <f t="shared" ca="1" si="111"/>
        <v>1.0397356658875232E-2</v>
      </c>
    </row>
    <row r="3550" spans="2:8" x14ac:dyDescent="0.3">
      <c r="B3550" s="58">
        <f>'DATA HISTORICAL'!$B4195</f>
        <v>40675</v>
      </c>
      <c r="C3550" s="60">
        <f>'DATA HISTORICAL'!$C4195</f>
        <v>1032.3499999999999</v>
      </c>
      <c r="D3550" s="53">
        <f t="shared" si="110"/>
        <v>-1.5713545009471239E-2</v>
      </c>
      <c r="E3550" s="53">
        <v>-8.6967358756265146E-3</v>
      </c>
      <c r="G3550" s="90">
        <v>3542</v>
      </c>
      <c r="H3550" s="90">
        <f t="shared" ca="1" si="111"/>
        <v>1.9796952824027738E-2</v>
      </c>
    </row>
    <row r="3551" spans="2:8" x14ac:dyDescent="0.3">
      <c r="B3551" s="58">
        <f>'DATA HISTORICAL'!$B4196</f>
        <v>40674</v>
      </c>
      <c r="C3551" s="60">
        <f>'DATA HISTORICAL'!$C4196</f>
        <v>1048.7</v>
      </c>
      <c r="D3551" s="53">
        <f t="shared" si="110"/>
        <v>-1.0483679778398904E-3</v>
      </c>
      <c r="E3551" s="53">
        <v>-8.7028780830330187E-3</v>
      </c>
      <c r="G3551" s="90">
        <v>3543</v>
      </c>
      <c r="H3551" s="90">
        <f t="shared" ca="1" si="111"/>
        <v>3.5914890152422703E-3</v>
      </c>
    </row>
    <row r="3552" spans="2:8" x14ac:dyDescent="0.3">
      <c r="B3552" s="58">
        <f>'DATA HISTORICAL'!$B4197</f>
        <v>40673</v>
      </c>
      <c r="C3552" s="60">
        <f>'DATA HISTORICAL'!$C4197</f>
        <v>1049.8</v>
      </c>
      <c r="D3552" s="53">
        <f t="shared" si="110"/>
        <v>1.0677876837505533E-2</v>
      </c>
      <c r="E3552" s="53">
        <v>-8.7142908045168641E-3</v>
      </c>
      <c r="G3552" s="90">
        <v>3544</v>
      </c>
      <c r="H3552" s="90">
        <f t="shared" ca="1" si="111"/>
        <v>2.6969830511862067E-2</v>
      </c>
    </row>
    <row r="3553" spans="2:8" x14ac:dyDescent="0.3">
      <c r="B3553" s="58">
        <f>'DATA HISTORICAL'!$B4198</f>
        <v>40672</v>
      </c>
      <c r="C3553" s="60">
        <f>'DATA HISTORICAL'!$C4198</f>
        <v>1038.6500000000001</v>
      </c>
      <c r="D3553" s="53">
        <f t="shared" si="110"/>
        <v>-6.6690903293184214E-3</v>
      </c>
      <c r="E3553" s="53">
        <v>-8.7238758480825667E-3</v>
      </c>
      <c r="G3553" s="90">
        <v>3545</v>
      </c>
      <c r="H3553" s="90">
        <f t="shared" ca="1" si="111"/>
        <v>-1.0437103895215422E-2</v>
      </c>
    </row>
    <row r="3554" spans="2:8" x14ac:dyDescent="0.3">
      <c r="B3554" s="58">
        <f>'DATA HISTORICAL'!$B4199</f>
        <v>40669</v>
      </c>
      <c r="C3554" s="60">
        <f>'DATA HISTORICAL'!$C4199</f>
        <v>1045.5999999999999</v>
      </c>
      <c r="D3554" s="53">
        <f t="shared" si="110"/>
        <v>3.7019617831556904E-2</v>
      </c>
      <c r="E3554" s="53">
        <v>-8.726968858559574E-3</v>
      </c>
      <c r="G3554" s="90">
        <v>3546</v>
      </c>
      <c r="H3554" s="90">
        <f t="shared" ca="1" si="111"/>
        <v>-2.4385218742443468E-2</v>
      </c>
    </row>
    <row r="3555" spans="2:8" x14ac:dyDescent="0.3">
      <c r="B3555" s="58">
        <f>'DATA HISTORICAL'!$B4200</f>
        <v>40668</v>
      </c>
      <c r="C3555" s="60">
        <f>'DATA HISTORICAL'!$C4200</f>
        <v>1007.6</v>
      </c>
      <c r="D3555" s="53">
        <f t="shared" si="110"/>
        <v>-7.4158643119302693E-3</v>
      </c>
      <c r="E3555" s="53">
        <v>-8.7304896011124958E-3</v>
      </c>
      <c r="G3555" s="90">
        <v>3547</v>
      </c>
      <c r="H3555" s="90">
        <f t="shared" ca="1" si="111"/>
        <v>-1.5672664140303511E-4</v>
      </c>
    </row>
    <row r="3556" spans="2:8" x14ac:dyDescent="0.3">
      <c r="B3556" s="58">
        <f>'DATA HISTORICAL'!$B4201</f>
        <v>40667</v>
      </c>
      <c r="C3556" s="60">
        <f>'DATA HISTORICAL'!$C4201</f>
        <v>1015.1</v>
      </c>
      <c r="D3556" s="53">
        <f t="shared" si="110"/>
        <v>-1.762525791922832E-2</v>
      </c>
      <c r="E3556" s="53">
        <v>-8.7395214485183042E-3</v>
      </c>
      <c r="G3556" s="90">
        <v>3548</v>
      </c>
      <c r="H3556" s="90">
        <f t="shared" ca="1" si="111"/>
        <v>1.5419571582898028E-2</v>
      </c>
    </row>
    <row r="3557" spans="2:8" x14ac:dyDescent="0.3">
      <c r="B3557" s="58">
        <f>'DATA HISTORICAL'!$B4202</f>
        <v>40666</v>
      </c>
      <c r="C3557" s="60">
        <f>'DATA HISTORICAL'!$C4202</f>
        <v>1033.1500000000001</v>
      </c>
      <c r="D3557" s="53">
        <f t="shared" si="110"/>
        <v>-2.9469994569066894E-2</v>
      </c>
      <c r="E3557" s="53">
        <v>-8.7408368585135867E-3</v>
      </c>
      <c r="G3557" s="90">
        <v>3549</v>
      </c>
      <c r="H3557" s="90">
        <f t="shared" ca="1" si="111"/>
        <v>7.7957824767077161E-3</v>
      </c>
    </row>
    <row r="3558" spans="2:8" x14ac:dyDescent="0.3">
      <c r="B3558" s="58">
        <f>'DATA HISTORICAL'!$B4203</f>
        <v>40665</v>
      </c>
      <c r="C3558" s="60">
        <f>'DATA HISTORICAL'!$C4203</f>
        <v>1064.05</v>
      </c>
      <c r="D3558" s="53">
        <f t="shared" si="110"/>
        <v>-2.3315193215684885E-2</v>
      </c>
      <c r="E3558" s="53">
        <v>-8.7460471713699632E-3</v>
      </c>
      <c r="G3558" s="90">
        <v>3550</v>
      </c>
      <c r="H3558" s="90">
        <f t="shared" ca="1" si="111"/>
        <v>2.2105093483853963E-2</v>
      </c>
    </row>
    <row r="3559" spans="2:8" x14ac:dyDescent="0.3">
      <c r="B3559" s="58">
        <f>'DATA HISTORICAL'!$B4204</f>
        <v>40662</v>
      </c>
      <c r="C3559" s="60">
        <f>'DATA HISTORICAL'!$C4204</f>
        <v>1089.1500000000001</v>
      </c>
      <c r="D3559" s="53">
        <f t="shared" si="110"/>
        <v>2.1812633887117863E-2</v>
      </c>
      <c r="E3559" s="53">
        <v>-8.7597868280402235E-3</v>
      </c>
      <c r="G3559" s="90">
        <v>3551</v>
      </c>
      <c r="H3559" s="90">
        <f t="shared" ca="1" si="111"/>
        <v>3.001674736973893E-2</v>
      </c>
    </row>
    <row r="3560" spans="2:8" x14ac:dyDescent="0.3">
      <c r="B3560" s="58">
        <f>'DATA HISTORICAL'!$B4205</f>
        <v>40661</v>
      </c>
      <c r="C3560" s="60">
        <f>'DATA HISTORICAL'!$C4205</f>
        <v>1065.6500000000001</v>
      </c>
      <c r="D3560" s="53">
        <f t="shared" si="110"/>
        <v>5.1745340786880454E-3</v>
      </c>
      <c r="E3560" s="53">
        <v>-8.7649963529675828E-3</v>
      </c>
      <c r="G3560" s="90">
        <v>3552</v>
      </c>
      <c r="H3560" s="90">
        <f t="shared" ca="1" si="111"/>
        <v>3.9754810247430317E-3</v>
      </c>
    </row>
    <row r="3561" spans="2:8" x14ac:dyDescent="0.3">
      <c r="B3561" s="58">
        <f>'DATA HISTORICAL'!$B4206</f>
        <v>40660</v>
      </c>
      <c r="C3561" s="60">
        <f>'DATA HISTORICAL'!$C4206</f>
        <v>1060.1500000000001</v>
      </c>
      <c r="D3561" s="53">
        <f t="shared" si="110"/>
        <v>1.3214405622955128E-3</v>
      </c>
      <c r="E3561" s="53">
        <v>-8.7784599464128168E-3</v>
      </c>
      <c r="G3561" s="90">
        <v>3553</v>
      </c>
      <c r="H3561" s="90">
        <f t="shared" ca="1" si="111"/>
        <v>8.1142022096849509E-3</v>
      </c>
    </row>
    <row r="3562" spans="2:8" x14ac:dyDescent="0.3">
      <c r="B3562" s="58">
        <f>'DATA HISTORICAL'!$B4207</f>
        <v>40659</v>
      </c>
      <c r="C3562" s="60">
        <f>'DATA HISTORICAL'!$C4207</f>
        <v>1058.75</v>
      </c>
      <c r="D3562" s="53">
        <f t="shared" si="110"/>
        <v>2.1914891976473016E-2</v>
      </c>
      <c r="E3562" s="53">
        <v>-8.7821718932267027E-3</v>
      </c>
      <c r="G3562" s="90">
        <v>3554</v>
      </c>
      <c r="H3562" s="90">
        <f t="shared" ca="1" si="111"/>
        <v>-1.7229460698730797E-2</v>
      </c>
    </row>
    <row r="3563" spans="2:8" x14ac:dyDescent="0.3">
      <c r="B3563" s="58">
        <f>'DATA HISTORICAL'!$B4208</f>
        <v>40658</v>
      </c>
      <c r="C3563" s="60">
        <f>'DATA HISTORICAL'!$C4208</f>
        <v>1035.8</v>
      </c>
      <c r="D3563" s="53">
        <f t="shared" si="110"/>
        <v>2.3591413764587402E-2</v>
      </c>
      <c r="E3563" s="53">
        <v>-8.7897228836313207E-3</v>
      </c>
      <c r="G3563" s="90">
        <v>3555</v>
      </c>
      <c r="H3563" s="90">
        <f t="shared" ca="1" si="111"/>
        <v>1.5486751639936739E-3</v>
      </c>
    </row>
    <row r="3564" spans="2:8" x14ac:dyDescent="0.3">
      <c r="B3564" s="58">
        <f>'DATA HISTORICAL'!$B4209</f>
        <v>40654</v>
      </c>
      <c r="C3564" s="60">
        <f>'DATA HISTORICAL'!$C4209</f>
        <v>1011.65</v>
      </c>
      <c r="D3564" s="53">
        <f t="shared" si="110"/>
        <v>-7.5825080179444306E-3</v>
      </c>
      <c r="E3564" s="53">
        <v>-8.8166294001680717E-3</v>
      </c>
      <c r="G3564" s="90">
        <v>3556</v>
      </c>
      <c r="H3564" s="90">
        <f t="shared" ca="1" si="111"/>
        <v>-6.4522367083635944E-3</v>
      </c>
    </row>
    <row r="3565" spans="2:8" x14ac:dyDescent="0.3">
      <c r="B3565" s="58">
        <f>'DATA HISTORICAL'!$B4210</f>
        <v>40653</v>
      </c>
      <c r="C3565" s="60">
        <f>'DATA HISTORICAL'!$C4210</f>
        <v>1019.35</v>
      </c>
      <c r="D3565" s="53">
        <f t="shared" si="110"/>
        <v>-1.2817876592039824E-2</v>
      </c>
      <c r="E3565" s="53">
        <v>-8.8378986165684285E-3</v>
      </c>
      <c r="G3565" s="90">
        <v>3557</v>
      </c>
      <c r="H3565" s="90">
        <f t="shared" ca="1" si="111"/>
        <v>5.1650317216477212E-2</v>
      </c>
    </row>
    <row r="3566" spans="2:8" x14ac:dyDescent="0.3">
      <c r="B3566" s="58">
        <f>'DATA HISTORICAL'!$B4211</f>
        <v>40652</v>
      </c>
      <c r="C3566" s="60">
        <f>'DATA HISTORICAL'!$C4211</f>
        <v>1032.5</v>
      </c>
      <c r="D3566" s="53">
        <f t="shared" si="110"/>
        <v>-1.2703471769355292E-2</v>
      </c>
      <c r="E3566" s="53">
        <v>-8.870836323517978E-3</v>
      </c>
      <c r="G3566" s="90">
        <v>3558</v>
      </c>
      <c r="H3566" s="90">
        <f t="shared" ca="1" si="111"/>
        <v>-3.9250364418982012E-2</v>
      </c>
    </row>
    <row r="3567" spans="2:8" x14ac:dyDescent="0.3">
      <c r="B3567" s="58">
        <f>'DATA HISTORICAL'!$B4212</f>
        <v>40651</v>
      </c>
      <c r="C3567" s="60">
        <f>'DATA HISTORICAL'!$C4212</f>
        <v>1045.7</v>
      </c>
      <c r="D3567" s="53">
        <f t="shared" si="110"/>
        <v>-2.3486017480642923E-2</v>
      </c>
      <c r="E3567" s="53">
        <v>-8.8741887156553283E-3</v>
      </c>
      <c r="G3567" s="90">
        <v>3559</v>
      </c>
      <c r="H3567" s="90">
        <f t="shared" ca="1" si="111"/>
        <v>7.1894383997832051E-3</v>
      </c>
    </row>
    <row r="3568" spans="2:8" x14ac:dyDescent="0.3">
      <c r="B3568" s="58">
        <f>'DATA HISTORICAL'!$B4213</f>
        <v>40648</v>
      </c>
      <c r="C3568" s="60">
        <f>'DATA HISTORICAL'!$C4213</f>
        <v>1070.55</v>
      </c>
      <c r="D3568" s="53">
        <f t="shared" si="110"/>
        <v>-1.4742965224258733E-2</v>
      </c>
      <c r="E3568" s="53">
        <v>-8.8773473780501405E-3</v>
      </c>
      <c r="G3568" s="90">
        <v>3560</v>
      </c>
      <c r="H3568" s="90">
        <f t="shared" ca="1" si="111"/>
        <v>8.0449321126068781E-3</v>
      </c>
    </row>
    <row r="3569" spans="2:8" x14ac:dyDescent="0.3">
      <c r="B3569" s="58">
        <f>'DATA HISTORICAL'!$B4214</f>
        <v>40646</v>
      </c>
      <c r="C3569" s="60">
        <f>'DATA HISTORICAL'!$C4214</f>
        <v>1086.45</v>
      </c>
      <c r="D3569" s="53">
        <f t="shared" si="110"/>
        <v>6.4175293545827147E-3</v>
      </c>
      <c r="E3569" s="53">
        <v>-8.9151716711793928E-3</v>
      </c>
      <c r="G3569" s="90">
        <v>3561</v>
      </c>
      <c r="H3569" s="90">
        <f t="shared" ca="1" si="111"/>
        <v>-5.6428058566856234E-3</v>
      </c>
    </row>
    <row r="3570" spans="2:8" x14ac:dyDescent="0.3">
      <c r="B3570" s="58">
        <f>'DATA HISTORICAL'!$B4215</f>
        <v>40644</v>
      </c>
      <c r="C3570" s="60">
        <f>'DATA HISTORICAL'!$C4215</f>
        <v>1079.5</v>
      </c>
      <c r="D3570" s="53">
        <f t="shared" si="110"/>
        <v>-1.1329739392795095E-2</v>
      </c>
      <c r="E3570" s="53">
        <v>-8.9326185734468141E-3</v>
      </c>
      <c r="G3570" s="90">
        <v>3562</v>
      </c>
      <c r="H3570" s="90">
        <f t="shared" ca="1" si="111"/>
        <v>-1.7517978726417686E-2</v>
      </c>
    </row>
    <row r="3571" spans="2:8" x14ac:dyDescent="0.3">
      <c r="B3571" s="58">
        <f>'DATA HISTORICAL'!$B4216</f>
        <v>40641</v>
      </c>
      <c r="C3571" s="60">
        <f>'DATA HISTORICAL'!$C4216</f>
        <v>1091.8</v>
      </c>
      <c r="D3571" s="53">
        <f t="shared" si="110"/>
        <v>-8.0277752780011907E-3</v>
      </c>
      <c r="E3571" s="53">
        <v>-8.9371365701564152E-3</v>
      </c>
      <c r="G3571" s="90">
        <v>3563</v>
      </c>
      <c r="H3571" s="90">
        <f t="shared" ca="1" si="111"/>
        <v>8.5957089418293164E-3</v>
      </c>
    </row>
    <row r="3572" spans="2:8" x14ac:dyDescent="0.3">
      <c r="B3572" s="58">
        <f>'DATA HISTORICAL'!$B4217</f>
        <v>40640</v>
      </c>
      <c r="C3572" s="60">
        <f>'DATA HISTORICAL'!$C4217</f>
        <v>1100.5999999999999</v>
      </c>
      <c r="D3572" s="53">
        <f t="shared" si="110"/>
        <v>-1.5820048247067908E-2</v>
      </c>
      <c r="E3572" s="53">
        <v>-8.9537791696473936E-3</v>
      </c>
      <c r="G3572" s="90">
        <v>3564</v>
      </c>
      <c r="H3572" s="90">
        <f t="shared" ca="1" si="111"/>
        <v>-3.1162163784382361E-2</v>
      </c>
    </row>
    <row r="3573" spans="2:8" x14ac:dyDescent="0.3">
      <c r="B3573" s="58">
        <f>'DATA HISTORICAL'!$B4218</f>
        <v>40639</v>
      </c>
      <c r="C3573" s="60">
        <f>'DATA HISTORICAL'!$C4218</f>
        <v>1118.1500000000001</v>
      </c>
      <c r="D3573" s="53">
        <f t="shared" si="110"/>
        <v>-1.3855188556620053E-2</v>
      </c>
      <c r="E3573" s="53">
        <v>-8.9755547937816534E-3</v>
      </c>
      <c r="G3573" s="90">
        <v>3565</v>
      </c>
      <c r="H3573" s="90">
        <f t="shared" ca="1" si="111"/>
        <v>-4.1753223154914346E-3</v>
      </c>
    </row>
    <row r="3574" spans="2:8" x14ac:dyDescent="0.3">
      <c r="B3574" s="58">
        <f>'DATA HISTORICAL'!$B4219</f>
        <v>40638</v>
      </c>
      <c r="C3574" s="60">
        <f>'DATA HISTORICAL'!$C4219</f>
        <v>1133.75</v>
      </c>
      <c r="D3574" s="53">
        <f t="shared" si="110"/>
        <v>1.2559243788048078E-2</v>
      </c>
      <c r="E3574" s="53">
        <v>-8.9756864282901482E-3</v>
      </c>
      <c r="G3574" s="90">
        <v>3566</v>
      </c>
      <c r="H3574" s="90">
        <f t="shared" ca="1" si="111"/>
        <v>4.9345098039247888E-3</v>
      </c>
    </row>
    <row r="3575" spans="2:8" x14ac:dyDescent="0.3">
      <c r="B3575" s="58">
        <f>'DATA HISTORICAL'!$B4220</f>
        <v>40637</v>
      </c>
      <c r="C3575" s="60">
        <f>'DATA HISTORICAL'!$C4220</f>
        <v>1119.5999999999999</v>
      </c>
      <c r="D3575" s="53">
        <f t="shared" si="110"/>
        <v>7.4859708131840442E-3</v>
      </c>
      <c r="E3575" s="53">
        <v>-8.9900299733628071E-3</v>
      </c>
      <c r="G3575" s="90">
        <v>3567</v>
      </c>
      <c r="H3575" s="90">
        <f t="shared" ca="1" si="111"/>
        <v>-2.2058151852471536E-2</v>
      </c>
    </row>
    <row r="3576" spans="2:8" x14ac:dyDescent="0.3">
      <c r="B3576" s="58">
        <f>'DATA HISTORICAL'!$B4221</f>
        <v>40634</v>
      </c>
      <c r="C3576" s="60">
        <f>'DATA HISTORICAL'!$C4221</f>
        <v>1111.25</v>
      </c>
      <c r="D3576" s="53">
        <f t="shared" si="110"/>
        <v>-1.8058678245477779E-2</v>
      </c>
      <c r="E3576" s="53">
        <v>-8.9999314005073661E-3</v>
      </c>
      <c r="G3576" s="90">
        <v>3568</v>
      </c>
      <c r="H3576" s="90">
        <f t="shared" ca="1" si="111"/>
        <v>3.2040361144317184E-3</v>
      </c>
    </row>
    <row r="3577" spans="2:8" x14ac:dyDescent="0.3">
      <c r="B3577" s="58">
        <f>'DATA HISTORICAL'!$B4222</f>
        <v>40633</v>
      </c>
      <c r="C3577" s="60">
        <f>'DATA HISTORICAL'!$C4222</f>
        <v>1131.5</v>
      </c>
      <c r="D3577" s="53">
        <f t="shared" si="110"/>
        <v>5.1391217128337972E-3</v>
      </c>
      <c r="E3577" s="53">
        <v>-9.0108347203967099E-3</v>
      </c>
      <c r="G3577" s="90">
        <v>3569</v>
      </c>
      <c r="H3577" s="90">
        <f t="shared" ca="1" si="111"/>
        <v>2.6848570309747403E-2</v>
      </c>
    </row>
    <row r="3578" spans="2:8" x14ac:dyDescent="0.3">
      <c r="B3578" s="58">
        <f>'DATA HISTORICAL'!$B4223</f>
        <v>40632</v>
      </c>
      <c r="C3578" s="60">
        <f>'DATA HISTORICAL'!$C4223</f>
        <v>1125.7</v>
      </c>
      <c r="D3578" s="53">
        <f t="shared" si="110"/>
        <v>3.323705200874294E-2</v>
      </c>
      <c r="E3578" s="53">
        <v>-9.0146721954676053E-3</v>
      </c>
      <c r="G3578" s="90">
        <v>3570</v>
      </c>
      <c r="H3578" s="90">
        <f t="shared" ca="1" si="111"/>
        <v>2.6241118108129321E-3</v>
      </c>
    </row>
    <row r="3579" spans="2:8" x14ac:dyDescent="0.3">
      <c r="B3579" s="58">
        <f>'DATA HISTORICAL'!$B4224</f>
        <v>40631</v>
      </c>
      <c r="C3579" s="60">
        <f>'DATA HISTORICAL'!$C4224</f>
        <v>1088.9000000000001</v>
      </c>
      <c r="D3579" s="53">
        <f t="shared" si="110"/>
        <v>1.7836520209592911E-2</v>
      </c>
      <c r="E3579" s="53">
        <v>-9.0403537334137508E-3</v>
      </c>
      <c r="G3579" s="90">
        <v>3571</v>
      </c>
      <c r="H3579" s="90">
        <f t="shared" ca="1" si="111"/>
        <v>3.2007902274109545E-2</v>
      </c>
    </row>
    <row r="3580" spans="2:8" x14ac:dyDescent="0.3">
      <c r="B3580" s="58">
        <f>'DATA HISTORICAL'!$B4225</f>
        <v>40630</v>
      </c>
      <c r="C3580" s="60">
        <f>'DATA HISTORICAL'!$C4225</f>
        <v>1069.6500000000001</v>
      </c>
      <c r="D3580" s="53">
        <f t="shared" si="110"/>
        <v>1.8112848372785956E-2</v>
      </c>
      <c r="E3580" s="53">
        <v>-9.0407041088681871E-3</v>
      </c>
      <c r="G3580" s="90">
        <v>3572</v>
      </c>
      <c r="H3580" s="90">
        <f t="shared" ca="1" si="111"/>
        <v>4.2793526171813036E-3</v>
      </c>
    </row>
    <row r="3581" spans="2:8" x14ac:dyDescent="0.3">
      <c r="B3581" s="58">
        <f>'DATA HISTORICAL'!$B4226</f>
        <v>40627</v>
      </c>
      <c r="C3581" s="60">
        <f>'DATA HISTORICAL'!$C4226</f>
        <v>1050.45</v>
      </c>
      <c r="D3581" s="53">
        <f t="shared" si="110"/>
        <v>1.6896672325374736E-2</v>
      </c>
      <c r="E3581" s="53">
        <v>-9.0444040197277028E-3</v>
      </c>
      <c r="G3581" s="90">
        <v>3573</v>
      </c>
      <c r="H3581" s="90">
        <f t="shared" ca="1" si="111"/>
        <v>3.8946105629445995E-3</v>
      </c>
    </row>
    <row r="3582" spans="2:8" x14ac:dyDescent="0.3">
      <c r="B3582" s="58">
        <f>'DATA HISTORICAL'!$B4227</f>
        <v>40626</v>
      </c>
      <c r="C3582" s="60">
        <f>'DATA HISTORICAL'!$C4227</f>
        <v>1032.8499999999999</v>
      </c>
      <c r="D3582" s="53">
        <f t="shared" si="110"/>
        <v>1.1000889758440846E-2</v>
      </c>
      <c r="E3582" s="53">
        <v>-9.0553540400716732E-3</v>
      </c>
      <c r="G3582" s="90">
        <v>3574</v>
      </c>
      <c r="H3582" s="90">
        <f t="shared" ca="1" si="111"/>
        <v>2.7392278381314059E-2</v>
      </c>
    </row>
    <row r="3583" spans="2:8" x14ac:dyDescent="0.3">
      <c r="B3583" s="58">
        <f>'DATA HISTORICAL'!$B4228</f>
        <v>40625</v>
      </c>
      <c r="C3583" s="60">
        <f>'DATA HISTORICAL'!$C4228</f>
        <v>1021.55</v>
      </c>
      <c r="D3583" s="53">
        <f t="shared" si="110"/>
        <v>-4.8933256016527905E-4</v>
      </c>
      <c r="E3583" s="53">
        <v>-9.0614529259356539E-3</v>
      </c>
      <c r="G3583" s="90">
        <v>3575</v>
      </c>
      <c r="H3583" s="90">
        <f t="shared" ca="1" si="111"/>
        <v>3.989042972187954E-2</v>
      </c>
    </row>
    <row r="3584" spans="2:8" x14ac:dyDescent="0.3">
      <c r="B3584" s="58">
        <f>'DATA HISTORICAL'!$B4229</f>
        <v>40624</v>
      </c>
      <c r="C3584" s="60">
        <f>'DATA HISTORICAL'!$C4229</f>
        <v>1022.05</v>
      </c>
      <c r="D3584" s="53">
        <f t="shared" si="110"/>
        <v>4.7566596980216308E-3</v>
      </c>
      <c r="E3584" s="53">
        <v>-9.0657452053136047E-3</v>
      </c>
      <c r="G3584" s="90">
        <v>3576</v>
      </c>
      <c r="H3584" s="90">
        <f t="shared" ca="1" si="111"/>
        <v>1.093591206554359E-2</v>
      </c>
    </row>
    <row r="3585" spans="2:8" x14ac:dyDescent="0.3">
      <c r="B3585" s="58">
        <f>'DATA HISTORICAL'!$B4230</f>
        <v>40623</v>
      </c>
      <c r="C3585" s="60">
        <f>'DATA HISTORICAL'!$C4230</f>
        <v>1017.2</v>
      </c>
      <c r="D3585" s="53">
        <f t="shared" si="110"/>
        <v>-1.9037065578526035E-2</v>
      </c>
      <c r="E3585" s="53">
        <v>-9.0774193112395825E-3</v>
      </c>
      <c r="G3585" s="90">
        <v>3577</v>
      </c>
      <c r="H3585" s="90">
        <f t="shared" ca="1" si="111"/>
        <v>1.9716169723021374E-2</v>
      </c>
    </row>
    <row r="3586" spans="2:8" x14ac:dyDescent="0.3">
      <c r="B3586" s="58">
        <f>'DATA HISTORICAL'!$B4231</f>
        <v>40620</v>
      </c>
      <c r="C3586" s="60">
        <f>'DATA HISTORICAL'!$C4231</f>
        <v>1036.75</v>
      </c>
      <c r="D3586" s="53">
        <f t="shared" si="110"/>
        <v>1.2764994840857007E-2</v>
      </c>
      <c r="E3586" s="53">
        <v>-9.0879129482576721E-3</v>
      </c>
      <c r="G3586" s="90">
        <v>3578</v>
      </c>
      <c r="H3586" s="90">
        <f t="shared" ca="1" si="111"/>
        <v>8.4616928719949639E-3</v>
      </c>
    </row>
    <row r="3587" spans="2:8" x14ac:dyDescent="0.3">
      <c r="B3587" s="58">
        <f>'DATA HISTORICAL'!$B4232</f>
        <v>40619</v>
      </c>
      <c r="C3587" s="60">
        <f>'DATA HISTORICAL'!$C4232</f>
        <v>1023.6</v>
      </c>
      <c r="D3587" s="53">
        <f t="shared" si="110"/>
        <v>-3.4621514528864624E-3</v>
      </c>
      <c r="E3587" s="53">
        <v>-9.0889240755252631E-3</v>
      </c>
      <c r="G3587" s="90">
        <v>3579</v>
      </c>
      <c r="H3587" s="90">
        <f t="shared" ca="1" si="111"/>
        <v>2.0388513512297739E-2</v>
      </c>
    </row>
    <row r="3588" spans="2:8" x14ac:dyDescent="0.3">
      <c r="B3588" s="58">
        <f>'DATA HISTORICAL'!$B4233</f>
        <v>40618</v>
      </c>
      <c r="C3588" s="60">
        <f>'DATA HISTORICAL'!$C4233</f>
        <v>1027.1500000000001</v>
      </c>
      <c r="D3588" s="53">
        <f t="shared" si="110"/>
        <v>7.475665724010417E-3</v>
      </c>
      <c r="E3588" s="53">
        <v>-9.0967375506040195E-3</v>
      </c>
      <c r="G3588" s="90">
        <v>3580</v>
      </c>
      <c r="H3588" s="90">
        <f t="shared" ca="1" si="111"/>
        <v>3.0232436375598203E-2</v>
      </c>
    </row>
    <row r="3589" spans="2:8" x14ac:dyDescent="0.3">
      <c r="B3589" s="58">
        <f>'DATA HISTORICAL'!$B4234</f>
        <v>40617</v>
      </c>
      <c r="C3589" s="60">
        <f>'DATA HISTORICAL'!$C4234</f>
        <v>1019.5</v>
      </c>
      <c r="D3589" s="53">
        <f t="shared" si="110"/>
        <v>-1.0634765335579383E-2</v>
      </c>
      <c r="E3589" s="53">
        <v>-9.1021630395632467E-3</v>
      </c>
      <c r="G3589" s="90">
        <v>3581</v>
      </c>
      <c r="H3589" s="90">
        <f t="shared" ca="1" si="111"/>
        <v>1.6377170044866416E-2</v>
      </c>
    </row>
    <row r="3590" spans="2:8" x14ac:dyDescent="0.3">
      <c r="B3590" s="58">
        <f>'DATA HISTORICAL'!$B4235</f>
        <v>40616</v>
      </c>
      <c r="C3590" s="60">
        <f>'DATA HISTORICAL'!$C4235</f>
        <v>1030.4000000000001</v>
      </c>
      <c r="D3590" s="53">
        <f t="shared" si="110"/>
        <v>1.5304799631082165E-2</v>
      </c>
      <c r="E3590" s="53">
        <v>-9.1048974904285492E-3</v>
      </c>
      <c r="G3590" s="90">
        <v>3582</v>
      </c>
      <c r="H3590" s="90">
        <f t="shared" ca="1" si="111"/>
        <v>3.0950188035022669E-2</v>
      </c>
    </row>
    <row r="3591" spans="2:8" x14ac:dyDescent="0.3">
      <c r="B3591" s="58">
        <f>'DATA HISTORICAL'!$B4236</f>
        <v>40613</v>
      </c>
      <c r="C3591" s="60">
        <f>'DATA HISTORICAL'!$C4236</f>
        <v>1014.75</v>
      </c>
      <c r="D3591" s="53">
        <f t="shared" si="110"/>
        <v>-2.8537708798809826E-3</v>
      </c>
      <c r="E3591" s="53">
        <v>-9.1113509056552407E-3</v>
      </c>
      <c r="G3591" s="90">
        <v>3583</v>
      </c>
      <c r="H3591" s="90">
        <f t="shared" ca="1" si="111"/>
        <v>1.4245236651980724E-2</v>
      </c>
    </row>
    <row r="3592" spans="2:8" x14ac:dyDescent="0.3">
      <c r="B3592" s="58">
        <f>'DATA HISTORICAL'!$B4237</f>
        <v>40612</v>
      </c>
      <c r="C3592" s="60">
        <f>'DATA HISTORICAL'!$C4237</f>
        <v>1017.65</v>
      </c>
      <c r="D3592" s="53">
        <f t="shared" si="110"/>
        <v>-2.306579679428683E-3</v>
      </c>
      <c r="E3592" s="53">
        <v>-9.1119324532508827E-3</v>
      </c>
      <c r="G3592" s="90">
        <v>3584</v>
      </c>
      <c r="H3592" s="90">
        <f t="shared" ca="1" si="111"/>
        <v>-3.5442057424065039E-2</v>
      </c>
    </row>
    <row r="3593" spans="2:8" x14ac:dyDescent="0.3">
      <c r="B3593" s="58">
        <f>'DATA HISTORICAL'!$B4238</f>
        <v>40611</v>
      </c>
      <c r="C3593" s="60">
        <f>'DATA HISTORICAL'!$C4238</f>
        <v>1020</v>
      </c>
      <c r="D3593" s="53">
        <f t="shared" ref="D3593:D3656" si="112">LN(C3593/C3594)</f>
        <v>-4.9387645922673046E-3</v>
      </c>
      <c r="E3593" s="53">
        <v>-9.1200787370861996E-3</v>
      </c>
      <c r="G3593" s="90">
        <v>3585</v>
      </c>
      <c r="H3593" s="90">
        <f t="shared" ref="H3593:H3656" ca="1" si="113">_xlfn.NORM.INV(RAND(),N$10,N$11)</f>
        <v>-1.0718853616623919E-2</v>
      </c>
    </row>
    <row r="3594" spans="2:8" x14ac:dyDescent="0.3">
      <c r="B3594" s="58">
        <f>'DATA HISTORICAL'!$B4239</f>
        <v>40610</v>
      </c>
      <c r="C3594" s="60">
        <f>'DATA HISTORICAL'!$C4239</f>
        <v>1025.05</v>
      </c>
      <c r="D3594" s="53">
        <f t="shared" si="112"/>
        <v>1.6079018809794409E-2</v>
      </c>
      <c r="E3594" s="53">
        <v>-9.124678403924431E-3</v>
      </c>
      <c r="G3594" s="90">
        <v>3586</v>
      </c>
      <c r="H3594" s="90">
        <f t="shared" ca="1" si="113"/>
        <v>3.2713452804026273E-2</v>
      </c>
    </row>
    <row r="3595" spans="2:8" x14ac:dyDescent="0.3">
      <c r="B3595" s="58">
        <f>'DATA HISTORICAL'!$B4240</f>
        <v>40609</v>
      </c>
      <c r="C3595" s="60">
        <f>'DATA HISTORICAL'!$C4240</f>
        <v>1008.7</v>
      </c>
      <c r="D3595" s="53">
        <f t="shared" si="112"/>
        <v>-1.0404023827324407E-3</v>
      </c>
      <c r="E3595" s="53">
        <v>-9.1271717680430128E-3</v>
      </c>
      <c r="G3595" s="90">
        <v>3587</v>
      </c>
      <c r="H3595" s="90">
        <f t="shared" ca="1" si="113"/>
        <v>-2.517360918310256E-2</v>
      </c>
    </row>
    <row r="3596" spans="2:8" x14ac:dyDescent="0.3">
      <c r="B3596" s="58">
        <f>'DATA HISTORICAL'!$B4241</f>
        <v>40606</v>
      </c>
      <c r="C3596" s="60">
        <f>'DATA HISTORICAL'!$C4241</f>
        <v>1009.75</v>
      </c>
      <c r="D3596" s="53">
        <f t="shared" si="112"/>
        <v>3.6098086820916656E-2</v>
      </c>
      <c r="E3596" s="53">
        <v>-9.1417753830664618E-3</v>
      </c>
      <c r="G3596" s="90">
        <v>3588</v>
      </c>
      <c r="H3596" s="90">
        <f t="shared" ca="1" si="113"/>
        <v>5.117754682282552E-3</v>
      </c>
    </row>
    <row r="3597" spans="2:8" x14ac:dyDescent="0.3">
      <c r="B3597" s="58">
        <f>'DATA HISTORICAL'!$B4242</f>
        <v>40605</v>
      </c>
      <c r="C3597" s="60">
        <f>'DATA HISTORICAL'!$C4242</f>
        <v>973.95</v>
      </c>
      <c r="D3597" s="53">
        <f t="shared" si="112"/>
        <v>1.8758970647578189E-2</v>
      </c>
      <c r="E3597" s="53">
        <v>-9.1465988813611218E-3</v>
      </c>
      <c r="G3597" s="90">
        <v>3589</v>
      </c>
      <c r="H3597" s="90">
        <f t="shared" ca="1" si="113"/>
        <v>6.4603888842221912E-3</v>
      </c>
    </row>
    <row r="3598" spans="2:8" x14ac:dyDescent="0.3">
      <c r="B3598" s="58">
        <f>'DATA HISTORICAL'!$B4243</f>
        <v>40603</v>
      </c>
      <c r="C3598" s="60">
        <f>'DATA HISTORICAL'!$C4243</f>
        <v>955.85</v>
      </c>
      <c r="D3598" s="53">
        <f t="shared" si="112"/>
        <v>2.6556565546890652E-2</v>
      </c>
      <c r="E3598" s="53">
        <v>-9.1685124221911624E-3</v>
      </c>
      <c r="G3598" s="90">
        <v>3590</v>
      </c>
      <c r="H3598" s="90">
        <f t="shared" ca="1" si="113"/>
        <v>1.0098806698246299E-2</v>
      </c>
    </row>
    <row r="3599" spans="2:8" x14ac:dyDescent="0.3">
      <c r="B3599" s="58">
        <f>'DATA HISTORICAL'!$B4244</f>
        <v>40602</v>
      </c>
      <c r="C3599" s="60">
        <f>'DATA HISTORICAL'!$C4244</f>
        <v>930.8</v>
      </c>
      <c r="D3599" s="53">
        <f t="shared" si="112"/>
        <v>-3.0055172285167929E-2</v>
      </c>
      <c r="E3599" s="53">
        <v>-9.1734925106050757E-3</v>
      </c>
      <c r="G3599" s="90">
        <v>3591</v>
      </c>
      <c r="H3599" s="90">
        <f t="shared" ca="1" si="113"/>
        <v>4.8745911536696121E-2</v>
      </c>
    </row>
    <row r="3600" spans="2:8" x14ac:dyDescent="0.3">
      <c r="B3600" s="58">
        <f>'DATA HISTORICAL'!$B4245</f>
        <v>40599</v>
      </c>
      <c r="C3600" s="60">
        <f>'DATA HISTORICAL'!$C4245</f>
        <v>959.2</v>
      </c>
      <c r="D3600" s="53">
        <f t="shared" si="112"/>
        <v>-8.2539986348021954E-3</v>
      </c>
      <c r="E3600" s="53">
        <v>-9.1743762760412694E-3</v>
      </c>
      <c r="G3600" s="90">
        <v>3592</v>
      </c>
      <c r="H3600" s="90">
        <f t="shared" ca="1" si="113"/>
        <v>8.6581017715252461E-3</v>
      </c>
    </row>
    <row r="3601" spans="2:8" x14ac:dyDescent="0.3">
      <c r="B3601" s="58">
        <f>'DATA HISTORICAL'!$B4246</f>
        <v>40598</v>
      </c>
      <c r="C3601" s="60">
        <f>'DATA HISTORICAL'!$C4246</f>
        <v>967.15</v>
      </c>
      <c r="D3601" s="53">
        <f t="shared" si="112"/>
        <v>-1.8078050428516589E-3</v>
      </c>
      <c r="E3601" s="53">
        <v>-9.1836315252837135E-3</v>
      </c>
      <c r="G3601" s="90">
        <v>3593</v>
      </c>
      <c r="H3601" s="90">
        <f t="shared" ca="1" si="113"/>
        <v>1.2079074552928972E-2</v>
      </c>
    </row>
    <row r="3602" spans="2:8" x14ac:dyDescent="0.3">
      <c r="B3602" s="58">
        <f>'DATA HISTORICAL'!$B4247</f>
        <v>40597</v>
      </c>
      <c r="C3602" s="60">
        <f>'DATA HISTORICAL'!$C4247</f>
        <v>968.9</v>
      </c>
      <c r="D3602" s="53">
        <f t="shared" si="112"/>
        <v>1.3037452554415251E-2</v>
      </c>
      <c r="E3602" s="53">
        <v>-9.1960572264489452E-3</v>
      </c>
      <c r="G3602" s="90">
        <v>3594</v>
      </c>
      <c r="H3602" s="90">
        <f t="shared" ca="1" si="113"/>
        <v>-1.0453044514488589E-2</v>
      </c>
    </row>
    <row r="3603" spans="2:8" x14ac:dyDescent="0.3">
      <c r="B3603" s="58">
        <f>'DATA HISTORICAL'!$B4248</f>
        <v>40596</v>
      </c>
      <c r="C3603" s="60">
        <f>'DATA HISTORICAL'!$C4248</f>
        <v>956.35</v>
      </c>
      <c r="D3603" s="53">
        <f t="shared" si="112"/>
        <v>-5.11056598331063E-3</v>
      </c>
      <c r="E3603" s="53">
        <v>-9.2144774828219218E-3</v>
      </c>
      <c r="G3603" s="90">
        <v>3595</v>
      </c>
      <c r="H3603" s="90">
        <f t="shared" ca="1" si="113"/>
        <v>8.4615725510474131E-3</v>
      </c>
    </row>
    <row r="3604" spans="2:8" x14ac:dyDescent="0.3">
      <c r="B3604" s="58">
        <f>'DATA HISTORICAL'!$B4249</f>
        <v>40595</v>
      </c>
      <c r="C3604" s="60">
        <f>'DATA HISTORICAL'!$C4249</f>
        <v>961.25</v>
      </c>
      <c r="D3604" s="53">
        <f t="shared" si="112"/>
        <v>1.5886249109455231E-2</v>
      </c>
      <c r="E3604" s="53">
        <v>-9.2371790820608164E-3</v>
      </c>
      <c r="G3604" s="90">
        <v>3596</v>
      </c>
      <c r="H3604" s="90">
        <f t="shared" ca="1" si="113"/>
        <v>2.5470494733770707E-2</v>
      </c>
    </row>
    <row r="3605" spans="2:8" x14ac:dyDescent="0.3">
      <c r="B3605" s="58">
        <f>'DATA HISTORICAL'!$B4250</f>
        <v>40592</v>
      </c>
      <c r="C3605" s="60">
        <f>'DATA HISTORICAL'!$C4250</f>
        <v>946.1</v>
      </c>
      <c r="D3605" s="53">
        <f t="shared" si="112"/>
        <v>6.6279836477942363E-3</v>
      </c>
      <c r="E3605" s="53">
        <v>-9.2544395521392056E-3</v>
      </c>
      <c r="G3605" s="90">
        <v>3597</v>
      </c>
      <c r="H3605" s="90">
        <f t="shared" ca="1" si="113"/>
        <v>7.4728951573320487E-3</v>
      </c>
    </row>
    <row r="3606" spans="2:8" x14ac:dyDescent="0.3">
      <c r="B3606" s="58">
        <f>'DATA HISTORICAL'!$B4251</f>
        <v>40591</v>
      </c>
      <c r="C3606" s="60">
        <f>'DATA HISTORICAL'!$C4251</f>
        <v>939.85</v>
      </c>
      <c r="D3606" s="53">
        <f t="shared" si="112"/>
        <v>1.4907099603455021E-3</v>
      </c>
      <c r="E3606" s="53">
        <v>-9.2627221324571678E-3</v>
      </c>
      <c r="G3606" s="90">
        <v>3598</v>
      </c>
      <c r="H3606" s="90">
        <f t="shared" ca="1" si="113"/>
        <v>1.9646942393401409E-2</v>
      </c>
    </row>
    <row r="3607" spans="2:8" x14ac:dyDescent="0.3">
      <c r="B3607" s="58">
        <f>'DATA HISTORICAL'!$B4252</f>
        <v>40590</v>
      </c>
      <c r="C3607" s="60">
        <f>'DATA HISTORICAL'!$C4252</f>
        <v>938.45</v>
      </c>
      <c r="D3607" s="53">
        <f t="shared" si="112"/>
        <v>-8.0129909496193686E-3</v>
      </c>
      <c r="E3607" s="53">
        <v>-9.2680217135575945E-3</v>
      </c>
      <c r="G3607" s="90">
        <v>3599</v>
      </c>
      <c r="H3607" s="90">
        <f t="shared" ca="1" si="113"/>
        <v>2.3764115427305488E-2</v>
      </c>
    </row>
    <row r="3608" spans="2:8" x14ac:dyDescent="0.3">
      <c r="B3608" s="58">
        <f>'DATA HISTORICAL'!$B4253</f>
        <v>40589</v>
      </c>
      <c r="C3608" s="60">
        <f>'DATA HISTORICAL'!$C4253</f>
        <v>946</v>
      </c>
      <c r="D3608" s="53">
        <f t="shared" si="112"/>
        <v>1.0199833435122674E-2</v>
      </c>
      <c r="E3608" s="53">
        <v>-9.2876169845782786E-3</v>
      </c>
      <c r="G3608" s="90">
        <v>3600</v>
      </c>
      <c r="H3608" s="90">
        <f t="shared" ca="1" si="113"/>
        <v>-9.5171443755900156E-3</v>
      </c>
    </row>
    <row r="3609" spans="2:8" x14ac:dyDescent="0.3">
      <c r="B3609" s="58">
        <f>'DATA HISTORICAL'!$B4254</f>
        <v>40588</v>
      </c>
      <c r="C3609" s="60">
        <f>'DATA HISTORICAL'!$C4254</f>
        <v>936.4</v>
      </c>
      <c r="D3609" s="53">
        <f t="shared" si="112"/>
        <v>2.3337273468129614E-2</v>
      </c>
      <c r="E3609" s="53">
        <v>-9.306540707657622E-3</v>
      </c>
      <c r="G3609" s="90">
        <v>3601</v>
      </c>
      <c r="H3609" s="90">
        <f t="shared" ca="1" si="113"/>
        <v>6.5270499597383748E-3</v>
      </c>
    </row>
    <row r="3610" spans="2:8" x14ac:dyDescent="0.3">
      <c r="B3610" s="58">
        <f>'DATA HISTORICAL'!$B4255</f>
        <v>40585</v>
      </c>
      <c r="C3610" s="60">
        <f>'DATA HISTORICAL'!$C4255</f>
        <v>914.8</v>
      </c>
      <c r="D3610" s="53">
        <f t="shared" si="112"/>
        <v>-2.7291103669837527E-3</v>
      </c>
      <c r="E3610" s="53">
        <v>-9.3122018263020988E-3</v>
      </c>
      <c r="G3610" s="90">
        <v>3602</v>
      </c>
      <c r="H3610" s="90">
        <f t="shared" ca="1" si="113"/>
        <v>1.2414098100664676E-3</v>
      </c>
    </row>
    <row r="3611" spans="2:8" x14ac:dyDescent="0.3">
      <c r="B3611" s="58">
        <f>'DATA HISTORICAL'!$B4256</f>
        <v>40584</v>
      </c>
      <c r="C3611" s="60">
        <f>'DATA HISTORICAL'!$C4256</f>
        <v>917.3</v>
      </c>
      <c r="D3611" s="53">
        <f t="shared" si="112"/>
        <v>2.2100042487893202E-2</v>
      </c>
      <c r="E3611" s="53">
        <v>-9.336709246778211E-3</v>
      </c>
      <c r="G3611" s="90">
        <v>3603</v>
      </c>
      <c r="H3611" s="90">
        <f t="shared" ca="1" si="113"/>
        <v>1.1198686990477932E-2</v>
      </c>
    </row>
    <row r="3612" spans="2:8" x14ac:dyDescent="0.3">
      <c r="B3612" s="58">
        <f>'DATA HISTORICAL'!$B4257</f>
        <v>40583</v>
      </c>
      <c r="C3612" s="60">
        <f>'DATA HISTORICAL'!$C4257</f>
        <v>897.25</v>
      </c>
      <c r="D3612" s="53">
        <f t="shared" si="112"/>
        <v>-6.0700012743008638E-2</v>
      </c>
      <c r="E3612" s="53">
        <v>-9.3381529894528536E-3</v>
      </c>
      <c r="G3612" s="90">
        <v>3604</v>
      </c>
      <c r="H3612" s="90">
        <f t="shared" ca="1" si="113"/>
        <v>1.381263048315721E-3</v>
      </c>
    </row>
    <row r="3613" spans="2:8" x14ac:dyDescent="0.3">
      <c r="B3613" s="58">
        <f>'DATA HISTORICAL'!$B4258</f>
        <v>40582</v>
      </c>
      <c r="C3613" s="60">
        <f>'DATA HISTORICAL'!$C4258</f>
        <v>953.4</v>
      </c>
      <c r="D3613" s="53">
        <f t="shared" si="112"/>
        <v>-4.1048526443347305E-2</v>
      </c>
      <c r="E3613" s="53">
        <v>-9.3514531539096151E-3</v>
      </c>
      <c r="G3613" s="90">
        <v>3605</v>
      </c>
      <c r="H3613" s="90">
        <f t="shared" ca="1" si="113"/>
        <v>-2.2109576575510131E-2</v>
      </c>
    </row>
    <row r="3614" spans="2:8" x14ac:dyDescent="0.3">
      <c r="B3614" s="58">
        <f>'DATA HISTORICAL'!$B4259</f>
        <v>40581</v>
      </c>
      <c r="C3614" s="60">
        <f>'DATA HISTORICAL'!$C4259</f>
        <v>993.35</v>
      </c>
      <c r="D3614" s="53">
        <f t="shared" si="112"/>
        <v>-1.3498855110341804E-2</v>
      </c>
      <c r="E3614" s="53">
        <v>-9.3620599898586974E-3</v>
      </c>
      <c r="G3614" s="90">
        <v>3606</v>
      </c>
      <c r="H3614" s="90">
        <f t="shared" ca="1" si="113"/>
        <v>-2.4553353817320628E-2</v>
      </c>
    </row>
    <row r="3615" spans="2:8" x14ac:dyDescent="0.3">
      <c r="B3615" s="58">
        <f>'DATA HISTORICAL'!$B4260</f>
        <v>40578</v>
      </c>
      <c r="C3615" s="60">
        <f>'DATA HISTORICAL'!$C4260</f>
        <v>1006.85</v>
      </c>
      <c r="D3615" s="53">
        <f t="shared" si="112"/>
        <v>1.5406409130400444E-3</v>
      </c>
      <c r="E3615" s="53">
        <v>-9.3897403498391426E-3</v>
      </c>
      <c r="G3615" s="90">
        <v>3607</v>
      </c>
      <c r="H3615" s="90">
        <f t="shared" ca="1" si="113"/>
        <v>-1.2535586077477252E-2</v>
      </c>
    </row>
    <row r="3616" spans="2:8" x14ac:dyDescent="0.3">
      <c r="B3616" s="58">
        <f>'DATA HISTORICAL'!$B4261</f>
        <v>40577</v>
      </c>
      <c r="C3616" s="60">
        <f>'DATA HISTORICAL'!$C4261</f>
        <v>1005.3</v>
      </c>
      <c r="D3616" s="53">
        <f t="shared" si="112"/>
        <v>5.4360156803624085E-3</v>
      </c>
      <c r="E3616" s="53">
        <v>-9.4011386877275813E-3</v>
      </c>
      <c r="G3616" s="90">
        <v>3608</v>
      </c>
      <c r="H3616" s="90">
        <f t="shared" ca="1" si="113"/>
        <v>8.9359158153118502E-3</v>
      </c>
    </row>
    <row r="3617" spans="2:8" x14ac:dyDescent="0.3">
      <c r="B3617" s="58">
        <f>'DATA HISTORICAL'!$B4262</f>
        <v>40576</v>
      </c>
      <c r="C3617" s="60">
        <f>'DATA HISTORICAL'!$C4262</f>
        <v>999.85</v>
      </c>
      <c r="D3617" s="53">
        <f t="shared" si="112"/>
        <v>3.7576135798920236E-3</v>
      </c>
      <c r="E3617" s="53">
        <v>-9.4112475746945135E-3</v>
      </c>
      <c r="G3617" s="90">
        <v>3609</v>
      </c>
      <c r="H3617" s="90">
        <f t="shared" ca="1" si="113"/>
        <v>6.5888114572869505E-3</v>
      </c>
    </row>
    <row r="3618" spans="2:8" x14ac:dyDescent="0.3">
      <c r="B3618" s="58">
        <f>'DATA HISTORICAL'!$B4263</f>
        <v>40575</v>
      </c>
      <c r="C3618" s="60">
        <f>'DATA HISTORICAL'!$C4263</f>
        <v>996.1</v>
      </c>
      <c r="D3618" s="53">
        <f t="shared" si="112"/>
        <v>-6.7037121330182593E-3</v>
      </c>
      <c r="E3618" s="53">
        <v>-9.4121334596892117E-3</v>
      </c>
      <c r="G3618" s="90">
        <v>3610</v>
      </c>
      <c r="H3618" s="90">
        <f t="shared" ca="1" si="113"/>
        <v>1.0121064577465044E-2</v>
      </c>
    </row>
    <row r="3619" spans="2:8" x14ac:dyDescent="0.3">
      <c r="B3619" s="58">
        <f>'DATA HISTORICAL'!$B4264</f>
        <v>40574</v>
      </c>
      <c r="C3619" s="60">
        <f>'DATA HISTORICAL'!$C4264</f>
        <v>1002.8</v>
      </c>
      <c r="D3619" s="53">
        <f t="shared" si="112"/>
        <v>4.8982953938715044E-3</v>
      </c>
      <c r="E3619" s="53">
        <v>-9.4159244180591628E-3</v>
      </c>
      <c r="G3619" s="90">
        <v>3611</v>
      </c>
      <c r="H3619" s="90">
        <f t="shared" ca="1" si="113"/>
        <v>3.583164192381974E-2</v>
      </c>
    </row>
    <row r="3620" spans="2:8" x14ac:dyDescent="0.3">
      <c r="B3620" s="58">
        <f>'DATA HISTORICAL'!$B4265</f>
        <v>40571</v>
      </c>
      <c r="C3620" s="60">
        <f>'DATA HISTORICAL'!$C4265</f>
        <v>997.9</v>
      </c>
      <c r="D3620" s="53">
        <f t="shared" si="112"/>
        <v>-6.9404847321194773E-3</v>
      </c>
      <c r="E3620" s="53">
        <v>-9.4285134650827704E-3</v>
      </c>
      <c r="G3620" s="90">
        <v>3612</v>
      </c>
      <c r="H3620" s="90">
        <f t="shared" ca="1" si="113"/>
        <v>-3.0118887023107808E-2</v>
      </c>
    </row>
    <row r="3621" spans="2:8" x14ac:dyDescent="0.3">
      <c r="B3621" s="58">
        <f>'DATA HISTORICAL'!$B4266</f>
        <v>40570</v>
      </c>
      <c r="C3621" s="60">
        <f>'DATA HISTORICAL'!$C4266</f>
        <v>1004.85</v>
      </c>
      <c r="D3621" s="53">
        <f t="shared" si="112"/>
        <v>-1.7998957262508053E-2</v>
      </c>
      <c r="E3621" s="53">
        <v>-9.4309448596294459E-3</v>
      </c>
      <c r="G3621" s="90">
        <v>3613</v>
      </c>
      <c r="H3621" s="90">
        <f t="shared" ca="1" si="113"/>
        <v>3.299354796742154E-3</v>
      </c>
    </row>
    <row r="3622" spans="2:8" x14ac:dyDescent="0.3">
      <c r="B3622" s="58">
        <f>'DATA HISTORICAL'!$B4267</f>
        <v>40568</v>
      </c>
      <c r="C3622" s="60">
        <f>'DATA HISTORICAL'!$C4267</f>
        <v>1023.1</v>
      </c>
      <c r="D3622" s="53">
        <f t="shared" si="112"/>
        <v>5.2429255018061234E-3</v>
      </c>
      <c r="E3622" s="53">
        <v>-9.4430356627175256E-3</v>
      </c>
      <c r="G3622" s="90">
        <v>3614</v>
      </c>
      <c r="H3622" s="90">
        <f t="shared" ca="1" si="113"/>
        <v>3.4022672647426894E-2</v>
      </c>
    </row>
    <row r="3623" spans="2:8" x14ac:dyDescent="0.3">
      <c r="B3623" s="58">
        <f>'DATA HISTORICAL'!$B4268</f>
        <v>40567</v>
      </c>
      <c r="C3623" s="60">
        <f>'DATA HISTORICAL'!$C4268</f>
        <v>1017.75</v>
      </c>
      <c r="D3623" s="53">
        <f t="shared" si="112"/>
        <v>-6.1222182163648805E-3</v>
      </c>
      <c r="E3623" s="53">
        <v>-9.4511273763775647E-3</v>
      </c>
      <c r="G3623" s="90">
        <v>3615</v>
      </c>
      <c r="H3623" s="90">
        <f t="shared" ca="1" si="113"/>
        <v>-5.9405328333166701E-3</v>
      </c>
    </row>
    <row r="3624" spans="2:8" x14ac:dyDescent="0.3">
      <c r="B3624" s="58">
        <f>'DATA HISTORICAL'!$B4269</f>
        <v>40564</v>
      </c>
      <c r="C3624" s="60">
        <f>'DATA HISTORICAL'!$C4269</f>
        <v>1024</v>
      </c>
      <c r="D3624" s="53">
        <f t="shared" si="112"/>
        <v>-9.5248071624858006E-3</v>
      </c>
      <c r="E3624" s="53">
        <v>-9.4676551256749168E-3</v>
      </c>
      <c r="G3624" s="90">
        <v>3616</v>
      </c>
      <c r="H3624" s="90">
        <f t="shared" ca="1" si="113"/>
        <v>1.9966348175111844E-2</v>
      </c>
    </row>
    <row r="3625" spans="2:8" x14ac:dyDescent="0.3">
      <c r="B3625" s="58">
        <f>'DATA HISTORICAL'!$B4270</f>
        <v>40563</v>
      </c>
      <c r="C3625" s="60">
        <f>'DATA HISTORICAL'!$C4270</f>
        <v>1033.8</v>
      </c>
      <c r="D3625" s="53">
        <f t="shared" si="112"/>
        <v>1.8944029078977506E-2</v>
      </c>
      <c r="E3625" s="53">
        <v>-9.4701816497590689E-3</v>
      </c>
      <c r="G3625" s="90">
        <v>3617</v>
      </c>
      <c r="H3625" s="90">
        <f t="shared" ca="1" si="113"/>
        <v>6.3531291795754612E-3</v>
      </c>
    </row>
    <row r="3626" spans="2:8" x14ac:dyDescent="0.3">
      <c r="B3626" s="58">
        <f>'DATA HISTORICAL'!$B4271</f>
        <v>40562</v>
      </c>
      <c r="C3626" s="60">
        <f>'DATA HISTORICAL'!$C4271</f>
        <v>1014.4</v>
      </c>
      <c r="D3626" s="53">
        <f t="shared" si="112"/>
        <v>-4.7697580164013263E-3</v>
      </c>
      <c r="E3626" s="53">
        <v>-9.4711337070488896E-3</v>
      </c>
      <c r="G3626" s="90">
        <v>3618</v>
      </c>
      <c r="H3626" s="90">
        <f t="shared" ca="1" si="113"/>
        <v>-1.6032107445652779E-2</v>
      </c>
    </row>
    <row r="3627" spans="2:8" x14ac:dyDescent="0.3">
      <c r="B3627" s="58">
        <f>'DATA HISTORICAL'!$B4272</f>
        <v>40561</v>
      </c>
      <c r="C3627" s="60">
        <f>'DATA HISTORICAL'!$C4272</f>
        <v>1019.25</v>
      </c>
      <c r="D3627" s="53">
        <f t="shared" si="112"/>
        <v>8.3744331784824828E-3</v>
      </c>
      <c r="E3627" s="53">
        <v>-9.4808258153943944E-3</v>
      </c>
      <c r="G3627" s="90">
        <v>3619</v>
      </c>
      <c r="H3627" s="90">
        <f t="shared" ca="1" si="113"/>
        <v>2.3345879740432781E-2</v>
      </c>
    </row>
    <row r="3628" spans="2:8" x14ac:dyDescent="0.3">
      <c r="B3628" s="58">
        <f>'DATA HISTORICAL'!$B4273</f>
        <v>40560</v>
      </c>
      <c r="C3628" s="60">
        <f>'DATA HISTORICAL'!$C4273</f>
        <v>1010.75</v>
      </c>
      <c r="D3628" s="53">
        <f t="shared" si="112"/>
        <v>-9.7960368885724892E-3</v>
      </c>
      <c r="E3628" s="53">
        <v>-9.482009128516114E-3</v>
      </c>
      <c r="G3628" s="90">
        <v>3620</v>
      </c>
      <c r="H3628" s="90">
        <f t="shared" ca="1" si="113"/>
        <v>1.396172309016137E-2</v>
      </c>
    </row>
    <row r="3629" spans="2:8" x14ac:dyDescent="0.3">
      <c r="B3629" s="58">
        <f>'DATA HISTORICAL'!$B4274</f>
        <v>40557</v>
      </c>
      <c r="C3629" s="60">
        <f>'DATA HISTORICAL'!$C4274</f>
        <v>1020.7</v>
      </c>
      <c r="D3629" s="53">
        <f t="shared" si="112"/>
        <v>-1.7433126571241006E-2</v>
      </c>
      <c r="E3629" s="53">
        <v>-9.4843795194667953E-3</v>
      </c>
      <c r="G3629" s="90">
        <v>3621</v>
      </c>
      <c r="H3629" s="90">
        <f t="shared" ca="1" si="113"/>
        <v>-1.2869820253916441E-2</v>
      </c>
    </row>
    <row r="3630" spans="2:8" x14ac:dyDescent="0.3">
      <c r="B3630" s="58">
        <f>'DATA HISTORICAL'!$B4275</f>
        <v>40556</v>
      </c>
      <c r="C3630" s="60">
        <f>'DATA HISTORICAL'!$C4275</f>
        <v>1038.6500000000001</v>
      </c>
      <c r="D3630" s="53">
        <f t="shared" si="112"/>
        <v>3.0251286694337003E-2</v>
      </c>
      <c r="E3630" s="53">
        <v>-9.508894094307694E-3</v>
      </c>
      <c r="G3630" s="90">
        <v>3622</v>
      </c>
      <c r="H3630" s="90">
        <f t="shared" ca="1" si="113"/>
        <v>-8.5452854838278421E-3</v>
      </c>
    </row>
    <row r="3631" spans="2:8" x14ac:dyDescent="0.3">
      <c r="B3631" s="58">
        <f>'DATA HISTORICAL'!$B4276</f>
        <v>40555</v>
      </c>
      <c r="C3631" s="60">
        <f>'DATA HISTORICAL'!$C4276</f>
        <v>1007.7</v>
      </c>
      <c r="D3631" s="53">
        <f t="shared" si="112"/>
        <v>-5.9364971019972047E-3</v>
      </c>
      <c r="E3631" s="53">
        <v>-9.5155946906413345E-3</v>
      </c>
      <c r="G3631" s="90">
        <v>3623</v>
      </c>
      <c r="H3631" s="90">
        <f t="shared" ca="1" si="113"/>
        <v>1.9892183780876486E-2</v>
      </c>
    </row>
    <row r="3632" spans="2:8" x14ac:dyDescent="0.3">
      <c r="B3632" s="58">
        <f>'DATA HISTORICAL'!$B4277</f>
        <v>40554</v>
      </c>
      <c r="C3632" s="60">
        <f>'DATA HISTORICAL'!$C4277</f>
        <v>1013.7</v>
      </c>
      <c r="D3632" s="53">
        <f t="shared" si="112"/>
        <v>1.8167386162548437E-2</v>
      </c>
      <c r="E3632" s="53">
        <v>-9.5384103342613415E-3</v>
      </c>
      <c r="G3632" s="90">
        <v>3624</v>
      </c>
      <c r="H3632" s="90">
        <f t="shared" ca="1" si="113"/>
        <v>1.5437807689654484E-2</v>
      </c>
    </row>
    <row r="3633" spans="2:8" x14ac:dyDescent="0.3">
      <c r="B3633" s="58">
        <f>'DATA HISTORICAL'!$B4278</f>
        <v>40553</v>
      </c>
      <c r="C3633" s="60">
        <f>'DATA HISTORICAL'!$C4278</f>
        <v>995.45</v>
      </c>
      <c r="D3633" s="53">
        <f t="shared" si="112"/>
        <v>7.7652669343055095E-3</v>
      </c>
      <c r="E3633" s="53">
        <v>-9.5457575366950705E-3</v>
      </c>
      <c r="G3633" s="90">
        <v>3625</v>
      </c>
      <c r="H3633" s="90">
        <f t="shared" ca="1" si="113"/>
        <v>-1.3173777799520253E-2</v>
      </c>
    </row>
    <row r="3634" spans="2:8" x14ac:dyDescent="0.3">
      <c r="B3634" s="58">
        <f>'DATA HISTORICAL'!$B4279</f>
        <v>40550</v>
      </c>
      <c r="C3634" s="60">
        <f>'DATA HISTORICAL'!$C4279</f>
        <v>987.75</v>
      </c>
      <c r="D3634" s="53">
        <f t="shared" si="112"/>
        <v>-2.3117210768835651E-2</v>
      </c>
      <c r="E3634" s="53">
        <v>-9.5570150613178764E-3</v>
      </c>
      <c r="G3634" s="90">
        <v>3626</v>
      </c>
      <c r="H3634" s="90">
        <f t="shared" ca="1" si="113"/>
        <v>2.2606634298720722E-2</v>
      </c>
    </row>
    <row r="3635" spans="2:8" x14ac:dyDescent="0.3">
      <c r="B3635" s="58">
        <f>'DATA HISTORICAL'!$B4280</f>
        <v>40549</v>
      </c>
      <c r="C3635" s="60">
        <f>'DATA HISTORICAL'!$C4280</f>
        <v>1010.85</v>
      </c>
      <c r="D3635" s="53">
        <f t="shared" si="112"/>
        <v>-5.9247429701775781E-2</v>
      </c>
      <c r="E3635" s="53">
        <v>-9.5788794488467031E-3</v>
      </c>
      <c r="G3635" s="90">
        <v>3627</v>
      </c>
      <c r="H3635" s="90">
        <f t="shared" ca="1" si="113"/>
        <v>-5.6824597153807841E-3</v>
      </c>
    </row>
    <row r="3636" spans="2:8" x14ac:dyDescent="0.3">
      <c r="B3636" s="58">
        <f>'DATA HISTORICAL'!$B4281</f>
        <v>40548</v>
      </c>
      <c r="C3636" s="60">
        <f>'DATA HISTORICAL'!$C4281</f>
        <v>1072.55</v>
      </c>
      <c r="D3636" s="53">
        <f t="shared" si="112"/>
        <v>-1.632217486806915E-2</v>
      </c>
      <c r="E3636" s="53">
        <v>-9.588371704757806E-3</v>
      </c>
      <c r="G3636" s="90">
        <v>3628</v>
      </c>
      <c r="H3636" s="90">
        <f t="shared" ca="1" si="113"/>
        <v>-1.0956641779198414E-2</v>
      </c>
    </row>
    <row r="3637" spans="2:8" x14ac:dyDescent="0.3">
      <c r="B3637" s="58">
        <f>'DATA HISTORICAL'!$B4282</f>
        <v>40547</v>
      </c>
      <c r="C3637" s="60">
        <f>'DATA HISTORICAL'!$C4282</f>
        <v>1090.2</v>
      </c>
      <c r="D3637" s="53">
        <f t="shared" si="112"/>
        <v>2.2957905303759413E-3</v>
      </c>
      <c r="E3637" s="53">
        <v>-9.6103392926813504E-3</v>
      </c>
      <c r="G3637" s="90">
        <v>3629</v>
      </c>
      <c r="H3637" s="90">
        <f t="shared" ca="1" si="113"/>
        <v>7.7239038269980194E-3</v>
      </c>
    </row>
    <row r="3638" spans="2:8" x14ac:dyDescent="0.3">
      <c r="B3638" s="58">
        <f>'DATA HISTORICAL'!$B4283</f>
        <v>40546</v>
      </c>
      <c r="C3638" s="60">
        <f>'DATA HISTORICAL'!$C4283</f>
        <v>1087.7</v>
      </c>
      <c r="D3638" s="53">
        <f t="shared" si="112"/>
        <v>3.1768713843290755E-3</v>
      </c>
      <c r="E3638" s="53">
        <v>-9.6105432476700503E-3</v>
      </c>
      <c r="G3638" s="90">
        <v>3630</v>
      </c>
      <c r="H3638" s="90">
        <f t="shared" ca="1" si="113"/>
        <v>1.8132454842362975E-3</v>
      </c>
    </row>
    <row r="3639" spans="2:8" x14ac:dyDescent="0.3">
      <c r="B3639" s="58">
        <f>'DATA HISTORICAL'!$B4284</f>
        <v>40543</v>
      </c>
      <c r="C3639" s="60">
        <f>'DATA HISTORICAL'!$C4284</f>
        <v>1084.25</v>
      </c>
      <c r="D3639" s="53">
        <f t="shared" si="112"/>
        <v>1.4024563479831323E-2</v>
      </c>
      <c r="E3639" s="53">
        <v>-9.6240617090306031E-3</v>
      </c>
      <c r="G3639" s="90">
        <v>3631</v>
      </c>
      <c r="H3639" s="90">
        <f t="shared" ca="1" si="113"/>
        <v>2.8591930163490521E-2</v>
      </c>
    </row>
    <row r="3640" spans="2:8" x14ac:dyDescent="0.3">
      <c r="B3640" s="58">
        <f>'DATA HISTORICAL'!$B4285</f>
        <v>40542</v>
      </c>
      <c r="C3640" s="60">
        <f>'DATA HISTORICAL'!$C4285</f>
        <v>1069.1500000000001</v>
      </c>
      <c r="D3640" s="53">
        <f t="shared" si="112"/>
        <v>-1.3085948495417431E-3</v>
      </c>
      <c r="E3640" s="53">
        <v>-9.6425588679254787E-3</v>
      </c>
      <c r="G3640" s="90">
        <v>3632</v>
      </c>
      <c r="H3640" s="90">
        <f t="shared" ca="1" si="113"/>
        <v>-1.0434188131704016E-2</v>
      </c>
    </row>
    <row r="3641" spans="2:8" x14ac:dyDescent="0.3">
      <c r="B3641" s="58">
        <f>'DATA HISTORICAL'!$B4286</f>
        <v>40541</v>
      </c>
      <c r="C3641" s="60">
        <f>'DATA HISTORICAL'!$C4286</f>
        <v>1070.55</v>
      </c>
      <c r="D3641" s="53">
        <f t="shared" si="112"/>
        <v>1.54852128240426E-2</v>
      </c>
      <c r="E3641" s="53">
        <v>-9.6734024216179482E-3</v>
      </c>
      <c r="G3641" s="90">
        <v>3633</v>
      </c>
      <c r="H3641" s="90">
        <f t="shared" ca="1" si="113"/>
        <v>1.7423221112485371E-2</v>
      </c>
    </row>
    <row r="3642" spans="2:8" x14ac:dyDescent="0.3">
      <c r="B3642" s="58">
        <f>'DATA HISTORICAL'!$B4287</f>
        <v>40540</v>
      </c>
      <c r="C3642" s="60">
        <f>'DATA HISTORICAL'!$C4287</f>
        <v>1054.0999999999999</v>
      </c>
      <c r="D3642" s="53">
        <f t="shared" si="112"/>
        <v>-4.742258352258537E-4</v>
      </c>
      <c r="E3642" s="53">
        <v>-9.6981833175081092E-3</v>
      </c>
      <c r="G3642" s="90">
        <v>3634</v>
      </c>
      <c r="H3642" s="90">
        <f t="shared" ca="1" si="113"/>
        <v>4.643036231458255E-3</v>
      </c>
    </row>
    <row r="3643" spans="2:8" x14ac:dyDescent="0.3">
      <c r="B3643" s="58">
        <f>'DATA HISTORICAL'!$B4288</f>
        <v>40539</v>
      </c>
      <c r="C3643" s="60">
        <f>'DATA HISTORICAL'!$C4288</f>
        <v>1054.5999999999999</v>
      </c>
      <c r="D3643" s="53">
        <f t="shared" si="112"/>
        <v>3.8953068113143112E-3</v>
      </c>
      <c r="E3643" s="53">
        <v>-9.7069579085632979E-3</v>
      </c>
      <c r="G3643" s="90">
        <v>3635</v>
      </c>
      <c r="H3643" s="90">
        <f t="shared" ca="1" si="113"/>
        <v>5.239850382955142E-2</v>
      </c>
    </row>
    <row r="3644" spans="2:8" x14ac:dyDescent="0.3">
      <c r="B3644" s="58">
        <f>'DATA HISTORICAL'!$B4289</f>
        <v>40536</v>
      </c>
      <c r="C3644" s="60">
        <f>'DATA HISTORICAL'!$C4289</f>
        <v>1050.5</v>
      </c>
      <c r="D3644" s="53">
        <f t="shared" si="112"/>
        <v>-3.4210809760882662E-3</v>
      </c>
      <c r="E3644" s="53">
        <v>-9.7550469726277369E-3</v>
      </c>
      <c r="G3644" s="90">
        <v>3636</v>
      </c>
      <c r="H3644" s="90">
        <f t="shared" ca="1" si="113"/>
        <v>1.3106951110444787E-2</v>
      </c>
    </row>
    <row r="3645" spans="2:8" x14ac:dyDescent="0.3">
      <c r="B3645" s="58">
        <f>'DATA HISTORICAL'!$B4290</f>
        <v>40535</v>
      </c>
      <c r="C3645" s="60">
        <f>'DATA HISTORICAL'!$C4290</f>
        <v>1054.0999999999999</v>
      </c>
      <c r="D3645" s="53">
        <f t="shared" si="112"/>
        <v>-9.0190671569719948E-3</v>
      </c>
      <c r="E3645" s="53">
        <v>-9.7745783804499744E-3</v>
      </c>
      <c r="G3645" s="90">
        <v>3637</v>
      </c>
      <c r="H3645" s="90">
        <f t="shared" ca="1" si="113"/>
        <v>-2.2803027181713627E-2</v>
      </c>
    </row>
    <row r="3646" spans="2:8" x14ac:dyDescent="0.3">
      <c r="B3646" s="58">
        <f>'DATA HISTORICAL'!$B4291</f>
        <v>40534</v>
      </c>
      <c r="C3646" s="60">
        <f>'DATA HISTORICAL'!$C4291</f>
        <v>1063.6500000000001</v>
      </c>
      <c r="D3646" s="53">
        <f t="shared" si="112"/>
        <v>-8.752074212582955E-3</v>
      </c>
      <c r="E3646" s="53">
        <v>-9.7795043575632599E-3</v>
      </c>
      <c r="G3646" s="90">
        <v>3638</v>
      </c>
      <c r="H3646" s="90">
        <f t="shared" ca="1" si="113"/>
        <v>3.4927286208651119E-2</v>
      </c>
    </row>
    <row r="3647" spans="2:8" x14ac:dyDescent="0.3">
      <c r="B3647" s="58">
        <f>'DATA HISTORICAL'!$B4292</f>
        <v>40533</v>
      </c>
      <c r="C3647" s="60">
        <f>'DATA HISTORICAL'!$C4292</f>
        <v>1073</v>
      </c>
      <c r="D3647" s="53">
        <f t="shared" si="112"/>
        <v>-1.4900356640225887E-3</v>
      </c>
      <c r="E3647" s="53">
        <v>-9.7915149660644293E-3</v>
      </c>
      <c r="G3647" s="90">
        <v>3639</v>
      </c>
      <c r="H3647" s="90">
        <f t="shared" ca="1" si="113"/>
        <v>-6.804634157301071E-3</v>
      </c>
    </row>
    <row r="3648" spans="2:8" x14ac:dyDescent="0.3">
      <c r="B3648" s="58">
        <f>'DATA HISTORICAL'!$B4293</f>
        <v>40532</v>
      </c>
      <c r="C3648" s="60">
        <f>'DATA HISTORICAL'!$C4293</f>
        <v>1074.5999999999999</v>
      </c>
      <c r="D3648" s="53">
        <f t="shared" si="112"/>
        <v>1.3208004289983906E-2</v>
      </c>
      <c r="E3648" s="53">
        <v>-9.798839387166176E-3</v>
      </c>
      <c r="G3648" s="90">
        <v>3640</v>
      </c>
      <c r="H3648" s="90">
        <f t="shared" ca="1" si="113"/>
        <v>2.077177240157712E-2</v>
      </c>
    </row>
    <row r="3649" spans="2:8" x14ac:dyDescent="0.3">
      <c r="B3649" s="58">
        <f>'DATA HISTORICAL'!$B4294</f>
        <v>40528</v>
      </c>
      <c r="C3649" s="60">
        <f>'DATA HISTORICAL'!$C4294</f>
        <v>1060.5</v>
      </c>
      <c r="D3649" s="53">
        <f t="shared" si="112"/>
        <v>6.7174669554481529E-3</v>
      </c>
      <c r="E3649" s="53">
        <v>-9.8128578324619496E-3</v>
      </c>
      <c r="G3649" s="90">
        <v>3641</v>
      </c>
      <c r="H3649" s="90">
        <f t="shared" ca="1" si="113"/>
        <v>1.105581410852498E-2</v>
      </c>
    </row>
    <row r="3650" spans="2:8" x14ac:dyDescent="0.3">
      <c r="B3650" s="58">
        <f>'DATA HISTORICAL'!$B4295</f>
        <v>40527</v>
      </c>
      <c r="C3650" s="60">
        <f>'DATA HISTORICAL'!$C4295</f>
        <v>1053.4000000000001</v>
      </c>
      <c r="D3650" s="53">
        <f t="shared" si="112"/>
        <v>-1.3390110481079945E-2</v>
      </c>
      <c r="E3650" s="53">
        <v>-9.8169299356325804E-3</v>
      </c>
      <c r="G3650" s="90">
        <v>3642</v>
      </c>
      <c r="H3650" s="90">
        <f t="shared" ca="1" si="113"/>
        <v>1.4505151126452389E-3</v>
      </c>
    </row>
    <row r="3651" spans="2:8" x14ac:dyDescent="0.3">
      <c r="B3651" s="58">
        <f>'DATA HISTORICAL'!$B4296</f>
        <v>40526</v>
      </c>
      <c r="C3651" s="60">
        <f>'DATA HISTORICAL'!$C4296</f>
        <v>1067.5999999999999</v>
      </c>
      <c r="D3651" s="53">
        <f t="shared" si="112"/>
        <v>-9.5087879690273006E-3</v>
      </c>
      <c r="E3651" s="53">
        <v>-9.819455549977962E-3</v>
      </c>
      <c r="G3651" s="90">
        <v>3643</v>
      </c>
      <c r="H3651" s="90">
        <f t="shared" ca="1" si="113"/>
        <v>-2.1661437879536899E-3</v>
      </c>
    </row>
    <row r="3652" spans="2:8" x14ac:dyDescent="0.3">
      <c r="B3652" s="58">
        <f>'DATA HISTORICAL'!$B4297</f>
        <v>40525</v>
      </c>
      <c r="C3652" s="60">
        <f>'DATA HISTORICAL'!$C4297</f>
        <v>1077.8</v>
      </c>
      <c r="D3652" s="53">
        <f t="shared" si="112"/>
        <v>-1.7748408324048892E-2</v>
      </c>
      <c r="E3652" s="53">
        <v>-9.8217382984997562E-3</v>
      </c>
      <c r="G3652" s="90">
        <v>3644</v>
      </c>
      <c r="H3652" s="90">
        <f t="shared" ca="1" si="113"/>
        <v>-1.9822154378279024E-2</v>
      </c>
    </row>
    <row r="3653" spans="2:8" x14ac:dyDescent="0.3">
      <c r="B3653" s="58">
        <f>'DATA HISTORICAL'!$B4298</f>
        <v>40522</v>
      </c>
      <c r="C3653" s="60">
        <f>'DATA HISTORICAL'!$C4298</f>
        <v>1097.0999999999999</v>
      </c>
      <c r="D3653" s="53">
        <f t="shared" si="112"/>
        <v>1.3397153946800211E-2</v>
      </c>
      <c r="E3653" s="53">
        <v>-9.8313245075483877E-3</v>
      </c>
      <c r="G3653" s="90">
        <v>3645</v>
      </c>
      <c r="H3653" s="90">
        <f t="shared" ca="1" si="113"/>
        <v>-2.3018538877665796E-2</v>
      </c>
    </row>
    <row r="3654" spans="2:8" x14ac:dyDescent="0.3">
      <c r="B3654" s="58">
        <f>'DATA HISTORICAL'!$B4299</f>
        <v>40521</v>
      </c>
      <c r="C3654" s="60">
        <f>'DATA HISTORICAL'!$C4299</f>
        <v>1082.5</v>
      </c>
      <c r="D3654" s="53">
        <f t="shared" si="112"/>
        <v>-1.6309688999222093E-2</v>
      </c>
      <c r="E3654" s="53">
        <v>-9.8815033299976471E-3</v>
      </c>
      <c r="G3654" s="90">
        <v>3646</v>
      </c>
      <c r="H3654" s="90">
        <f t="shared" ca="1" si="113"/>
        <v>1.1382643974776473E-2</v>
      </c>
    </row>
    <row r="3655" spans="2:8" x14ac:dyDescent="0.3">
      <c r="B3655" s="58">
        <f>'DATA HISTORICAL'!$B4300</f>
        <v>40520</v>
      </c>
      <c r="C3655" s="60">
        <f>'DATA HISTORICAL'!$C4300</f>
        <v>1100.3</v>
      </c>
      <c r="D3655" s="53">
        <f t="shared" si="112"/>
        <v>-2.0910445542074448E-2</v>
      </c>
      <c r="E3655" s="53">
        <v>-9.8879987637077327E-3</v>
      </c>
      <c r="G3655" s="90">
        <v>3647</v>
      </c>
      <c r="H3655" s="90">
        <f t="shared" ca="1" si="113"/>
        <v>1.6350589207982699E-2</v>
      </c>
    </row>
    <row r="3656" spans="2:8" x14ac:dyDescent="0.3">
      <c r="B3656" s="58">
        <f>'DATA HISTORICAL'!$B4301</f>
        <v>40519</v>
      </c>
      <c r="C3656" s="60">
        <f>'DATA HISTORICAL'!$C4301</f>
        <v>1123.55</v>
      </c>
      <c r="D3656" s="53">
        <f t="shared" si="112"/>
        <v>1.118780129053353E-2</v>
      </c>
      <c r="E3656" s="53">
        <v>-9.8949720356871426E-3</v>
      </c>
      <c r="G3656" s="90">
        <v>3648</v>
      </c>
      <c r="H3656" s="90">
        <f t="shared" ca="1" si="113"/>
        <v>2.4873551015554485E-2</v>
      </c>
    </row>
    <row r="3657" spans="2:8" x14ac:dyDescent="0.3">
      <c r="B3657" s="58">
        <f>'DATA HISTORICAL'!$B4302</f>
        <v>40518</v>
      </c>
      <c r="C3657" s="60">
        <f>'DATA HISTORICAL'!$C4302</f>
        <v>1111.05</v>
      </c>
      <c r="D3657" s="53">
        <f t="shared" ref="D3657:D3720" si="114">LN(C3657/C3658)</f>
        <v>4.951497929258044E-4</v>
      </c>
      <c r="E3657" s="53">
        <v>-9.8970458092768349E-3</v>
      </c>
      <c r="G3657" s="90">
        <v>3649</v>
      </c>
      <c r="H3657" s="90">
        <f t="shared" ref="H3657:H3720" ca="1" si="115">_xlfn.NORM.INV(RAND(),N$10,N$11)</f>
        <v>4.9291881940561749E-2</v>
      </c>
    </row>
    <row r="3658" spans="2:8" x14ac:dyDescent="0.3">
      <c r="B3658" s="58">
        <f>'DATA HISTORICAL'!$B4303</f>
        <v>40515</v>
      </c>
      <c r="C3658" s="60">
        <f>'DATA HISTORICAL'!$C4303</f>
        <v>1110.5</v>
      </c>
      <c r="D3658" s="53">
        <f t="shared" si="114"/>
        <v>1.8174057692798441E-2</v>
      </c>
      <c r="E3658" s="53">
        <v>-9.9098315852308647E-3</v>
      </c>
      <c r="G3658" s="90">
        <v>3650</v>
      </c>
      <c r="H3658" s="90">
        <f t="shared" ca="1" si="115"/>
        <v>-3.0023782892687643E-3</v>
      </c>
    </row>
    <row r="3659" spans="2:8" x14ac:dyDescent="0.3">
      <c r="B3659" s="58">
        <f>'DATA HISTORICAL'!$B4304</f>
        <v>40514</v>
      </c>
      <c r="C3659" s="60">
        <f>'DATA HISTORICAL'!$C4304</f>
        <v>1090.5</v>
      </c>
      <c r="D3659" s="53">
        <f t="shared" si="114"/>
        <v>-5.1646281140459827E-2</v>
      </c>
      <c r="E3659" s="53">
        <v>-9.9117418464133491E-3</v>
      </c>
      <c r="G3659" s="90">
        <v>3651</v>
      </c>
      <c r="H3659" s="90">
        <f t="shared" ca="1" si="115"/>
        <v>-1.5515057467236474E-2</v>
      </c>
    </row>
    <row r="3660" spans="2:8" x14ac:dyDescent="0.3">
      <c r="B3660" s="58">
        <f>'DATA HISTORICAL'!$B4305</f>
        <v>40513</v>
      </c>
      <c r="C3660" s="60">
        <f>'DATA HISTORICAL'!$C4305</f>
        <v>1148.3</v>
      </c>
      <c r="D3660" s="53">
        <f t="shared" si="114"/>
        <v>9.361807733167157E-3</v>
      </c>
      <c r="E3660" s="53">
        <v>-9.9381152335204104E-3</v>
      </c>
      <c r="G3660" s="90">
        <v>3652</v>
      </c>
      <c r="H3660" s="90">
        <f t="shared" ca="1" si="115"/>
        <v>-3.2679351485042543E-2</v>
      </c>
    </row>
    <row r="3661" spans="2:8" x14ac:dyDescent="0.3">
      <c r="B3661" s="58">
        <f>'DATA HISTORICAL'!$B4306</f>
        <v>40512</v>
      </c>
      <c r="C3661" s="60">
        <f>'DATA HISTORICAL'!$C4306</f>
        <v>1137.5999999999999</v>
      </c>
      <c r="D3661" s="53">
        <f t="shared" si="114"/>
        <v>-1.535270908958543E-2</v>
      </c>
      <c r="E3661" s="53">
        <v>-9.9642115761160426E-3</v>
      </c>
      <c r="G3661" s="90">
        <v>3653</v>
      </c>
      <c r="H3661" s="90">
        <f t="shared" ca="1" si="115"/>
        <v>2.7732365994172704E-2</v>
      </c>
    </row>
    <row r="3662" spans="2:8" x14ac:dyDescent="0.3">
      <c r="B3662" s="58">
        <f>'DATA HISTORICAL'!$B4307</f>
        <v>40511</v>
      </c>
      <c r="C3662" s="60">
        <f>'DATA HISTORICAL'!$C4307</f>
        <v>1155.2</v>
      </c>
      <c r="D3662" s="53">
        <f t="shared" si="114"/>
        <v>2.778017372062035E-2</v>
      </c>
      <c r="E3662" s="53">
        <v>-9.9850648974219094E-3</v>
      </c>
      <c r="G3662" s="90">
        <v>3654</v>
      </c>
      <c r="H3662" s="90">
        <f t="shared" ca="1" si="115"/>
        <v>1.8528398474041578E-2</v>
      </c>
    </row>
    <row r="3663" spans="2:8" x14ac:dyDescent="0.3">
      <c r="B3663" s="58">
        <f>'DATA HISTORICAL'!$B4308</f>
        <v>40508</v>
      </c>
      <c r="C3663" s="60">
        <f>'DATA HISTORICAL'!$C4308</f>
        <v>1123.55</v>
      </c>
      <c r="D3663" s="53">
        <f t="shared" si="114"/>
        <v>-1.0711858799483961E-2</v>
      </c>
      <c r="E3663" s="53">
        <v>-9.9875071686520052E-3</v>
      </c>
      <c r="G3663" s="90">
        <v>3655</v>
      </c>
      <c r="H3663" s="90">
        <f t="shared" ca="1" si="115"/>
        <v>1.1119278506313966E-2</v>
      </c>
    </row>
    <row r="3664" spans="2:8" x14ac:dyDescent="0.3">
      <c r="B3664" s="58">
        <f>'DATA HISTORICAL'!$B4309</f>
        <v>40507</v>
      </c>
      <c r="C3664" s="60">
        <f>'DATA HISTORICAL'!$C4309</f>
        <v>1135.6500000000001</v>
      </c>
      <c r="D3664" s="53">
        <f t="shared" si="114"/>
        <v>8.2672501637746192E-3</v>
      </c>
      <c r="E3664" s="53">
        <v>-9.9885047711355413E-3</v>
      </c>
      <c r="G3664" s="90">
        <v>3656</v>
      </c>
      <c r="H3664" s="90">
        <f t="shared" ca="1" si="115"/>
        <v>4.9675792106325615E-3</v>
      </c>
    </row>
    <row r="3665" spans="2:8" x14ac:dyDescent="0.3">
      <c r="B3665" s="58">
        <f>'DATA HISTORICAL'!$B4310</f>
        <v>40506</v>
      </c>
      <c r="C3665" s="60">
        <f>'DATA HISTORICAL'!$C4310</f>
        <v>1126.3</v>
      </c>
      <c r="D3665" s="53">
        <f t="shared" si="114"/>
        <v>4.092532402472991E-3</v>
      </c>
      <c r="E3665" s="53">
        <v>-1.0008159937750651E-2</v>
      </c>
      <c r="G3665" s="90">
        <v>3657</v>
      </c>
      <c r="H3665" s="90">
        <f t="shared" ca="1" si="115"/>
        <v>2.0894730678814838E-2</v>
      </c>
    </row>
    <row r="3666" spans="2:8" x14ac:dyDescent="0.3">
      <c r="B3666" s="58">
        <f>'DATA HISTORICAL'!$B4311</f>
        <v>40505</v>
      </c>
      <c r="C3666" s="60">
        <f>'DATA HISTORICAL'!$C4311</f>
        <v>1121.7</v>
      </c>
      <c r="D3666" s="53">
        <f t="shared" si="114"/>
        <v>1.9671584799445547E-2</v>
      </c>
      <c r="E3666" s="53">
        <v>-1.001481124382435E-2</v>
      </c>
      <c r="G3666" s="90">
        <v>3658</v>
      </c>
      <c r="H3666" s="90">
        <f t="shared" ca="1" si="115"/>
        <v>1.4126245640225518E-2</v>
      </c>
    </row>
    <row r="3667" spans="2:8" x14ac:dyDescent="0.3">
      <c r="B3667" s="58">
        <f>'DATA HISTORICAL'!$B4312</f>
        <v>40504</v>
      </c>
      <c r="C3667" s="60">
        <f>'DATA HISTORICAL'!$C4312</f>
        <v>1099.8499999999999</v>
      </c>
      <c r="D3667" s="53">
        <f t="shared" si="114"/>
        <v>2.047828880111562E-3</v>
      </c>
      <c r="E3667" s="53">
        <v>-1.0017878547276243E-2</v>
      </c>
      <c r="G3667" s="90">
        <v>3659</v>
      </c>
      <c r="H3667" s="90">
        <f t="shared" ca="1" si="115"/>
        <v>1.583829091718723E-3</v>
      </c>
    </row>
    <row r="3668" spans="2:8" x14ac:dyDescent="0.3">
      <c r="B3668" s="58">
        <f>'DATA HISTORICAL'!$B4313</f>
        <v>40501</v>
      </c>
      <c r="C3668" s="60">
        <f>'DATA HISTORICAL'!$C4313</f>
        <v>1097.5999999999999</v>
      </c>
      <c r="D3668" s="53">
        <f t="shared" si="114"/>
        <v>-2.2296553272692031E-3</v>
      </c>
      <c r="E3668" s="53">
        <v>-1.0022836705611306E-2</v>
      </c>
      <c r="G3668" s="90">
        <v>3660</v>
      </c>
      <c r="H3668" s="90">
        <f t="shared" ca="1" si="115"/>
        <v>1.4416581415673941E-2</v>
      </c>
    </row>
    <row r="3669" spans="2:8" x14ac:dyDescent="0.3">
      <c r="B3669" s="58">
        <f>'DATA HISTORICAL'!$B4314</f>
        <v>40500</v>
      </c>
      <c r="C3669" s="60">
        <f>'DATA HISTORICAL'!$C4314</f>
        <v>1100.05</v>
      </c>
      <c r="D3669" s="53">
        <f t="shared" si="114"/>
        <v>2.2244586499429866E-2</v>
      </c>
      <c r="E3669" s="53">
        <v>-1.0024280276955197E-2</v>
      </c>
      <c r="G3669" s="90">
        <v>3661</v>
      </c>
      <c r="H3669" s="90">
        <f t="shared" ca="1" si="115"/>
        <v>3.2557185028055952E-3</v>
      </c>
    </row>
    <row r="3670" spans="2:8" x14ac:dyDescent="0.3">
      <c r="B3670" s="58">
        <f>'DATA HISTORICAL'!$B4315</f>
        <v>40498</v>
      </c>
      <c r="C3670" s="60">
        <f>'DATA HISTORICAL'!$C4315</f>
        <v>1075.8499999999999</v>
      </c>
      <c r="D3670" s="53">
        <f t="shared" si="114"/>
        <v>-2.0971106543815954E-2</v>
      </c>
      <c r="E3670" s="53">
        <v>-1.004700029090057E-2</v>
      </c>
      <c r="G3670" s="90">
        <v>3662</v>
      </c>
      <c r="H3670" s="90">
        <f t="shared" ca="1" si="115"/>
        <v>1.1528361050271333E-2</v>
      </c>
    </row>
    <row r="3671" spans="2:8" x14ac:dyDescent="0.3">
      <c r="B3671" s="58">
        <f>'DATA HISTORICAL'!$B4316</f>
        <v>40497</v>
      </c>
      <c r="C3671" s="60">
        <f>'DATA HISTORICAL'!$C4316</f>
        <v>1098.6500000000001</v>
      </c>
      <c r="D3671" s="53">
        <f t="shared" si="114"/>
        <v>-4.1782158063806826E-3</v>
      </c>
      <c r="E3671" s="53">
        <v>-1.0050335853501451E-2</v>
      </c>
      <c r="G3671" s="90">
        <v>3663</v>
      </c>
      <c r="H3671" s="90">
        <f t="shared" ca="1" si="115"/>
        <v>2.5233900120526336E-2</v>
      </c>
    </row>
    <row r="3672" spans="2:8" x14ac:dyDescent="0.3">
      <c r="B3672" s="58">
        <f>'DATA HISTORICAL'!$B4317</f>
        <v>40494</v>
      </c>
      <c r="C3672" s="60">
        <f>'DATA HISTORICAL'!$C4317</f>
        <v>1103.25</v>
      </c>
      <c r="D3672" s="53">
        <f t="shared" si="114"/>
        <v>-2.7579015671628137E-2</v>
      </c>
      <c r="E3672" s="53">
        <v>-1.0053010361826589E-2</v>
      </c>
      <c r="G3672" s="90">
        <v>3664</v>
      </c>
      <c r="H3672" s="90">
        <f t="shared" ca="1" si="115"/>
        <v>-5.1992706296297491E-3</v>
      </c>
    </row>
    <row r="3673" spans="2:8" x14ac:dyDescent="0.3">
      <c r="B3673" s="58">
        <f>'DATA HISTORICAL'!$B4318</f>
        <v>40493</v>
      </c>
      <c r="C3673" s="60">
        <f>'DATA HISTORICAL'!$C4318</f>
        <v>1134.0999999999999</v>
      </c>
      <c r="D3673" s="53">
        <f t="shared" si="114"/>
        <v>1.63258138496137E-3</v>
      </c>
      <c r="E3673" s="53">
        <v>-1.0053659653069527E-2</v>
      </c>
      <c r="G3673" s="90">
        <v>3665</v>
      </c>
      <c r="H3673" s="90">
        <f t="shared" ca="1" si="115"/>
        <v>3.752081858882757E-3</v>
      </c>
    </row>
    <row r="3674" spans="2:8" x14ac:dyDescent="0.3">
      <c r="B3674" s="58">
        <f>'DATA HISTORICAL'!$B4319</f>
        <v>40492</v>
      </c>
      <c r="C3674" s="60">
        <f>'DATA HISTORICAL'!$C4319</f>
        <v>1132.25</v>
      </c>
      <c r="D3674" s="53">
        <f t="shared" si="114"/>
        <v>-1.3422431533851427E-2</v>
      </c>
      <c r="E3674" s="53">
        <v>-1.0055215973357153E-2</v>
      </c>
      <c r="G3674" s="90">
        <v>3666</v>
      </c>
      <c r="H3674" s="90">
        <f t="shared" ca="1" si="115"/>
        <v>1.0496078539787696E-2</v>
      </c>
    </row>
    <row r="3675" spans="2:8" x14ac:dyDescent="0.3">
      <c r="B3675" s="58">
        <f>'DATA HISTORICAL'!$B4320</f>
        <v>40491</v>
      </c>
      <c r="C3675" s="60">
        <f>'DATA HISTORICAL'!$C4320</f>
        <v>1147.55</v>
      </c>
      <c r="D3675" s="53">
        <f t="shared" si="114"/>
        <v>2.2026351915950343E-2</v>
      </c>
      <c r="E3675" s="53">
        <v>-1.0055223845172342E-2</v>
      </c>
      <c r="G3675" s="90">
        <v>3667</v>
      </c>
      <c r="H3675" s="90">
        <f t="shared" ca="1" si="115"/>
        <v>3.8418536828233821E-3</v>
      </c>
    </row>
    <row r="3676" spans="2:8" x14ac:dyDescent="0.3">
      <c r="B3676" s="58">
        <f>'DATA HISTORICAL'!$B4321</f>
        <v>40490</v>
      </c>
      <c r="C3676" s="60">
        <f>'DATA HISTORICAL'!$C4321</f>
        <v>1122.55</v>
      </c>
      <c r="D3676" s="53">
        <f t="shared" si="114"/>
        <v>5.0906602746586416E-3</v>
      </c>
      <c r="E3676" s="53">
        <v>-1.0068594026858467E-2</v>
      </c>
      <c r="G3676" s="90">
        <v>3668</v>
      </c>
      <c r="H3676" s="90">
        <f t="shared" ca="1" si="115"/>
        <v>-2.9682205962773638E-2</v>
      </c>
    </row>
    <row r="3677" spans="2:8" x14ac:dyDescent="0.3">
      <c r="B3677" s="58">
        <f>'DATA HISTORICAL'!$B4322</f>
        <v>40487</v>
      </c>
      <c r="C3677" s="60">
        <f>'DATA HISTORICAL'!$C4322</f>
        <v>1116.8499999999999</v>
      </c>
      <c r="D3677" s="53">
        <f t="shared" si="114"/>
        <v>-4.3777430765269644E-3</v>
      </c>
      <c r="E3677" s="53">
        <v>-1.0072471255757966E-2</v>
      </c>
      <c r="G3677" s="90">
        <v>3669</v>
      </c>
      <c r="H3677" s="90">
        <f t="shared" ca="1" si="115"/>
        <v>3.5074055090978155E-3</v>
      </c>
    </row>
    <row r="3678" spans="2:8" x14ac:dyDescent="0.3">
      <c r="B3678" s="58">
        <f>'DATA HISTORICAL'!$B4323</f>
        <v>40486</v>
      </c>
      <c r="C3678" s="60">
        <f>'DATA HISTORICAL'!$C4323</f>
        <v>1121.75</v>
      </c>
      <c r="D3678" s="53">
        <f t="shared" si="114"/>
        <v>4.1986840313284887E-3</v>
      </c>
      <c r="E3678" s="53">
        <v>-1.0090574139018951E-2</v>
      </c>
      <c r="G3678" s="90">
        <v>3670</v>
      </c>
      <c r="H3678" s="90">
        <f t="shared" ca="1" si="115"/>
        <v>-1.8159317642659111E-2</v>
      </c>
    </row>
    <row r="3679" spans="2:8" x14ac:dyDescent="0.3">
      <c r="B3679" s="58">
        <f>'DATA HISTORICAL'!$B4324</f>
        <v>40485</v>
      </c>
      <c r="C3679" s="60">
        <f>'DATA HISTORICAL'!$C4324</f>
        <v>1117.05</v>
      </c>
      <c r="D3679" s="53">
        <f t="shared" si="114"/>
        <v>-4.6443168372773081E-3</v>
      </c>
      <c r="E3679" s="53">
        <v>-1.0105186072606499E-2</v>
      </c>
      <c r="G3679" s="90">
        <v>3671</v>
      </c>
      <c r="H3679" s="90">
        <f t="shared" ca="1" si="115"/>
        <v>1.0897403609189314E-2</v>
      </c>
    </row>
    <row r="3680" spans="2:8" x14ac:dyDescent="0.3">
      <c r="B3680" s="58">
        <f>'DATA HISTORICAL'!$B4325</f>
        <v>40484</v>
      </c>
      <c r="C3680" s="60">
        <f>'DATA HISTORICAL'!$C4325</f>
        <v>1122.25</v>
      </c>
      <c r="D3680" s="53">
        <f t="shared" si="114"/>
        <v>1.7755270341040411E-2</v>
      </c>
      <c r="E3680" s="53">
        <v>-1.0111929275343415E-2</v>
      </c>
      <c r="G3680" s="90">
        <v>3672</v>
      </c>
      <c r="H3680" s="90">
        <f t="shared" ca="1" si="115"/>
        <v>-7.6961956568414843E-3</v>
      </c>
    </row>
    <row r="3681" spans="2:8" x14ac:dyDescent="0.3">
      <c r="B3681" s="58">
        <f>'DATA HISTORICAL'!$B4326</f>
        <v>40483</v>
      </c>
      <c r="C3681" s="60">
        <f>'DATA HISTORICAL'!$C4326</f>
        <v>1102.5</v>
      </c>
      <c r="D3681" s="53">
        <f t="shared" si="114"/>
        <v>2.361061757929956E-3</v>
      </c>
      <c r="E3681" s="53">
        <v>-1.0122447554557492E-2</v>
      </c>
      <c r="G3681" s="90">
        <v>3673</v>
      </c>
      <c r="H3681" s="90">
        <f t="shared" ca="1" si="115"/>
        <v>-1.0559005521862105E-2</v>
      </c>
    </row>
    <row r="3682" spans="2:8" x14ac:dyDescent="0.3">
      <c r="B3682" s="58">
        <f>'DATA HISTORICAL'!$B4327</f>
        <v>40480</v>
      </c>
      <c r="C3682" s="60">
        <f>'DATA HISTORICAL'!$C4327</f>
        <v>1099.9000000000001</v>
      </c>
      <c r="D3682" s="53">
        <f t="shared" si="114"/>
        <v>7.0252558450175908E-3</v>
      </c>
      <c r="E3682" s="53">
        <v>-1.0123715163670449E-2</v>
      </c>
      <c r="G3682" s="90">
        <v>3674</v>
      </c>
      <c r="H3682" s="90">
        <f t="shared" ca="1" si="115"/>
        <v>6.6699465509593254E-3</v>
      </c>
    </row>
    <row r="3683" spans="2:8" x14ac:dyDescent="0.3">
      <c r="B3683" s="58">
        <f>'DATA HISTORICAL'!$B4328</f>
        <v>40479</v>
      </c>
      <c r="C3683" s="60">
        <f>'DATA HISTORICAL'!$C4328</f>
        <v>1092.2</v>
      </c>
      <c r="D3683" s="53">
        <f t="shared" si="114"/>
        <v>-6.3886317500316094E-3</v>
      </c>
      <c r="E3683" s="53">
        <v>-1.0140919265722614E-2</v>
      </c>
      <c r="G3683" s="90">
        <v>3675</v>
      </c>
      <c r="H3683" s="90">
        <f t="shared" ca="1" si="115"/>
        <v>-1.7462614780756679E-2</v>
      </c>
    </row>
    <row r="3684" spans="2:8" x14ac:dyDescent="0.3">
      <c r="B3684" s="58">
        <f>'DATA HISTORICAL'!$B4329</f>
        <v>40478</v>
      </c>
      <c r="C3684" s="60">
        <f>'DATA HISTORICAL'!$C4329</f>
        <v>1099.2</v>
      </c>
      <c r="D3684" s="53">
        <f t="shared" si="114"/>
        <v>-8.6389165806521819E-4</v>
      </c>
      <c r="E3684" s="53">
        <v>-1.0152139326236806E-2</v>
      </c>
      <c r="G3684" s="90">
        <v>3676</v>
      </c>
      <c r="H3684" s="90">
        <f t="shared" ca="1" si="115"/>
        <v>1.3762591915313208E-2</v>
      </c>
    </row>
    <row r="3685" spans="2:8" x14ac:dyDescent="0.3">
      <c r="B3685" s="58">
        <f>'DATA HISTORICAL'!$B4330</f>
        <v>40477</v>
      </c>
      <c r="C3685" s="60">
        <f>'DATA HISTORICAL'!$C4330</f>
        <v>1100.1500000000001</v>
      </c>
      <c r="D3685" s="53">
        <f t="shared" si="114"/>
        <v>1.9561910566740894E-3</v>
      </c>
      <c r="E3685" s="53">
        <v>-1.0156682905289736E-2</v>
      </c>
      <c r="G3685" s="90">
        <v>3677</v>
      </c>
      <c r="H3685" s="90">
        <f t="shared" ca="1" si="115"/>
        <v>6.8542648982686371E-3</v>
      </c>
    </row>
    <row r="3686" spans="2:8" x14ac:dyDescent="0.3">
      <c r="B3686" s="58">
        <f>'DATA HISTORICAL'!$B4331</f>
        <v>40476</v>
      </c>
      <c r="C3686" s="60">
        <f>'DATA HISTORICAL'!$C4331</f>
        <v>1098</v>
      </c>
      <c r="D3686" s="53">
        <f t="shared" si="114"/>
        <v>-1.3389018539757141E-2</v>
      </c>
      <c r="E3686" s="53">
        <v>-1.0175865651540883E-2</v>
      </c>
      <c r="G3686" s="90">
        <v>3678</v>
      </c>
      <c r="H3686" s="90">
        <f t="shared" ca="1" si="115"/>
        <v>6.7239690550000095E-4</v>
      </c>
    </row>
    <row r="3687" spans="2:8" x14ac:dyDescent="0.3">
      <c r="B3687" s="58">
        <f>'DATA HISTORICAL'!$B4332</f>
        <v>40473</v>
      </c>
      <c r="C3687" s="60">
        <f>'DATA HISTORICAL'!$C4332</f>
        <v>1112.8</v>
      </c>
      <c r="D3687" s="53">
        <f t="shared" si="114"/>
        <v>-2.8715023320231878E-3</v>
      </c>
      <c r="E3687" s="53">
        <v>-1.0180268530817679E-2</v>
      </c>
      <c r="G3687" s="90">
        <v>3679</v>
      </c>
      <c r="H3687" s="90">
        <f t="shared" ca="1" si="115"/>
        <v>9.446184304098746E-3</v>
      </c>
    </row>
    <row r="3688" spans="2:8" x14ac:dyDescent="0.3">
      <c r="B3688" s="58">
        <f>'DATA HISTORICAL'!$B4333</f>
        <v>40472</v>
      </c>
      <c r="C3688" s="60">
        <f>'DATA HISTORICAL'!$C4333</f>
        <v>1116</v>
      </c>
      <c r="D3688" s="53">
        <f t="shared" si="114"/>
        <v>-4.4702801309036335E-3</v>
      </c>
      <c r="E3688" s="53">
        <v>-1.0194712948093314E-2</v>
      </c>
      <c r="G3688" s="90">
        <v>3680</v>
      </c>
      <c r="H3688" s="90">
        <f t="shared" ca="1" si="115"/>
        <v>2.7789209522121618E-3</v>
      </c>
    </row>
    <row r="3689" spans="2:8" x14ac:dyDescent="0.3">
      <c r="B3689" s="58">
        <f>'DATA HISTORICAL'!$B4334</f>
        <v>40471</v>
      </c>
      <c r="C3689" s="60">
        <f>'DATA HISTORICAL'!$C4334</f>
        <v>1121</v>
      </c>
      <c r="D3689" s="53">
        <f t="shared" si="114"/>
        <v>-9.1462698602611144E-3</v>
      </c>
      <c r="E3689" s="53">
        <v>-1.0205804700479619E-2</v>
      </c>
      <c r="G3689" s="90">
        <v>3681</v>
      </c>
      <c r="H3689" s="90">
        <f t="shared" ca="1" si="115"/>
        <v>2.2158772033987941E-2</v>
      </c>
    </row>
    <row r="3690" spans="2:8" x14ac:dyDescent="0.3">
      <c r="B3690" s="58">
        <f>'DATA HISTORICAL'!$B4335</f>
        <v>40470</v>
      </c>
      <c r="C3690" s="60">
        <f>'DATA HISTORICAL'!$C4335</f>
        <v>1131.3</v>
      </c>
      <c r="D3690" s="53">
        <f t="shared" si="114"/>
        <v>-1.0160133397479083E-3</v>
      </c>
      <c r="E3690" s="53">
        <v>-1.0220971889982645E-2</v>
      </c>
      <c r="G3690" s="90">
        <v>3682</v>
      </c>
      <c r="H3690" s="90">
        <f t="shared" ca="1" si="115"/>
        <v>5.967295543402318E-3</v>
      </c>
    </row>
    <row r="3691" spans="2:8" x14ac:dyDescent="0.3">
      <c r="B3691" s="58">
        <f>'DATA HISTORICAL'!$B4336</f>
        <v>40469</v>
      </c>
      <c r="C3691" s="60">
        <f>'DATA HISTORICAL'!$C4336</f>
        <v>1132.45</v>
      </c>
      <c r="D3691" s="53">
        <f t="shared" si="114"/>
        <v>-1.1031927513840084E-3</v>
      </c>
      <c r="E3691" s="53">
        <v>-1.024553485412932E-2</v>
      </c>
      <c r="G3691" s="90">
        <v>3683</v>
      </c>
      <c r="H3691" s="90">
        <f t="shared" ca="1" si="115"/>
        <v>1.0553332536181438E-2</v>
      </c>
    </row>
    <row r="3692" spans="2:8" x14ac:dyDescent="0.3">
      <c r="B3692" s="58">
        <f>'DATA HISTORICAL'!$B4337</f>
        <v>40466</v>
      </c>
      <c r="C3692" s="60">
        <f>'DATA HISTORICAL'!$C4337</f>
        <v>1133.7</v>
      </c>
      <c r="D3692" s="53">
        <f t="shared" si="114"/>
        <v>-6.1116553153309069E-3</v>
      </c>
      <c r="E3692" s="53">
        <v>-1.0246678113338568E-2</v>
      </c>
      <c r="G3692" s="90">
        <v>3684</v>
      </c>
      <c r="H3692" s="90">
        <f t="shared" ca="1" si="115"/>
        <v>1.0029316529247947E-2</v>
      </c>
    </row>
    <row r="3693" spans="2:8" x14ac:dyDescent="0.3">
      <c r="B3693" s="58">
        <f>'DATA HISTORICAL'!$B4338</f>
        <v>40465</v>
      </c>
      <c r="C3693" s="60">
        <f>'DATA HISTORICAL'!$C4338</f>
        <v>1140.6500000000001</v>
      </c>
      <c r="D3693" s="53">
        <f t="shared" si="114"/>
        <v>1.6797459879569401E-2</v>
      </c>
      <c r="E3693" s="53">
        <v>-1.0264464031446345E-2</v>
      </c>
      <c r="G3693" s="90">
        <v>3685</v>
      </c>
      <c r="H3693" s="90">
        <f t="shared" ca="1" si="115"/>
        <v>3.5836423333919509E-3</v>
      </c>
    </row>
    <row r="3694" spans="2:8" x14ac:dyDescent="0.3">
      <c r="B3694" s="58">
        <f>'DATA HISTORICAL'!$B4339</f>
        <v>40464</v>
      </c>
      <c r="C3694" s="60">
        <f>'DATA HISTORICAL'!$C4339</f>
        <v>1121.6500000000001</v>
      </c>
      <c r="D3694" s="53">
        <f t="shared" si="114"/>
        <v>2.7935282455595605E-2</v>
      </c>
      <c r="E3694" s="53">
        <v>-1.0267030639744145E-2</v>
      </c>
      <c r="G3694" s="90">
        <v>3686</v>
      </c>
      <c r="H3694" s="90">
        <f t="shared" ca="1" si="115"/>
        <v>1.5495716919454585E-2</v>
      </c>
    </row>
    <row r="3695" spans="2:8" x14ac:dyDescent="0.3">
      <c r="B3695" s="58">
        <f>'DATA HISTORICAL'!$B4340</f>
        <v>40463</v>
      </c>
      <c r="C3695" s="60">
        <f>'DATA HISTORICAL'!$C4340</f>
        <v>1090.75</v>
      </c>
      <c r="D3695" s="53">
        <f t="shared" si="114"/>
        <v>-9.9889083423002536E-3</v>
      </c>
      <c r="E3695" s="53">
        <v>-1.0270334962500413E-2</v>
      </c>
      <c r="G3695" s="90">
        <v>3687</v>
      </c>
      <c r="H3695" s="90">
        <f t="shared" ca="1" si="115"/>
        <v>-2.8687578679220038E-3</v>
      </c>
    </row>
    <row r="3696" spans="2:8" x14ac:dyDescent="0.3">
      <c r="B3696" s="58">
        <f>'DATA HISTORICAL'!$B4341</f>
        <v>40462</v>
      </c>
      <c r="C3696" s="60">
        <f>'DATA HISTORICAL'!$C4341</f>
        <v>1101.7</v>
      </c>
      <c r="D3696" s="53">
        <f t="shared" si="114"/>
        <v>1.0814369271497678E-2</v>
      </c>
      <c r="E3696" s="53">
        <v>-1.0285390376080478E-2</v>
      </c>
      <c r="G3696" s="90">
        <v>3688</v>
      </c>
      <c r="H3696" s="90">
        <f t="shared" ca="1" si="115"/>
        <v>4.7291857011114592E-4</v>
      </c>
    </row>
    <row r="3697" spans="2:8" x14ac:dyDescent="0.3">
      <c r="B3697" s="58">
        <f>'DATA HISTORICAL'!$B4342</f>
        <v>40459</v>
      </c>
      <c r="C3697" s="60">
        <f>'DATA HISTORICAL'!$C4342</f>
        <v>1089.8499999999999</v>
      </c>
      <c r="D3697" s="53">
        <f t="shared" si="114"/>
        <v>-1.3895756520214993E-2</v>
      </c>
      <c r="E3697" s="53">
        <v>-1.0287874755819664E-2</v>
      </c>
      <c r="G3697" s="90">
        <v>3689</v>
      </c>
      <c r="H3697" s="90">
        <f t="shared" ca="1" si="115"/>
        <v>2.5765466640290304E-2</v>
      </c>
    </row>
    <row r="3698" spans="2:8" x14ac:dyDescent="0.3">
      <c r="B3698" s="58">
        <f>'DATA HISTORICAL'!$B4343</f>
        <v>40458</v>
      </c>
      <c r="C3698" s="60">
        <f>'DATA HISTORICAL'!$C4343</f>
        <v>1105.0999999999999</v>
      </c>
      <c r="D3698" s="53">
        <f t="shared" si="114"/>
        <v>5.8835511190088367E-4</v>
      </c>
      <c r="E3698" s="53">
        <v>-1.0301850612764939E-2</v>
      </c>
      <c r="G3698" s="90">
        <v>3690</v>
      </c>
      <c r="H3698" s="90">
        <f t="shared" ca="1" si="115"/>
        <v>-6.4679199618363284E-4</v>
      </c>
    </row>
    <row r="3699" spans="2:8" x14ac:dyDescent="0.3">
      <c r="B3699" s="58">
        <f>'DATA HISTORICAL'!$B4344</f>
        <v>40457</v>
      </c>
      <c r="C3699" s="60">
        <f>'DATA HISTORICAL'!$C4344</f>
        <v>1104.45</v>
      </c>
      <c r="D3699" s="53">
        <f t="shared" si="114"/>
        <v>1.3169777259646241E-2</v>
      </c>
      <c r="E3699" s="53">
        <v>-1.0305645180481717E-2</v>
      </c>
      <c r="G3699" s="90">
        <v>3691</v>
      </c>
      <c r="H3699" s="90">
        <f t="shared" ca="1" si="115"/>
        <v>1.7158275212388139E-2</v>
      </c>
    </row>
    <row r="3700" spans="2:8" x14ac:dyDescent="0.3">
      <c r="B3700" s="58">
        <f>'DATA HISTORICAL'!$B4345</f>
        <v>40456</v>
      </c>
      <c r="C3700" s="60">
        <f>'DATA HISTORICAL'!$C4345</f>
        <v>1090</v>
      </c>
      <c r="D3700" s="53">
        <f t="shared" si="114"/>
        <v>-4.5870507565180979E-5</v>
      </c>
      <c r="E3700" s="53">
        <v>-1.0311680699511131E-2</v>
      </c>
      <c r="G3700" s="90">
        <v>3692</v>
      </c>
      <c r="H3700" s="90">
        <f t="shared" ca="1" si="115"/>
        <v>-1.6506144713260052E-2</v>
      </c>
    </row>
    <row r="3701" spans="2:8" x14ac:dyDescent="0.3">
      <c r="B3701" s="58">
        <f>'DATA HISTORICAL'!$B4346</f>
        <v>40455</v>
      </c>
      <c r="C3701" s="60">
        <f>'DATA HISTORICAL'!$C4346</f>
        <v>1090.05</v>
      </c>
      <c r="D3701" s="53">
        <f t="shared" si="114"/>
        <v>3.2113774791413729E-4</v>
      </c>
      <c r="E3701" s="53">
        <v>-1.0337001826166073E-2</v>
      </c>
      <c r="G3701" s="90">
        <v>3693</v>
      </c>
      <c r="H3701" s="90">
        <f t="shared" ca="1" si="115"/>
        <v>-2.8740270796120066E-3</v>
      </c>
    </row>
    <row r="3702" spans="2:8" x14ac:dyDescent="0.3">
      <c r="B3702" s="58">
        <f>'DATA HISTORICAL'!$B4347</f>
        <v>40452</v>
      </c>
      <c r="C3702" s="60">
        <f>'DATA HISTORICAL'!$C4347</f>
        <v>1089.7</v>
      </c>
      <c r="D3702" s="53">
        <f t="shared" si="114"/>
        <v>2.5183693965997764E-2</v>
      </c>
      <c r="E3702" s="53">
        <v>-1.034020221243136E-2</v>
      </c>
      <c r="G3702" s="90">
        <v>3694</v>
      </c>
      <c r="H3702" s="90">
        <f t="shared" ca="1" si="115"/>
        <v>-7.13345237844053E-3</v>
      </c>
    </row>
    <row r="3703" spans="2:8" x14ac:dyDescent="0.3">
      <c r="B3703" s="58">
        <f>'DATA HISTORICAL'!$B4348</f>
        <v>40451</v>
      </c>
      <c r="C3703" s="60">
        <f>'DATA HISTORICAL'!$C4348</f>
        <v>1062.5999999999999</v>
      </c>
      <c r="D3703" s="53">
        <f t="shared" si="114"/>
        <v>-1.2438785583020778E-2</v>
      </c>
      <c r="E3703" s="53">
        <v>-1.0374391135070224E-2</v>
      </c>
      <c r="G3703" s="90">
        <v>3695</v>
      </c>
      <c r="H3703" s="90">
        <f t="shared" ca="1" si="115"/>
        <v>-6.5115190163576283E-3</v>
      </c>
    </row>
    <row r="3704" spans="2:8" x14ac:dyDescent="0.3">
      <c r="B3704" s="58">
        <f>'DATA HISTORICAL'!$B4349</f>
        <v>40450</v>
      </c>
      <c r="C3704" s="60">
        <f>'DATA HISTORICAL'!$C4349</f>
        <v>1075.9000000000001</v>
      </c>
      <c r="D3704" s="53">
        <f t="shared" si="114"/>
        <v>2.6751147803570827E-2</v>
      </c>
      <c r="E3704" s="53">
        <v>-1.0380934418289755E-2</v>
      </c>
      <c r="G3704" s="90">
        <v>3696</v>
      </c>
      <c r="H3704" s="90">
        <f t="shared" ca="1" si="115"/>
        <v>-7.862757806096389E-3</v>
      </c>
    </row>
    <row r="3705" spans="2:8" x14ac:dyDescent="0.3">
      <c r="B3705" s="58">
        <f>'DATA HISTORICAL'!$B4350</f>
        <v>40449</v>
      </c>
      <c r="C3705" s="60">
        <f>'DATA HISTORICAL'!$C4350</f>
        <v>1047.5</v>
      </c>
      <c r="D3705" s="53">
        <f t="shared" si="114"/>
        <v>2.2201684117338406E-2</v>
      </c>
      <c r="E3705" s="53">
        <v>-1.0391453034308194E-2</v>
      </c>
      <c r="G3705" s="90">
        <v>3697</v>
      </c>
      <c r="H3705" s="90">
        <f t="shared" ca="1" si="115"/>
        <v>-9.087555858313015E-3</v>
      </c>
    </row>
    <row r="3706" spans="2:8" x14ac:dyDescent="0.3">
      <c r="B3706" s="58">
        <f>'DATA HISTORICAL'!$B4351</f>
        <v>40448</v>
      </c>
      <c r="C3706" s="60">
        <f>'DATA HISTORICAL'!$C4351</f>
        <v>1024.5</v>
      </c>
      <c r="D3706" s="53">
        <f t="shared" si="114"/>
        <v>-2.2424813180308479E-3</v>
      </c>
      <c r="E3706" s="53">
        <v>-1.0409496300114542E-2</v>
      </c>
      <c r="G3706" s="90">
        <v>3698</v>
      </c>
      <c r="H3706" s="90">
        <f t="shared" ca="1" si="115"/>
        <v>1.1446574006887988E-2</v>
      </c>
    </row>
    <row r="3707" spans="2:8" x14ac:dyDescent="0.3">
      <c r="B3707" s="58">
        <f>'DATA HISTORICAL'!$B4352</f>
        <v>40445</v>
      </c>
      <c r="C3707" s="60">
        <f>'DATA HISTORICAL'!$C4352</f>
        <v>1026.8</v>
      </c>
      <c r="D3707" s="53">
        <f t="shared" si="114"/>
        <v>-5.9232100156025149E-3</v>
      </c>
      <c r="E3707" s="53">
        <v>-1.042202460226146E-2</v>
      </c>
      <c r="G3707" s="90">
        <v>3699</v>
      </c>
      <c r="H3707" s="90">
        <f t="shared" ca="1" si="115"/>
        <v>-4.898244199962736E-3</v>
      </c>
    </row>
    <row r="3708" spans="2:8" x14ac:dyDescent="0.3">
      <c r="B3708" s="58">
        <f>'DATA HISTORICAL'!$B4353</f>
        <v>40444</v>
      </c>
      <c r="C3708" s="60">
        <f>'DATA HISTORICAL'!$C4353</f>
        <v>1032.9000000000001</v>
      </c>
      <c r="D3708" s="53">
        <f t="shared" si="114"/>
        <v>-1.6276916791070448E-2</v>
      </c>
      <c r="E3708" s="53">
        <v>-1.0431142288952529E-2</v>
      </c>
      <c r="G3708" s="90">
        <v>3700</v>
      </c>
      <c r="H3708" s="90">
        <f t="shared" ca="1" si="115"/>
        <v>3.4262921763876721E-2</v>
      </c>
    </row>
    <row r="3709" spans="2:8" x14ac:dyDescent="0.3">
      <c r="B3709" s="58">
        <f>'DATA HISTORICAL'!$B4354</f>
        <v>40443</v>
      </c>
      <c r="C3709" s="60">
        <f>'DATA HISTORICAL'!$C4354</f>
        <v>1049.8499999999999</v>
      </c>
      <c r="D3709" s="53">
        <f t="shared" si="114"/>
        <v>-1.7046806373841351E-2</v>
      </c>
      <c r="E3709" s="53">
        <v>-1.0452903818766077E-2</v>
      </c>
      <c r="G3709" s="90">
        <v>3701</v>
      </c>
      <c r="H3709" s="90">
        <f t="shared" ca="1" si="115"/>
        <v>2.8046038355046153E-3</v>
      </c>
    </row>
    <row r="3710" spans="2:8" x14ac:dyDescent="0.3">
      <c r="B3710" s="58">
        <f>'DATA HISTORICAL'!$B4355</f>
        <v>40442</v>
      </c>
      <c r="C3710" s="60">
        <f>'DATA HISTORICAL'!$C4355</f>
        <v>1067.9000000000001</v>
      </c>
      <c r="D3710" s="53">
        <f t="shared" si="114"/>
        <v>-1.0062509203883825E-2</v>
      </c>
      <c r="E3710" s="53">
        <v>-1.0464205094132912E-2</v>
      </c>
      <c r="G3710" s="90">
        <v>3702</v>
      </c>
      <c r="H3710" s="90">
        <f t="shared" ca="1" si="115"/>
        <v>3.8895153406821759E-2</v>
      </c>
    </row>
    <row r="3711" spans="2:8" x14ac:dyDescent="0.3">
      <c r="B3711" s="58">
        <f>'DATA HISTORICAL'!$B4356</f>
        <v>40441</v>
      </c>
      <c r="C3711" s="60">
        <f>'DATA HISTORICAL'!$C4356</f>
        <v>1078.7</v>
      </c>
      <c r="D3711" s="53">
        <f t="shared" si="114"/>
        <v>2.8205310541023945E-2</v>
      </c>
      <c r="E3711" s="53">
        <v>-1.0477343347344978E-2</v>
      </c>
      <c r="G3711" s="90">
        <v>3703</v>
      </c>
      <c r="H3711" s="90">
        <f t="shared" ca="1" si="115"/>
        <v>3.508095483391719E-2</v>
      </c>
    </row>
    <row r="3712" spans="2:8" x14ac:dyDescent="0.3">
      <c r="B3712" s="58">
        <f>'DATA HISTORICAL'!$B4357</f>
        <v>40438</v>
      </c>
      <c r="C3712" s="60">
        <f>'DATA HISTORICAL'!$C4357</f>
        <v>1048.7</v>
      </c>
      <c r="D3712" s="53">
        <f t="shared" si="114"/>
        <v>3.5820378982523771E-2</v>
      </c>
      <c r="E3712" s="53">
        <v>-1.0488582776533469E-2</v>
      </c>
      <c r="G3712" s="90">
        <v>3704</v>
      </c>
      <c r="H3712" s="90">
        <f t="shared" ca="1" si="115"/>
        <v>-1.6180567366852099E-3</v>
      </c>
    </row>
    <row r="3713" spans="2:8" x14ac:dyDescent="0.3">
      <c r="B3713" s="58">
        <f>'DATA HISTORICAL'!$B4358</f>
        <v>40437</v>
      </c>
      <c r="C3713" s="60">
        <f>'DATA HISTORICAL'!$C4358</f>
        <v>1011.8</v>
      </c>
      <c r="D3713" s="53">
        <f t="shared" si="114"/>
        <v>-1.8604276920374266E-2</v>
      </c>
      <c r="E3713" s="53">
        <v>-1.0503462773570364E-2</v>
      </c>
      <c r="G3713" s="90">
        <v>3705</v>
      </c>
      <c r="H3713" s="90">
        <f t="shared" ca="1" si="115"/>
        <v>-9.0291227539098101E-3</v>
      </c>
    </row>
    <row r="3714" spans="2:8" x14ac:dyDescent="0.3">
      <c r="B3714" s="58">
        <f>'DATA HISTORICAL'!$B4359</f>
        <v>40436</v>
      </c>
      <c r="C3714" s="60">
        <f>'DATA HISTORICAL'!$C4359</f>
        <v>1030.8</v>
      </c>
      <c r="D3714" s="53">
        <f t="shared" si="114"/>
        <v>-1.4160040090478361E-2</v>
      </c>
      <c r="E3714" s="53">
        <v>-1.0504191829404749E-2</v>
      </c>
      <c r="G3714" s="90">
        <v>3706</v>
      </c>
      <c r="H3714" s="90">
        <f t="shared" ca="1" si="115"/>
        <v>2.6778411633209442E-2</v>
      </c>
    </row>
    <row r="3715" spans="2:8" x14ac:dyDescent="0.3">
      <c r="B3715" s="58">
        <f>'DATA HISTORICAL'!$B4360</f>
        <v>40435</v>
      </c>
      <c r="C3715" s="60">
        <f>'DATA HISTORICAL'!$C4360</f>
        <v>1045.5</v>
      </c>
      <c r="D3715" s="53">
        <f t="shared" si="114"/>
        <v>-9.5193484196870702E-3</v>
      </c>
      <c r="E3715" s="53">
        <v>-1.0505560797846538E-2</v>
      </c>
      <c r="G3715" s="90">
        <v>3707</v>
      </c>
      <c r="H3715" s="90">
        <f t="shared" ca="1" si="115"/>
        <v>-3.4400034183553309E-3</v>
      </c>
    </row>
    <row r="3716" spans="2:8" x14ac:dyDescent="0.3">
      <c r="B3716" s="58">
        <f>'DATA HISTORICAL'!$B4361</f>
        <v>40434</v>
      </c>
      <c r="C3716" s="60">
        <f>'DATA HISTORICAL'!$C4361</f>
        <v>1055.5</v>
      </c>
      <c r="D3716" s="53">
        <f t="shared" si="114"/>
        <v>2.805448663670666E-2</v>
      </c>
      <c r="E3716" s="53">
        <v>-1.0526984184958083E-2</v>
      </c>
      <c r="G3716" s="90">
        <v>3708</v>
      </c>
      <c r="H3716" s="90">
        <f t="shared" ca="1" si="115"/>
        <v>-1.4584905218208443E-2</v>
      </c>
    </row>
    <row r="3717" spans="2:8" x14ac:dyDescent="0.3">
      <c r="B3717" s="58">
        <f>'DATA HISTORICAL'!$B4362</f>
        <v>40430</v>
      </c>
      <c r="C3717" s="60">
        <f>'DATA HISTORICAL'!$C4362</f>
        <v>1026.3</v>
      </c>
      <c r="D3717" s="53">
        <f t="shared" si="114"/>
        <v>3.2934365406868185E-2</v>
      </c>
      <c r="E3717" s="53">
        <v>-1.0531833299130235E-2</v>
      </c>
      <c r="G3717" s="90">
        <v>3709</v>
      </c>
      <c r="H3717" s="90">
        <f t="shared" ca="1" si="115"/>
        <v>1.6863950537125662E-2</v>
      </c>
    </row>
    <row r="3718" spans="2:8" x14ac:dyDescent="0.3">
      <c r="B3718" s="58">
        <f>'DATA HISTORICAL'!$B4363</f>
        <v>40429</v>
      </c>
      <c r="C3718" s="60">
        <f>'DATA HISTORICAL'!$C4363</f>
        <v>993.05</v>
      </c>
      <c r="D3718" s="53">
        <f t="shared" si="114"/>
        <v>-1.1573784157717214E-3</v>
      </c>
      <c r="E3718" s="53">
        <v>-1.0559096179906632E-2</v>
      </c>
      <c r="G3718" s="90">
        <v>3710</v>
      </c>
      <c r="H3718" s="90">
        <f t="shared" ca="1" si="115"/>
        <v>8.5403275651868907E-5</v>
      </c>
    </row>
    <row r="3719" spans="2:8" x14ac:dyDescent="0.3">
      <c r="B3719" s="58">
        <f>'DATA HISTORICAL'!$B4364</f>
        <v>40428</v>
      </c>
      <c r="C3719" s="60">
        <f>'DATA HISTORICAL'!$C4364</f>
        <v>994.2</v>
      </c>
      <c r="D3719" s="53">
        <f t="shared" si="114"/>
        <v>7.3551050062007864E-2</v>
      </c>
      <c r="E3719" s="53">
        <v>-1.0571663128296082E-2</v>
      </c>
      <c r="G3719" s="90">
        <v>3711</v>
      </c>
      <c r="H3719" s="90">
        <f t="shared" ca="1" si="115"/>
        <v>-4.3138418071755631E-4</v>
      </c>
    </row>
    <row r="3720" spans="2:8" x14ac:dyDescent="0.3">
      <c r="B3720" s="58">
        <f>'DATA HISTORICAL'!$B4365</f>
        <v>40427</v>
      </c>
      <c r="C3720" s="60">
        <f>'DATA HISTORICAL'!$C4365</f>
        <v>923.7</v>
      </c>
      <c r="D3720" s="53">
        <f t="shared" si="114"/>
        <v>3.7963058771960803E-3</v>
      </c>
      <c r="E3720" s="53">
        <v>-1.0575994639500626E-2</v>
      </c>
      <c r="G3720" s="90">
        <v>3712</v>
      </c>
      <c r="H3720" s="90">
        <f t="shared" ca="1" si="115"/>
        <v>1.8236261383247517E-2</v>
      </c>
    </row>
    <row r="3721" spans="2:8" x14ac:dyDescent="0.3">
      <c r="B3721" s="58">
        <f>'DATA HISTORICAL'!$B4366</f>
        <v>40424</v>
      </c>
      <c r="C3721" s="60">
        <f>'DATA HISTORICAL'!$C4366</f>
        <v>920.2</v>
      </c>
      <c r="D3721" s="53">
        <f t="shared" ref="D3721:D3784" si="116">LN(C3721/C3722)</f>
        <v>-8.7100553358212349E-3</v>
      </c>
      <c r="E3721" s="53">
        <v>-1.0594309665980264E-2</v>
      </c>
      <c r="G3721" s="90">
        <v>3713</v>
      </c>
      <c r="H3721" s="90">
        <f t="shared" ref="H3721:H3784" ca="1" si="117">_xlfn.NORM.INV(RAND(),N$10,N$11)</f>
        <v>1.0265055475945986E-2</v>
      </c>
    </row>
    <row r="3722" spans="2:8" x14ac:dyDescent="0.3">
      <c r="B3722" s="58">
        <f>'DATA HISTORICAL'!$B4367</f>
        <v>40423</v>
      </c>
      <c r="C3722" s="60">
        <f>'DATA HISTORICAL'!$C4367</f>
        <v>928.25</v>
      </c>
      <c r="D3722" s="53">
        <f t="shared" si="116"/>
        <v>2.0076297921285798E-2</v>
      </c>
      <c r="E3722" s="53">
        <v>-1.0604064325238145E-2</v>
      </c>
      <c r="G3722" s="90">
        <v>3714</v>
      </c>
      <c r="H3722" s="90">
        <f t="shared" ca="1" si="117"/>
        <v>3.9772318196850273E-2</v>
      </c>
    </row>
    <row r="3723" spans="2:8" x14ac:dyDescent="0.3">
      <c r="B3723" s="58">
        <f>'DATA HISTORICAL'!$B4368</f>
        <v>40422</v>
      </c>
      <c r="C3723" s="60">
        <f>'DATA HISTORICAL'!$C4368</f>
        <v>909.8</v>
      </c>
      <c r="D3723" s="53">
        <f t="shared" si="116"/>
        <v>8.0561049288676145E-3</v>
      </c>
      <c r="E3723" s="53">
        <v>-1.0622892926262442E-2</v>
      </c>
      <c r="G3723" s="90">
        <v>3715</v>
      </c>
      <c r="H3723" s="90">
        <f t="shared" ca="1" si="117"/>
        <v>6.3728752323463471E-3</v>
      </c>
    </row>
    <row r="3724" spans="2:8" x14ac:dyDescent="0.3">
      <c r="B3724" s="58">
        <f>'DATA HISTORICAL'!$B4369</f>
        <v>40421</v>
      </c>
      <c r="C3724" s="60">
        <f>'DATA HISTORICAL'!$C4369</f>
        <v>902.5</v>
      </c>
      <c r="D3724" s="53">
        <f t="shared" si="116"/>
        <v>-1.9204979836050039E-2</v>
      </c>
      <c r="E3724" s="53">
        <v>-1.0633549990532001E-2</v>
      </c>
      <c r="G3724" s="90">
        <v>3716</v>
      </c>
      <c r="H3724" s="90">
        <f t="shared" ca="1" si="117"/>
        <v>1.2016900238483272E-2</v>
      </c>
    </row>
    <row r="3725" spans="2:8" x14ac:dyDescent="0.3">
      <c r="B3725" s="58">
        <f>'DATA HISTORICAL'!$B4370</f>
        <v>40420</v>
      </c>
      <c r="C3725" s="60">
        <f>'DATA HISTORICAL'!$C4370</f>
        <v>920</v>
      </c>
      <c r="D3725" s="53">
        <f t="shared" si="116"/>
        <v>1.1419561316028677E-3</v>
      </c>
      <c r="E3725" s="53">
        <v>-1.0638270082164378E-2</v>
      </c>
      <c r="G3725" s="90">
        <v>3717</v>
      </c>
      <c r="H3725" s="90">
        <f t="shared" ca="1" si="117"/>
        <v>2.1041131655734562E-2</v>
      </c>
    </row>
    <row r="3726" spans="2:8" x14ac:dyDescent="0.3">
      <c r="B3726" s="58">
        <f>'DATA HISTORICAL'!$B4371</f>
        <v>40417</v>
      </c>
      <c r="C3726" s="60">
        <f>'DATA HISTORICAL'!$C4371</f>
        <v>918.95</v>
      </c>
      <c r="D3726" s="53">
        <f t="shared" si="116"/>
        <v>-1.5548550567122787E-2</v>
      </c>
      <c r="E3726" s="53">
        <v>-1.0647824516137829E-2</v>
      </c>
      <c r="G3726" s="90">
        <v>3718</v>
      </c>
      <c r="H3726" s="90">
        <f t="shared" ca="1" si="117"/>
        <v>-7.4880719548547367E-3</v>
      </c>
    </row>
    <row r="3727" spans="2:8" x14ac:dyDescent="0.3">
      <c r="B3727" s="58">
        <f>'DATA HISTORICAL'!$B4372</f>
        <v>40416</v>
      </c>
      <c r="C3727" s="60">
        <f>'DATA HISTORICAL'!$C4372</f>
        <v>933.35</v>
      </c>
      <c r="D3727" s="53">
        <f t="shared" si="116"/>
        <v>1.3808946975390229E-2</v>
      </c>
      <c r="E3727" s="53">
        <v>-1.0650487252982826E-2</v>
      </c>
      <c r="G3727" s="90">
        <v>3719</v>
      </c>
      <c r="H3727" s="90">
        <f t="shared" ca="1" si="117"/>
        <v>6.0186826297023406E-3</v>
      </c>
    </row>
    <row r="3728" spans="2:8" x14ac:dyDescent="0.3">
      <c r="B3728" s="58">
        <f>'DATA HISTORICAL'!$B4373</f>
        <v>40415</v>
      </c>
      <c r="C3728" s="60">
        <f>'DATA HISTORICAL'!$C4373</f>
        <v>920.55</v>
      </c>
      <c r="D3728" s="53">
        <f t="shared" si="116"/>
        <v>-2.5631429974613065E-2</v>
      </c>
      <c r="E3728" s="53">
        <v>-1.0653803706745775E-2</v>
      </c>
      <c r="G3728" s="90">
        <v>3720</v>
      </c>
      <c r="H3728" s="90">
        <f t="shared" ca="1" si="117"/>
        <v>-6.2999132756603763E-3</v>
      </c>
    </row>
    <row r="3729" spans="2:8" x14ac:dyDescent="0.3">
      <c r="B3729" s="58">
        <f>'DATA HISTORICAL'!$B4374</f>
        <v>40414</v>
      </c>
      <c r="C3729" s="60">
        <f>'DATA HISTORICAL'!$C4374</f>
        <v>944.45</v>
      </c>
      <c r="D3729" s="53">
        <f t="shared" si="116"/>
        <v>8.0261945206861751E-3</v>
      </c>
      <c r="E3729" s="53">
        <v>-1.0654749894006948E-2</v>
      </c>
      <c r="G3729" s="90">
        <v>3721</v>
      </c>
      <c r="H3729" s="90">
        <f t="shared" ca="1" si="117"/>
        <v>5.8919724822547896E-3</v>
      </c>
    </row>
    <row r="3730" spans="2:8" x14ac:dyDescent="0.3">
      <c r="B3730" s="58">
        <f>'DATA HISTORICAL'!$B4375</f>
        <v>40413</v>
      </c>
      <c r="C3730" s="60">
        <f>'DATA HISTORICAL'!$C4375</f>
        <v>936.9</v>
      </c>
      <c r="D3730" s="53">
        <f t="shared" si="116"/>
        <v>-1.2937614179303929E-2</v>
      </c>
      <c r="E3730" s="53">
        <v>-1.0681524889698526E-2</v>
      </c>
      <c r="G3730" s="90">
        <v>3722</v>
      </c>
      <c r="H3730" s="90">
        <f t="shared" ca="1" si="117"/>
        <v>-2.4989084188836823E-2</v>
      </c>
    </row>
    <row r="3731" spans="2:8" x14ac:dyDescent="0.3">
      <c r="B3731" s="58">
        <f>'DATA HISTORICAL'!$B4376</f>
        <v>40410</v>
      </c>
      <c r="C3731" s="60">
        <f>'DATA HISTORICAL'!$C4376</f>
        <v>949.1</v>
      </c>
      <c r="D3731" s="53">
        <f t="shared" si="116"/>
        <v>2.2482434350245998E-2</v>
      </c>
      <c r="E3731" s="53">
        <v>-1.0694415979640584E-2</v>
      </c>
      <c r="G3731" s="90">
        <v>3723</v>
      </c>
      <c r="H3731" s="90">
        <f t="shared" ca="1" si="117"/>
        <v>1.2688536529558068E-2</v>
      </c>
    </row>
    <row r="3732" spans="2:8" x14ac:dyDescent="0.3">
      <c r="B3732" s="58">
        <f>'DATA HISTORICAL'!$B4377</f>
        <v>40409</v>
      </c>
      <c r="C3732" s="60">
        <f>'DATA HISTORICAL'!$C4377</f>
        <v>928</v>
      </c>
      <c r="D3732" s="53">
        <f t="shared" si="116"/>
        <v>3.4868130434157908E-2</v>
      </c>
      <c r="E3732" s="53">
        <v>-1.0709850053540668E-2</v>
      </c>
      <c r="G3732" s="90">
        <v>3724</v>
      </c>
      <c r="H3732" s="90">
        <f t="shared" ca="1" si="117"/>
        <v>2.2548344906950155E-2</v>
      </c>
    </row>
    <row r="3733" spans="2:8" x14ac:dyDescent="0.3">
      <c r="B3733" s="58">
        <f>'DATA HISTORICAL'!$B4378</f>
        <v>40408</v>
      </c>
      <c r="C3733" s="60">
        <f>'DATA HISTORICAL'!$C4378</f>
        <v>896.2</v>
      </c>
      <c r="D3733" s="53">
        <f t="shared" si="116"/>
        <v>7.2554768077519934E-4</v>
      </c>
      <c r="E3733" s="53">
        <v>-1.0714313180766575E-2</v>
      </c>
      <c r="G3733" s="90">
        <v>3725</v>
      </c>
      <c r="H3733" s="90">
        <f t="shared" ca="1" si="117"/>
        <v>-4.9746172422277966E-3</v>
      </c>
    </row>
    <row r="3734" spans="2:8" x14ac:dyDescent="0.3">
      <c r="B3734" s="58">
        <f>'DATA HISTORICAL'!$B4379</f>
        <v>40407</v>
      </c>
      <c r="C3734" s="60">
        <f>'DATA HISTORICAL'!$C4379</f>
        <v>895.55</v>
      </c>
      <c r="D3734" s="53">
        <f t="shared" si="116"/>
        <v>-1.8964753564491058E-3</v>
      </c>
      <c r="E3734" s="53">
        <v>-1.0715162444159645E-2</v>
      </c>
      <c r="G3734" s="90">
        <v>3726</v>
      </c>
      <c r="H3734" s="90">
        <f t="shared" ca="1" si="117"/>
        <v>-2.7167585717245989E-2</v>
      </c>
    </row>
    <row r="3735" spans="2:8" x14ac:dyDescent="0.3">
      <c r="B3735" s="58">
        <f>'DATA HISTORICAL'!$B4380</f>
        <v>40406</v>
      </c>
      <c r="C3735" s="60">
        <f>'DATA HISTORICAL'!$C4380</f>
        <v>897.25</v>
      </c>
      <c r="D3735" s="53">
        <f t="shared" si="116"/>
        <v>5.4200674693393345E-3</v>
      </c>
      <c r="E3735" s="53">
        <v>-1.0715763978736852E-2</v>
      </c>
      <c r="G3735" s="90">
        <v>3727</v>
      </c>
      <c r="H3735" s="90">
        <f t="shared" ca="1" si="117"/>
        <v>7.4260657262145814E-3</v>
      </c>
    </row>
    <row r="3736" spans="2:8" x14ac:dyDescent="0.3">
      <c r="B3736" s="58">
        <f>'DATA HISTORICAL'!$B4381</f>
        <v>40403</v>
      </c>
      <c r="C3736" s="60">
        <f>'DATA HISTORICAL'!$C4381</f>
        <v>892.4</v>
      </c>
      <c r="D3736" s="53">
        <f t="shared" si="116"/>
        <v>1.7635546364626373E-2</v>
      </c>
      <c r="E3736" s="53">
        <v>-1.0719614476979042E-2</v>
      </c>
      <c r="G3736" s="90">
        <v>3728</v>
      </c>
      <c r="H3736" s="90">
        <f t="shared" ca="1" si="117"/>
        <v>-9.381989981721902E-3</v>
      </c>
    </row>
    <row r="3737" spans="2:8" x14ac:dyDescent="0.3">
      <c r="B3737" s="58">
        <f>'DATA HISTORICAL'!$B4382</f>
        <v>40402</v>
      </c>
      <c r="C3737" s="60">
        <f>'DATA HISTORICAL'!$C4382</f>
        <v>876.8</v>
      </c>
      <c r="D3737" s="53">
        <f t="shared" si="116"/>
        <v>-2.1646263080464701E-3</v>
      </c>
      <c r="E3737" s="53">
        <v>-1.07327645053367E-2</v>
      </c>
      <c r="G3737" s="90">
        <v>3729</v>
      </c>
      <c r="H3737" s="90">
        <f t="shared" ca="1" si="117"/>
        <v>1.8979286041417142E-2</v>
      </c>
    </row>
    <row r="3738" spans="2:8" x14ac:dyDescent="0.3">
      <c r="B3738" s="58">
        <f>'DATA HISTORICAL'!$B4383</f>
        <v>40401</v>
      </c>
      <c r="C3738" s="60">
        <f>'DATA HISTORICAL'!$C4383</f>
        <v>878.7</v>
      </c>
      <c r="D3738" s="53">
        <f t="shared" si="116"/>
        <v>-7.5395045504283277E-3</v>
      </c>
      <c r="E3738" s="53">
        <v>-1.0738492100640609E-2</v>
      </c>
      <c r="G3738" s="90">
        <v>3730</v>
      </c>
      <c r="H3738" s="90">
        <f t="shared" ca="1" si="117"/>
        <v>2.3961985023973589E-2</v>
      </c>
    </row>
    <row r="3739" spans="2:8" x14ac:dyDescent="0.3">
      <c r="B3739" s="58">
        <f>'DATA HISTORICAL'!$B4384</f>
        <v>40400</v>
      </c>
      <c r="C3739" s="60">
        <f>'DATA HISTORICAL'!$C4384</f>
        <v>885.35</v>
      </c>
      <c r="D3739" s="53">
        <f t="shared" si="116"/>
        <v>-1.5856006338361896E-2</v>
      </c>
      <c r="E3739" s="53">
        <v>-1.0747139244901253E-2</v>
      </c>
      <c r="G3739" s="90">
        <v>3731</v>
      </c>
      <c r="H3739" s="90">
        <f t="shared" ca="1" si="117"/>
        <v>-2.253930783904735E-2</v>
      </c>
    </row>
    <row r="3740" spans="2:8" x14ac:dyDescent="0.3">
      <c r="B3740" s="58">
        <f>'DATA HISTORICAL'!$B4385</f>
        <v>40399</v>
      </c>
      <c r="C3740" s="60">
        <f>'DATA HISTORICAL'!$C4385</f>
        <v>899.5</v>
      </c>
      <c r="D3740" s="53">
        <f t="shared" si="116"/>
        <v>3.1565817729713418E-2</v>
      </c>
      <c r="E3740" s="53">
        <v>-1.0783634800691416E-2</v>
      </c>
      <c r="G3740" s="90">
        <v>3732</v>
      </c>
      <c r="H3740" s="90">
        <f t="shared" ca="1" si="117"/>
        <v>2.1469369233043663E-2</v>
      </c>
    </row>
    <row r="3741" spans="2:8" x14ac:dyDescent="0.3">
      <c r="B3741" s="58">
        <f>'DATA HISTORICAL'!$B4386</f>
        <v>40396</v>
      </c>
      <c r="C3741" s="60">
        <f>'DATA HISTORICAL'!$C4386</f>
        <v>871.55</v>
      </c>
      <c r="D3741" s="53">
        <f t="shared" si="116"/>
        <v>1.3108315311238345E-2</v>
      </c>
      <c r="E3741" s="53">
        <v>-1.0800842959278642E-2</v>
      </c>
      <c r="G3741" s="90">
        <v>3733</v>
      </c>
      <c r="H3741" s="90">
        <f t="shared" ca="1" si="117"/>
        <v>4.7648030585972206E-3</v>
      </c>
    </row>
    <row r="3742" spans="2:8" x14ac:dyDescent="0.3">
      <c r="B3742" s="58">
        <f>'DATA HISTORICAL'!$B4387</f>
        <v>40395</v>
      </c>
      <c r="C3742" s="60">
        <f>'DATA HISTORICAL'!$C4387</f>
        <v>860.2</v>
      </c>
      <c r="D3742" s="53">
        <f t="shared" si="116"/>
        <v>1.221391956881877E-3</v>
      </c>
      <c r="E3742" s="53">
        <v>-1.080548124267103E-2</v>
      </c>
      <c r="G3742" s="90">
        <v>3734</v>
      </c>
      <c r="H3742" s="90">
        <f t="shared" ca="1" si="117"/>
        <v>2.0313983968847153E-2</v>
      </c>
    </row>
    <row r="3743" spans="2:8" x14ac:dyDescent="0.3">
      <c r="B3743" s="58">
        <f>'DATA HISTORICAL'!$B4388</f>
        <v>40394</v>
      </c>
      <c r="C3743" s="60">
        <f>'DATA HISTORICAL'!$C4388</f>
        <v>859.15</v>
      </c>
      <c r="D3743" s="53">
        <f t="shared" si="116"/>
        <v>-3.6597095655245943E-3</v>
      </c>
      <c r="E3743" s="53">
        <v>-1.0819777683686017E-2</v>
      </c>
      <c r="G3743" s="90">
        <v>3735</v>
      </c>
      <c r="H3743" s="90">
        <f t="shared" ca="1" si="117"/>
        <v>-2.0906756963542567E-2</v>
      </c>
    </row>
    <row r="3744" spans="2:8" x14ac:dyDescent="0.3">
      <c r="B3744" s="58">
        <f>'DATA HISTORICAL'!$B4389</f>
        <v>40393</v>
      </c>
      <c r="C3744" s="60">
        <f>'DATA HISTORICAL'!$C4389</f>
        <v>862.3</v>
      </c>
      <c r="D3744" s="53">
        <f t="shared" si="116"/>
        <v>4.6495492341044461E-3</v>
      </c>
      <c r="E3744" s="53">
        <v>-1.0848892745806785E-2</v>
      </c>
      <c r="G3744" s="90">
        <v>3736</v>
      </c>
      <c r="H3744" s="90">
        <f t="shared" ca="1" si="117"/>
        <v>-1.0542923127113763E-2</v>
      </c>
    </row>
    <row r="3745" spans="2:8" x14ac:dyDescent="0.3">
      <c r="B3745" s="58">
        <f>'DATA HISTORICAL'!$B4390</f>
        <v>40392</v>
      </c>
      <c r="C3745" s="60">
        <f>'DATA HISTORICAL'!$C4390</f>
        <v>858.3</v>
      </c>
      <c r="D3745" s="53">
        <f t="shared" si="116"/>
        <v>-6.5033326406642028E-3</v>
      </c>
      <c r="E3745" s="53">
        <v>-1.085057370818924E-2</v>
      </c>
      <c r="G3745" s="90">
        <v>3737</v>
      </c>
      <c r="H3745" s="90">
        <f t="shared" ca="1" si="117"/>
        <v>5.6324806089701009E-2</v>
      </c>
    </row>
    <row r="3746" spans="2:8" x14ac:dyDescent="0.3">
      <c r="B3746" s="58">
        <f>'DATA HISTORICAL'!$B4391</f>
        <v>40389</v>
      </c>
      <c r="C3746" s="60">
        <f>'DATA HISTORICAL'!$C4391</f>
        <v>863.9</v>
      </c>
      <c r="D3746" s="53">
        <f t="shared" si="116"/>
        <v>-6.8062787986995681E-3</v>
      </c>
      <c r="E3746" s="53">
        <v>-1.0851781667000172E-2</v>
      </c>
      <c r="G3746" s="90">
        <v>3738</v>
      </c>
      <c r="H3746" s="90">
        <f t="shared" ca="1" si="117"/>
        <v>3.6613929468290687E-2</v>
      </c>
    </row>
    <row r="3747" spans="2:8" x14ac:dyDescent="0.3">
      <c r="B3747" s="58">
        <f>'DATA HISTORICAL'!$B4392</f>
        <v>40388</v>
      </c>
      <c r="C3747" s="60">
        <f>'DATA HISTORICAL'!$C4392</f>
        <v>869.8</v>
      </c>
      <c r="D3747" s="53">
        <f t="shared" si="116"/>
        <v>1.5117139408819839E-2</v>
      </c>
      <c r="E3747" s="53">
        <v>-1.085837167394744E-2</v>
      </c>
      <c r="G3747" s="90">
        <v>3739</v>
      </c>
      <c r="H3747" s="90">
        <f t="shared" ca="1" si="117"/>
        <v>3.925915321239079E-3</v>
      </c>
    </row>
    <row r="3748" spans="2:8" x14ac:dyDescent="0.3">
      <c r="B3748" s="58">
        <f>'DATA HISTORICAL'!$B4393</f>
        <v>40387</v>
      </c>
      <c r="C3748" s="60">
        <f>'DATA HISTORICAL'!$C4393</f>
        <v>856.75</v>
      </c>
      <c r="D3748" s="53">
        <f t="shared" si="116"/>
        <v>1.3040598334667267E-2</v>
      </c>
      <c r="E3748" s="53">
        <v>-1.0863593511842124E-2</v>
      </c>
      <c r="G3748" s="90">
        <v>3740</v>
      </c>
      <c r="H3748" s="90">
        <f t="shared" ca="1" si="117"/>
        <v>1.7945987010654377E-2</v>
      </c>
    </row>
    <row r="3749" spans="2:8" x14ac:dyDescent="0.3">
      <c r="B3749" s="58">
        <f>'DATA HISTORICAL'!$B4394</f>
        <v>40386</v>
      </c>
      <c r="C3749" s="60">
        <f>'DATA HISTORICAL'!$C4394</f>
        <v>845.65</v>
      </c>
      <c r="D3749" s="53">
        <f t="shared" si="116"/>
        <v>1.9704482759943225E-2</v>
      </c>
      <c r="E3749" s="53">
        <v>-1.0866638996063535E-2</v>
      </c>
      <c r="G3749" s="90">
        <v>3741</v>
      </c>
      <c r="H3749" s="90">
        <f t="shared" ca="1" si="117"/>
        <v>-1.8737230515579652E-2</v>
      </c>
    </row>
    <row r="3750" spans="2:8" x14ac:dyDescent="0.3">
      <c r="B3750" s="58">
        <f>'DATA HISTORICAL'!$B4395</f>
        <v>40385</v>
      </c>
      <c r="C3750" s="60">
        <f>'DATA HISTORICAL'!$C4395</f>
        <v>829.15</v>
      </c>
      <c r="D3750" s="53">
        <f t="shared" si="116"/>
        <v>-2.411817919439383E-4</v>
      </c>
      <c r="E3750" s="53">
        <v>-1.0877243823709082E-2</v>
      </c>
      <c r="G3750" s="90">
        <v>3742</v>
      </c>
      <c r="H3750" s="90">
        <f t="shared" ca="1" si="117"/>
        <v>-1.6606551337275673E-2</v>
      </c>
    </row>
    <row r="3751" spans="2:8" x14ac:dyDescent="0.3">
      <c r="B3751" s="58">
        <f>'DATA HISTORICAL'!$B4396</f>
        <v>40382</v>
      </c>
      <c r="C3751" s="60">
        <f>'DATA HISTORICAL'!$C4396</f>
        <v>829.35</v>
      </c>
      <c r="D3751" s="53">
        <f t="shared" si="116"/>
        <v>-1.7569473095345886E-2</v>
      </c>
      <c r="E3751" s="53">
        <v>-1.089460317042841E-2</v>
      </c>
      <c r="G3751" s="90">
        <v>3743</v>
      </c>
      <c r="H3751" s="90">
        <f t="shared" ca="1" si="117"/>
        <v>2.0397448986165193E-2</v>
      </c>
    </row>
    <row r="3752" spans="2:8" x14ac:dyDescent="0.3">
      <c r="B3752" s="58">
        <f>'DATA HISTORICAL'!$B4397</f>
        <v>40381</v>
      </c>
      <c r="C3752" s="60">
        <f>'DATA HISTORICAL'!$C4397</f>
        <v>844.05</v>
      </c>
      <c r="D3752" s="53">
        <f t="shared" si="116"/>
        <v>-6.3184833317730792E-3</v>
      </c>
      <c r="E3752" s="53">
        <v>-1.0903696261699179E-2</v>
      </c>
      <c r="G3752" s="90">
        <v>3744</v>
      </c>
      <c r="H3752" s="90">
        <f t="shared" ca="1" si="117"/>
        <v>9.3108108305876552E-3</v>
      </c>
    </row>
    <row r="3753" spans="2:8" x14ac:dyDescent="0.3">
      <c r="B3753" s="58">
        <f>'DATA HISTORICAL'!$B4398</f>
        <v>40380</v>
      </c>
      <c r="C3753" s="60">
        <f>'DATA HISTORICAL'!$C4398</f>
        <v>849.4</v>
      </c>
      <c r="D3753" s="53">
        <f t="shared" si="116"/>
        <v>6.8517692745511281E-3</v>
      </c>
      <c r="E3753" s="53">
        <v>-1.0907074303478361E-2</v>
      </c>
      <c r="G3753" s="90">
        <v>3745</v>
      </c>
      <c r="H3753" s="90">
        <f t="shared" ca="1" si="117"/>
        <v>7.8737258718601395E-3</v>
      </c>
    </row>
    <row r="3754" spans="2:8" x14ac:dyDescent="0.3">
      <c r="B3754" s="58">
        <f>'DATA HISTORICAL'!$B4399</f>
        <v>40379</v>
      </c>
      <c r="C3754" s="60">
        <f>'DATA HISTORICAL'!$C4399</f>
        <v>843.6</v>
      </c>
      <c r="D3754" s="53">
        <f t="shared" si="116"/>
        <v>3.3246290418783211E-3</v>
      </c>
      <c r="E3754" s="53">
        <v>-1.0908990311708822E-2</v>
      </c>
      <c r="G3754" s="90">
        <v>3746</v>
      </c>
      <c r="H3754" s="90">
        <f t="shared" ca="1" si="117"/>
        <v>1.4552090514434231E-2</v>
      </c>
    </row>
    <row r="3755" spans="2:8" x14ac:dyDescent="0.3">
      <c r="B3755" s="58">
        <f>'DATA HISTORICAL'!$B4400</f>
        <v>40378</v>
      </c>
      <c r="C3755" s="60">
        <f>'DATA HISTORICAL'!$C4400</f>
        <v>840.8</v>
      </c>
      <c r="D3755" s="53">
        <f t="shared" si="116"/>
        <v>-5.1011439876953203E-3</v>
      </c>
      <c r="E3755" s="53">
        <v>-1.0915620180799609E-2</v>
      </c>
      <c r="G3755" s="90">
        <v>3747</v>
      </c>
      <c r="H3755" s="90">
        <f t="shared" ca="1" si="117"/>
        <v>-5.8103066035715108E-3</v>
      </c>
    </row>
    <row r="3756" spans="2:8" x14ac:dyDescent="0.3">
      <c r="B3756" s="58">
        <f>'DATA HISTORICAL'!$B4401</f>
        <v>40375</v>
      </c>
      <c r="C3756" s="60">
        <f>'DATA HISTORICAL'!$C4401</f>
        <v>845.1</v>
      </c>
      <c r="D3756" s="53">
        <f t="shared" si="116"/>
        <v>4.7342881698549664E-4</v>
      </c>
      <c r="E3756" s="53">
        <v>-1.0915659380817755E-2</v>
      </c>
      <c r="G3756" s="90">
        <v>3748</v>
      </c>
      <c r="H3756" s="90">
        <f t="shared" ca="1" si="117"/>
        <v>2.6369095409631057E-3</v>
      </c>
    </row>
    <row r="3757" spans="2:8" x14ac:dyDescent="0.3">
      <c r="B3757" s="58">
        <f>'DATA HISTORICAL'!$B4402</f>
        <v>40374</v>
      </c>
      <c r="C3757" s="60">
        <f>'DATA HISTORICAL'!$C4402</f>
        <v>844.7</v>
      </c>
      <c r="D3757" s="53">
        <f t="shared" si="116"/>
        <v>-1.206145296115094E-2</v>
      </c>
      <c r="E3757" s="53">
        <v>-1.0916219595243883E-2</v>
      </c>
      <c r="G3757" s="90">
        <v>3749</v>
      </c>
      <c r="H3757" s="90">
        <f t="shared" ca="1" si="117"/>
        <v>1.7593884990962552E-2</v>
      </c>
    </row>
    <row r="3758" spans="2:8" x14ac:dyDescent="0.3">
      <c r="B3758" s="58">
        <f>'DATA HISTORICAL'!$B4403</f>
        <v>40373</v>
      </c>
      <c r="C3758" s="60">
        <f>'DATA HISTORICAL'!$C4403</f>
        <v>854.95</v>
      </c>
      <c r="D3758" s="53">
        <f t="shared" si="116"/>
        <v>-2.6282759048200403E-3</v>
      </c>
      <c r="E3758" s="53">
        <v>-1.0932825832070581E-2</v>
      </c>
      <c r="G3758" s="90">
        <v>3750</v>
      </c>
      <c r="H3758" s="90">
        <f t="shared" ca="1" si="117"/>
        <v>-2.8742006665861224E-2</v>
      </c>
    </row>
    <row r="3759" spans="2:8" x14ac:dyDescent="0.3">
      <c r="B3759" s="58">
        <f>'DATA HISTORICAL'!$B4404</f>
        <v>40372</v>
      </c>
      <c r="C3759" s="60">
        <f>'DATA HISTORICAL'!$C4404</f>
        <v>857.2</v>
      </c>
      <c r="D3759" s="53">
        <f t="shared" si="116"/>
        <v>2.8037401544295714E-3</v>
      </c>
      <c r="E3759" s="53">
        <v>-1.0972449368366334E-2</v>
      </c>
      <c r="G3759" s="90">
        <v>3751</v>
      </c>
      <c r="H3759" s="90">
        <f t="shared" ca="1" si="117"/>
        <v>1.4367499524844868E-2</v>
      </c>
    </row>
    <row r="3760" spans="2:8" x14ac:dyDescent="0.3">
      <c r="B3760" s="58">
        <f>'DATA HISTORICAL'!$B4405</f>
        <v>40371</v>
      </c>
      <c r="C3760" s="60">
        <f>'DATA HISTORICAL'!$C4405</f>
        <v>854.8</v>
      </c>
      <c r="D3760" s="53">
        <f t="shared" si="116"/>
        <v>-4.0279088928089129E-3</v>
      </c>
      <c r="E3760" s="53">
        <v>-1.0996901996798958E-2</v>
      </c>
      <c r="G3760" s="90">
        <v>3752</v>
      </c>
      <c r="H3760" s="90">
        <f t="shared" ca="1" si="117"/>
        <v>4.1232167763919515E-3</v>
      </c>
    </row>
    <row r="3761" spans="2:8" x14ac:dyDescent="0.3">
      <c r="B3761" s="58">
        <f>'DATA HISTORICAL'!$B4406</f>
        <v>40368</v>
      </c>
      <c r="C3761" s="60">
        <f>'DATA HISTORICAL'!$C4406</f>
        <v>858.25</v>
      </c>
      <c r="D3761" s="53">
        <f t="shared" si="116"/>
        <v>-4.7657883996082267E-3</v>
      </c>
      <c r="E3761" s="53">
        <v>-1.1023733682048172E-2</v>
      </c>
      <c r="G3761" s="90">
        <v>3753</v>
      </c>
      <c r="H3761" s="90">
        <f t="shared" ca="1" si="117"/>
        <v>-9.4310204257169877E-3</v>
      </c>
    </row>
    <row r="3762" spans="2:8" x14ac:dyDescent="0.3">
      <c r="B3762" s="58">
        <f>'DATA HISTORICAL'!$B4407</f>
        <v>40367</v>
      </c>
      <c r="C3762" s="60">
        <f>'DATA HISTORICAL'!$C4407</f>
        <v>862.35</v>
      </c>
      <c r="D3762" s="53">
        <f t="shared" si="116"/>
        <v>-3.183886448919029E-3</v>
      </c>
      <c r="E3762" s="53">
        <v>-1.1025534672842598E-2</v>
      </c>
      <c r="G3762" s="90">
        <v>3754</v>
      </c>
      <c r="H3762" s="90">
        <f t="shared" ca="1" si="117"/>
        <v>-4.115624858666779E-2</v>
      </c>
    </row>
    <row r="3763" spans="2:8" x14ac:dyDescent="0.3">
      <c r="B3763" s="58">
        <f>'DATA HISTORICAL'!$B4408</f>
        <v>40366</v>
      </c>
      <c r="C3763" s="60">
        <f>'DATA HISTORICAL'!$C4408</f>
        <v>865.1</v>
      </c>
      <c r="D3763" s="53">
        <f t="shared" si="116"/>
        <v>2.2566189237708751E-3</v>
      </c>
      <c r="E3763" s="53">
        <v>-1.1030030480560627E-2</v>
      </c>
      <c r="G3763" s="90">
        <v>3755</v>
      </c>
      <c r="H3763" s="90">
        <f t="shared" ca="1" si="117"/>
        <v>2.3715985048356959E-2</v>
      </c>
    </row>
    <row r="3764" spans="2:8" x14ac:dyDescent="0.3">
      <c r="B3764" s="58">
        <f>'DATA HISTORICAL'!$B4409</f>
        <v>40365</v>
      </c>
      <c r="C3764" s="60">
        <f>'DATA HISTORICAL'!$C4409</f>
        <v>863.15</v>
      </c>
      <c r="D3764" s="53">
        <f t="shared" si="116"/>
        <v>-4.4504885179840218E-3</v>
      </c>
      <c r="E3764" s="53">
        <v>-1.1036121605186109E-2</v>
      </c>
      <c r="G3764" s="90">
        <v>3756</v>
      </c>
      <c r="H3764" s="90">
        <f t="shared" ca="1" si="117"/>
        <v>7.9739250140876804E-3</v>
      </c>
    </row>
    <row r="3765" spans="2:8" x14ac:dyDescent="0.3">
      <c r="B3765" s="58">
        <f>'DATA HISTORICAL'!$B4410</f>
        <v>40364</v>
      </c>
      <c r="C3765" s="60">
        <f>'DATA HISTORICAL'!$C4410</f>
        <v>867</v>
      </c>
      <c r="D3765" s="53">
        <f t="shared" si="116"/>
        <v>-4.0862190320655372E-3</v>
      </c>
      <c r="E3765" s="53">
        <v>-1.1065451094375971E-2</v>
      </c>
      <c r="G3765" s="90">
        <v>3757</v>
      </c>
      <c r="H3765" s="90">
        <f t="shared" ca="1" si="117"/>
        <v>-7.1768598712079476E-3</v>
      </c>
    </row>
    <row r="3766" spans="2:8" x14ac:dyDescent="0.3">
      <c r="B3766" s="58">
        <f>'DATA HISTORICAL'!$B4411</f>
        <v>40361</v>
      </c>
      <c r="C3766" s="60">
        <f>'DATA HISTORICAL'!$C4411</f>
        <v>870.55</v>
      </c>
      <c r="D3766" s="53">
        <f t="shared" si="116"/>
        <v>4.5476865067984465E-3</v>
      </c>
      <c r="E3766" s="53">
        <v>-1.1074086641114889E-2</v>
      </c>
      <c r="G3766" s="90">
        <v>3758</v>
      </c>
      <c r="H3766" s="90">
        <f t="shared" ca="1" si="117"/>
        <v>1.8014575373595021E-2</v>
      </c>
    </row>
    <row r="3767" spans="2:8" x14ac:dyDescent="0.3">
      <c r="B3767" s="58">
        <f>'DATA HISTORICAL'!$B4412</f>
        <v>40360</v>
      </c>
      <c r="C3767" s="60">
        <f>'DATA HISTORICAL'!$C4412</f>
        <v>866.6</v>
      </c>
      <c r="D3767" s="53">
        <f t="shared" si="116"/>
        <v>-1.4548627079147372E-2</v>
      </c>
      <c r="E3767" s="53">
        <v>-1.1081301104057575E-2</v>
      </c>
      <c r="G3767" s="90">
        <v>3759</v>
      </c>
      <c r="H3767" s="90">
        <f t="shared" ca="1" si="117"/>
        <v>6.8941270710935363E-3</v>
      </c>
    </row>
    <row r="3768" spans="2:8" x14ac:dyDescent="0.3">
      <c r="B3768" s="58">
        <f>'DATA HISTORICAL'!$B4413</f>
        <v>40359</v>
      </c>
      <c r="C3768" s="60">
        <f>'DATA HISTORICAL'!$C4413</f>
        <v>879.3</v>
      </c>
      <c r="D3768" s="53">
        <f t="shared" si="116"/>
        <v>6.825938831588013E-4</v>
      </c>
      <c r="E3768" s="53">
        <v>-1.1095291085935084E-2</v>
      </c>
      <c r="G3768" s="90">
        <v>3760</v>
      </c>
      <c r="H3768" s="90">
        <f t="shared" ca="1" si="117"/>
        <v>2.8105022630725398E-3</v>
      </c>
    </row>
    <row r="3769" spans="2:8" x14ac:dyDescent="0.3">
      <c r="B3769" s="58">
        <f>'DATA HISTORICAL'!$B4414</f>
        <v>40358</v>
      </c>
      <c r="C3769" s="60">
        <f>'DATA HISTORICAL'!$C4414</f>
        <v>878.7</v>
      </c>
      <c r="D3769" s="53">
        <f t="shared" si="116"/>
        <v>-5.0052055494707433E-2</v>
      </c>
      <c r="E3769" s="53">
        <v>-1.1099745496126238E-2</v>
      </c>
      <c r="G3769" s="90">
        <v>3761</v>
      </c>
      <c r="H3769" s="90">
        <f t="shared" ca="1" si="117"/>
        <v>4.9935817855822099E-3</v>
      </c>
    </row>
    <row r="3770" spans="2:8" x14ac:dyDescent="0.3">
      <c r="B3770" s="58">
        <f>'DATA HISTORICAL'!$B4415</f>
        <v>40357</v>
      </c>
      <c r="C3770" s="60">
        <f>'DATA HISTORICAL'!$C4415</f>
        <v>923.8</v>
      </c>
      <c r="D3770" s="53">
        <f t="shared" si="116"/>
        <v>-8.4616096769166808E-3</v>
      </c>
      <c r="E3770" s="53">
        <v>-1.1101757760156827E-2</v>
      </c>
      <c r="G3770" s="90">
        <v>3762</v>
      </c>
      <c r="H3770" s="90">
        <f t="shared" ca="1" si="117"/>
        <v>-1.5319249685193641E-3</v>
      </c>
    </row>
    <row r="3771" spans="2:8" x14ac:dyDescent="0.3">
      <c r="B3771" s="58">
        <f>'DATA HISTORICAL'!$B4416</f>
        <v>40354</v>
      </c>
      <c r="C3771" s="60">
        <f>'DATA HISTORICAL'!$C4416</f>
        <v>931.65</v>
      </c>
      <c r="D3771" s="53">
        <f t="shared" si="116"/>
        <v>-1.5021055839717013E-2</v>
      </c>
      <c r="E3771" s="53">
        <v>-1.1109379975145437E-2</v>
      </c>
      <c r="G3771" s="90">
        <v>3763</v>
      </c>
      <c r="H3771" s="90">
        <f t="shared" ca="1" si="117"/>
        <v>1.2260176993897275E-2</v>
      </c>
    </row>
    <row r="3772" spans="2:8" x14ac:dyDescent="0.3">
      <c r="B3772" s="58">
        <f>'DATA HISTORICAL'!$B4417</f>
        <v>40353</v>
      </c>
      <c r="C3772" s="60">
        <f>'DATA HISTORICAL'!$C4417</f>
        <v>945.75</v>
      </c>
      <c r="D3772" s="53">
        <f t="shared" si="116"/>
        <v>-1.0570422630919153E-2</v>
      </c>
      <c r="E3772" s="53">
        <v>-1.1127494026182882E-2</v>
      </c>
      <c r="G3772" s="90">
        <v>3764</v>
      </c>
      <c r="H3772" s="90">
        <f t="shared" ca="1" si="117"/>
        <v>1.2211379381882621E-2</v>
      </c>
    </row>
    <row r="3773" spans="2:8" x14ac:dyDescent="0.3">
      <c r="B3773" s="58">
        <f>'DATA HISTORICAL'!$B4418</f>
        <v>40352</v>
      </c>
      <c r="C3773" s="60">
        <f>'DATA HISTORICAL'!$C4418</f>
        <v>955.8</v>
      </c>
      <c r="D3773" s="53">
        <f t="shared" si="116"/>
        <v>-1.6725908143508704E-3</v>
      </c>
      <c r="E3773" s="53">
        <v>-1.1132928150867662E-2</v>
      </c>
      <c r="G3773" s="90">
        <v>3765</v>
      </c>
      <c r="H3773" s="90">
        <f t="shared" ca="1" si="117"/>
        <v>-9.2973510122825072E-4</v>
      </c>
    </row>
    <row r="3774" spans="2:8" x14ac:dyDescent="0.3">
      <c r="B3774" s="58">
        <f>'DATA HISTORICAL'!$B4419</f>
        <v>40351</v>
      </c>
      <c r="C3774" s="60">
        <f>'DATA HISTORICAL'!$C4419</f>
        <v>957.4</v>
      </c>
      <c r="D3774" s="53">
        <f t="shared" si="116"/>
        <v>-1.2559197724297876E-2</v>
      </c>
      <c r="E3774" s="53">
        <v>-1.1133260456906463E-2</v>
      </c>
      <c r="G3774" s="90">
        <v>3766</v>
      </c>
      <c r="H3774" s="90">
        <f t="shared" ca="1" si="117"/>
        <v>4.4621329326702486E-2</v>
      </c>
    </row>
    <row r="3775" spans="2:8" x14ac:dyDescent="0.3">
      <c r="B3775" s="58">
        <f>'DATA HISTORICAL'!$B4420</f>
        <v>40350</v>
      </c>
      <c r="C3775" s="60">
        <f>'DATA HISTORICAL'!$C4420</f>
        <v>969.5</v>
      </c>
      <c r="D3775" s="53">
        <f t="shared" si="116"/>
        <v>9.7430289791282862E-3</v>
      </c>
      <c r="E3775" s="53">
        <v>-1.1143873738911042E-2</v>
      </c>
      <c r="G3775" s="90">
        <v>3767</v>
      </c>
      <c r="H3775" s="90">
        <f t="shared" ca="1" si="117"/>
        <v>-2.1621243937333112E-2</v>
      </c>
    </row>
    <row r="3776" spans="2:8" x14ac:dyDescent="0.3">
      <c r="B3776" s="58">
        <f>'DATA HISTORICAL'!$B4421</f>
        <v>40347</v>
      </c>
      <c r="C3776" s="60">
        <f>'DATA HISTORICAL'!$C4421</f>
        <v>960.1</v>
      </c>
      <c r="D3776" s="53">
        <f t="shared" si="116"/>
        <v>-2.3419068700229466E-2</v>
      </c>
      <c r="E3776" s="53">
        <v>-1.11456847021674E-2</v>
      </c>
      <c r="G3776" s="90">
        <v>3768</v>
      </c>
      <c r="H3776" s="90">
        <f t="shared" ca="1" si="117"/>
        <v>-8.399728222981611E-3</v>
      </c>
    </row>
    <row r="3777" spans="2:8" x14ac:dyDescent="0.3">
      <c r="B3777" s="58">
        <f>'DATA HISTORICAL'!$B4422</f>
        <v>40346</v>
      </c>
      <c r="C3777" s="60">
        <f>'DATA HISTORICAL'!$C4422</f>
        <v>982.85</v>
      </c>
      <c r="D3777" s="53">
        <f t="shared" si="116"/>
        <v>1.8840548384445991E-3</v>
      </c>
      <c r="E3777" s="53">
        <v>-1.1162571646316847E-2</v>
      </c>
      <c r="G3777" s="90">
        <v>3769</v>
      </c>
      <c r="H3777" s="90">
        <f t="shared" ca="1" si="117"/>
        <v>-3.2248785345853959E-2</v>
      </c>
    </row>
    <row r="3778" spans="2:8" x14ac:dyDescent="0.3">
      <c r="B3778" s="58">
        <f>'DATA HISTORICAL'!$B4423</f>
        <v>40345</v>
      </c>
      <c r="C3778" s="60">
        <f>'DATA HISTORICAL'!$C4423</f>
        <v>981</v>
      </c>
      <c r="D3778" s="53">
        <f t="shared" si="116"/>
        <v>-3.1042492040831643E-3</v>
      </c>
      <c r="E3778" s="53">
        <v>-1.116302264123306E-2</v>
      </c>
      <c r="G3778" s="90">
        <v>3770</v>
      </c>
      <c r="H3778" s="90">
        <f t="shared" ca="1" si="117"/>
        <v>8.6147901229652359E-3</v>
      </c>
    </row>
    <row r="3779" spans="2:8" x14ac:dyDescent="0.3">
      <c r="B3779" s="58">
        <f>'DATA HISTORICAL'!$B4424</f>
        <v>40344</v>
      </c>
      <c r="C3779" s="60">
        <f>'DATA HISTORICAL'!$C4424</f>
        <v>984.05</v>
      </c>
      <c r="D3779" s="53">
        <f t="shared" si="116"/>
        <v>4.8897362235056597E-3</v>
      </c>
      <c r="E3779" s="53">
        <v>-1.1170124810331436E-2</v>
      </c>
      <c r="G3779" s="90">
        <v>3771</v>
      </c>
      <c r="H3779" s="90">
        <f t="shared" ca="1" si="117"/>
        <v>-1.5660066541170227E-2</v>
      </c>
    </row>
    <row r="3780" spans="2:8" x14ac:dyDescent="0.3">
      <c r="B3780" s="58">
        <f>'DATA HISTORICAL'!$B4425</f>
        <v>40343</v>
      </c>
      <c r="C3780" s="60">
        <f>'DATA HISTORICAL'!$C4425</f>
        <v>979.25</v>
      </c>
      <c r="D3780" s="53">
        <f t="shared" si="116"/>
        <v>4.759842136534893E-3</v>
      </c>
      <c r="E3780" s="53">
        <v>-1.1181900976463708E-2</v>
      </c>
      <c r="G3780" s="90">
        <v>3772</v>
      </c>
      <c r="H3780" s="90">
        <f t="shared" ca="1" si="117"/>
        <v>-6.173426955301038E-3</v>
      </c>
    </row>
    <row r="3781" spans="2:8" x14ac:dyDescent="0.3">
      <c r="B3781" s="58">
        <f>'DATA HISTORICAL'!$B4426</f>
        <v>40340</v>
      </c>
      <c r="C3781" s="60">
        <f>'DATA HISTORICAL'!$C4426</f>
        <v>974.6</v>
      </c>
      <c r="D3781" s="53">
        <f t="shared" si="116"/>
        <v>-7.3604912145462725E-3</v>
      </c>
      <c r="E3781" s="53">
        <v>-1.1195510162348266E-2</v>
      </c>
      <c r="G3781" s="90">
        <v>3773</v>
      </c>
      <c r="H3781" s="90">
        <f t="shared" ca="1" si="117"/>
        <v>-5.9325111991587664E-3</v>
      </c>
    </row>
    <row r="3782" spans="2:8" x14ac:dyDescent="0.3">
      <c r="B3782" s="58">
        <f>'DATA HISTORICAL'!$B4427</f>
        <v>40339</v>
      </c>
      <c r="C3782" s="60">
        <f>'DATA HISTORICAL'!$C4427</f>
        <v>981.8</v>
      </c>
      <c r="D3782" s="53">
        <f t="shared" si="116"/>
        <v>3.8308519835371931E-2</v>
      </c>
      <c r="E3782" s="53">
        <v>-1.1200352881368978E-2</v>
      </c>
      <c r="G3782" s="90">
        <v>3774</v>
      </c>
      <c r="H3782" s="90">
        <f t="shared" ca="1" si="117"/>
        <v>9.3875275796529434E-3</v>
      </c>
    </row>
    <row r="3783" spans="2:8" x14ac:dyDescent="0.3">
      <c r="B3783" s="58">
        <f>'DATA HISTORICAL'!$B4428</f>
        <v>40338</v>
      </c>
      <c r="C3783" s="60">
        <f>'DATA HISTORICAL'!$C4428</f>
        <v>944.9</v>
      </c>
      <c r="D3783" s="53">
        <f t="shared" si="116"/>
        <v>-2.800604224238798E-3</v>
      </c>
      <c r="E3783" s="53">
        <v>-1.121164017353247E-2</v>
      </c>
      <c r="G3783" s="90">
        <v>3775</v>
      </c>
      <c r="H3783" s="90">
        <f t="shared" ca="1" si="117"/>
        <v>-1.2865002029360695E-2</v>
      </c>
    </row>
    <row r="3784" spans="2:8" x14ac:dyDescent="0.3">
      <c r="B3784" s="58">
        <f>'DATA HISTORICAL'!$B4429</f>
        <v>40337</v>
      </c>
      <c r="C3784" s="60">
        <f>'DATA HISTORICAL'!$C4429</f>
        <v>947.55</v>
      </c>
      <c r="D3784" s="53">
        <f t="shared" si="116"/>
        <v>-1.1075074306623506E-3</v>
      </c>
      <c r="E3784" s="53">
        <v>-1.121459975703612E-2</v>
      </c>
      <c r="G3784" s="90">
        <v>3776</v>
      </c>
      <c r="H3784" s="90">
        <f t="shared" ca="1" si="117"/>
        <v>-1.2714208689554304E-2</v>
      </c>
    </row>
    <row r="3785" spans="2:8" x14ac:dyDescent="0.3">
      <c r="B3785" s="58">
        <f>'DATA HISTORICAL'!$B4430</f>
        <v>40336</v>
      </c>
      <c r="C3785" s="60">
        <f>'DATA HISTORICAL'!$C4430</f>
        <v>948.6</v>
      </c>
      <c r="D3785" s="53">
        <f t="shared" ref="D3785:D3848" si="118">LN(C3785/C3786)</f>
        <v>-4.3128452692523314E-3</v>
      </c>
      <c r="E3785" s="53">
        <v>-1.1217898412900733E-2</v>
      </c>
      <c r="G3785" s="90">
        <v>3777</v>
      </c>
      <c r="H3785" s="90">
        <f t="shared" ref="H3785:H3848" ca="1" si="119">_xlfn.NORM.INV(RAND(),N$10,N$11)</f>
        <v>3.1247915455175738E-2</v>
      </c>
    </row>
    <row r="3786" spans="2:8" x14ac:dyDescent="0.3">
      <c r="B3786" s="58">
        <f>'DATA HISTORICAL'!$B4431</f>
        <v>40333</v>
      </c>
      <c r="C3786" s="60">
        <f>'DATA HISTORICAL'!$C4431</f>
        <v>952.7</v>
      </c>
      <c r="D3786" s="53">
        <f t="shared" si="118"/>
        <v>7.0046369349639299E-3</v>
      </c>
      <c r="E3786" s="53">
        <v>-1.1224549963835319E-2</v>
      </c>
      <c r="G3786" s="90">
        <v>3778</v>
      </c>
      <c r="H3786" s="90">
        <f t="shared" ca="1" si="119"/>
        <v>-1.2989278316138868E-2</v>
      </c>
    </row>
    <row r="3787" spans="2:8" x14ac:dyDescent="0.3">
      <c r="B3787" s="58">
        <f>'DATA HISTORICAL'!$B4432</f>
        <v>40332</v>
      </c>
      <c r="C3787" s="60">
        <f>'DATA HISTORICAL'!$C4432</f>
        <v>946.05</v>
      </c>
      <c r="D3787" s="53">
        <f t="shared" si="118"/>
        <v>-2.7444995323727935E-3</v>
      </c>
      <c r="E3787" s="53">
        <v>-1.1238903399582343E-2</v>
      </c>
      <c r="G3787" s="90">
        <v>3779</v>
      </c>
      <c r="H3787" s="90">
        <f t="shared" ca="1" si="119"/>
        <v>1.6094672870829545E-2</v>
      </c>
    </row>
    <row r="3788" spans="2:8" x14ac:dyDescent="0.3">
      <c r="B3788" s="58">
        <f>'DATA HISTORICAL'!$B4433</f>
        <v>40331</v>
      </c>
      <c r="C3788" s="60">
        <f>'DATA HISTORICAL'!$C4433</f>
        <v>948.65</v>
      </c>
      <c r="D3788" s="53">
        <f t="shared" si="118"/>
        <v>3.2406895744840555E-2</v>
      </c>
      <c r="E3788" s="53">
        <v>-1.1253887356893135E-2</v>
      </c>
      <c r="G3788" s="90">
        <v>3780</v>
      </c>
      <c r="H3788" s="90">
        <f t="shared" ca="1" si="119"/>
        <v>6.88115282600784E-3</v>
      </c>
    </row>
    <row r="3789" spans="2:8" x14ac:dyDescent="0.3">
      <c r="B3789" s="58">
        <f>'DATA HISTORICAL'!$B4434</f>
        <v>40330</v>
      </c>
      <c r="C3789" s="60">
        <f>'DATA HISTORICAL'!$C4434</f>
        <v>918.4</v>
      </c>
      <c r="D3789" s="53">
        <f t="shared" si="118"/>
        <v>-3.6410115489519611E-3</v>
      </c>
      <c r="E3789" s="53">
        <v>-1.127311582706675E-2</v>
      </c>
      <c r="G3789" s="90">
        <v>3781</v>
      </c>
      <c r="H3789" s="90">
        <f t="shared" ca="1" si="119"/>
        <v>8.6957493388037169E-3</v>
      </c>
    </row>
    <row r="3790" spans="2:8" x14ac:dyDescent="0.3">
      <c r="B3790" s="58">
        <f>'DATA HISTORICAL'!$B4435</f>
        <v>40329</v>
      </c>
      <c r="C3790" s="60">
        <f>'DATA HISTORICAL'!$C4435</f>
        <v>921.75</v>
      </c>
      <c r="D3790" s="53">
        <f t="shared" si="118"/>
        <v>-1.7902260225011762E-2</v>
      </c>
      <c r="E3790" s="53">
        <v>-1.1278879332206507E-2</v>
      </c>
      <c r="G3790" s="90">
        <v>3782</v>
      </c>
      <c r="H3790" s="90">
        <f t="shared" ca="1" si="119"/>
        <v>1.8947484309242358E-2</v>
      </c>
    </row>
    <row r="3791" spans="2:8" x14ac:dyDescent="0.3">
      <c r="B3791" s="58">
        <f>'DATA HISTORICAL'!$B4436</f>
        <v>40326</v>
      </c>
      <c r="C3791" s="60">
        <f>'DATA HISTORICAL'!$C4436</f>
        <v>938.4</v>
      </c>
      <c r="D3791" s="53">
        <f t="shared" si="118"/>
        <v>1.2262417232442935E-3</v>
      </c>
      <c r="E3791" s="53">
        <v>-1.1281418372818269E-2</v>
      </c>
      <c r="G3791" s="90">
        <v>3783</v>
      </c>
      <c r="H3791" s="90">
        <f t="shared" ca="1" si="119"/>
        <v>6.4613438462587068E-3</v>
      </c>
    </row>
    <row r="3792" spans="2:8" x14ac:dyDescent="0.3">
      <c r="B3792" s="58">
        <f>'DATA HISTORICAL'!$B4437</f>
        <v>40325</v>
      </c>
      <c r="C3792" s="60">
        <f>'DATA HISTORICAL'!$C4437</f>
        <v>937.25</v>
      </c>
      <c r="D3792" s="53">
        <f t="shared" si="118"/>
        <v>5.2417749459188565E-3</v>
      </c>
      <c r="E3792" s="53">
        <v>-1.1296960701300391E-2</v>
      </c>
      <c r="G3792" s="90">
        <v>3784</v>
      </c>
      <c r="H3792" s="90">
        <f t="shared" ca="1" si="119"/>
        <v>1.7463625950310431E-2</v>
      </c>
    </row>
    <row r="3793" spans="2:8" x14ac:dyDescent="0.3">
      <c r="B3793" s="58">
        <f>'DATA HISTORICAL'!$B4438</f>
        <v>40324</v>
      </c>
      <c r="C3793" s="60">
        <f>'DATA HISTORICAL'!$C4438</f>
        <v>932.35</v>
      </c>
      <c r="D3793" s="53">
        <f t="shared" si="118"/>
        <v>8.2929931392168033E-3</v>
      </c>
      <c r="E3793" s="53">
        <v>-1.1299049608017536E-2</v>
      </c>
      <c r="G3793" s="90">
        <v>3785</v>
      </c>
      <c r="H3793" s="90">
        <f t="shared" ca="1" si="119"/>
        <v>1.5053134896893781E-2</v>
      </c>
    </row>
    <row r="3794" spans="2:8" x14ac:dyDescent="0.3">
      <c r="B3794" s="58">
        <f>'DATA HISTORICAL'!$B4439</f>
        <v>40323</v>
      </c>
      <c r="C3794" s="60">
        <f>'DATA HISTORICAL'!$C4439</f>
        <v>924.65</v>
      </c>
      <c r="D3794" s="53">
        <f t="shared" si="118"/>
        <v>-3.3447222560514876E-2</v>
      </c>
      <c r="E3794" s="53">
        <v>-1.1302991670209501E-2</v>
      </c>
      <c r="G3794" s="90">
        <v>3786</v>
      </c>
      <c r="H3794" s="90">
        <f t="shared" ca="1" si="119"/>
        <v>9.4263591952634673E-3</v>
      </c>
    </row>
    <row r="3795" spans="2:8" x14ac:dyDescent="0.3">
      <c r="B3795" s="58">
        <f>'DATA HISTORICAL'!$B4440</f>
        <v>40322</v>
      </c>
      <c r="C3795" s="60">
        <f>'DATA HISTORICAL'!$C4440</f>
        <v>956.1</v>
      </c>
      <c r="D3795" s="53">
        <f t="shared" si="118"/>
        <v>6.8743219311464257E-3</v>
      </c>
      <c r="E3795" s="53">
        <v>-1.1309759546296257E-2</v>
      </c>
      <c r="G3795" s="90">
        <v>3787</v>
      </c>
      <c r="H3795" s="90">
        <f t="shared" ca="1" si="119"/>
        <v>-2.372857850343771E-3</v>
      </c>
    </row>
    <row r="3796" spans="2:8" x14ac:dyDescent="0.3">
      <c r="B3796" s="58">
        <f>'DATA HISTORICAL'!$B4441</f>
        <v>40319</v>
      </c>
      <c r="C3796" s="60">
        <f>'DATA HISTORICAL'!$C4441</f>
        <v>949.55</v>
      </c>
      <c r="D3796" s="53">
        <f t="shared" si="118"/>
        <v>-8.4214963659260485E-4</v>
      </c>
      <c r="E3796" s="53">
        <v>-1.1325149357053513E-2</v>
      </c>
      <c r="G3796" s="90">
        <v>3788</v>
      </c>
      <c r="H3796" s="90">
        <f t="shared" ca="1" si="119"/>
        <v>-2.1460553327645283E-2</v>
      </c>
    </row>
    <row r="3797" spans="2:8" x14ac:dyDescent="0.3">
      <c r="B3797" s="58">
        <f>'DATA HISTORICAL'!$B4442</f>
        <v>40318</v>
      </c>
      <c r="C3797" s="60">
        <f>'DATA HISTORICAL'!$C4442</f>
        <v>950.35</v>
      </c>
      <c r="D3797" s="53">
        <f t="shared" si="118"/>
        <v>-6.8372474854367846E-4</v>
      </c>
      <c r="E3797" s="53">
        <v>-1.1353734990622984E-2</v>
      </c>
      <c r="G3797" s="90">
        <v>3789</v>
      </c>
      <c r="H3797" s="90">
        <f t="shared" ca="1" si="119"/>
        <v>1.8606435012293417E-2</v>
      </c>
    </row>
    <row r="3798" spans="2:8" x14ac:dyDescent="0.3">
      <c r="B3798" s="58">
        <f>'DATA HISTORICAL'!$B4443</f>
        <v>40317</v>
      </c>
      <c r="C3798" s="60">
        <f>'DATA HISTORICAL'!$C4443</f>
        <v>951</v>
      </c>
      <c r="D3798" s="53">
        <f t="shared" si="118"/>
        <v>-3.6211958015205325E-3</v>
      </c>
      <c r="E3798" s="53">
        <v>-1.1366069982238469E-2</v>
      </c>
      <c r="G3798" s="90">
        <v>3790</v>
      </c>
      <c r="H3798" s="90">
        <f t="shared" ca="1" si="119"/>
        <v>9.7313642256958415E-3</v>
      </c>
    </row>
    <row r="3799" spans="2:8" x14ac:dyDescent="0.3">
      <c r="B3799" s="58">
        <f>'DATA HISTORICAL'!$B4444</f>
        <v>40316</v>
      </c>
      <c r="C3799" s="60">
        <f>'DATA HISTORICAL'!$C4444</f>
        <v>954.45</v>
      </c>
      <c r="D3799" s="53">
        <f t="shared" si="118"/>
        <v>9.5271399877749283E-3</v>
      </c>
      <c r="E3799" s="53">
        <v>-1.1396541325450423E-2</v>
      </c>
      <c r="G3799" s="90">
        <v>3791</v>
      </c>
      <c r="H3799" s="90">
        <f t="shared" ca="1" si="119"/>
        <v>8.1411394876945015E-3</v>
      </c>
    </row>
    <row r="3800" spans="2:8" x14ac:dyDescent="0.3">
      <c r="B3800" s="58">
        <f>'DATA HISTORICAL'!$B4445</f>
        <v>40315</v>
      </c>
      <c r="C3800" s="60">
        <f>'DATA HISTORICAL'!$C4445</f>
        <v>945.4</v>
      </c>
      <c r="D3800" s="53">
        <f t="shared" si="118"/>
        <v>6.5796692853038385E-3</v>
      </c>
      <c r="E3800" s="53">
        <v>-1.1400995439254933E-2</v>
      </c>
      <c r="G3800" s="90">
        <v>3792</v>
      </c>
      <c r="H3800" s="90">
        <f t="shared" ca="1" si="119"/>
        <v>-3.5237525427070239E-2</v>
      </c>
    </row>
    <row r="3801" spans="2:8" x14ac:dyDescent="0.3">
      <c r="B3801" s="58">
        <f>'DATA HISTORICAL'!$B4446</f>
        <v>40312</v>
      </c>
      <c r="C3801" s="60">
        <f>'DATA HISTORICAL'!$C4446</f>
        <v>939.2</v>
      </c>
      <c r="D3801" s="53">
        <f t="shared" si="118"/>
        <v>-2.4505617088107199E-2</v>
      </c>
      <c r="E3801" s="53">
        <v>-1.1423659424988715E-2</v>
      </c>
      <c r="G3801" s="90">
        <v>3793</v>
      </c>
      <c r="H3801" s="90">
        <f t="shared" ca="1" si="119"/>
        <v>4.0343664395104707E-3</v>
      </c>
    </row>
    <row r="3802" spans="2:8" x14ac:dyDescent="0.3">
      <c r="B3802" s="58">
        <f>'DATA HISTORICAL'!$B4447</f>
        <v>40311</v>
      </c>
      <c r="C3802" s="60">
        <f>'DATA HISTORICAL'!$C4447</f>
        <v>962.5</v>
      </c>
      <c r="D3802" s="53">
        <f t="shared" si="118"/>
        <v>-5.2330369932169774E-3</v>
      </c>
      <c r="E3802" s="53">
        <v>-1.1430705661780465E-2</v>
      </c>
      <c r="G3802" s="90">
        <v>3794</v>
      </c>
      <c r="H3802" s="90">
        <f t="shared" ca="1" si="119"/>
        <v>2.629554273627379E-2</v>
      </c>
    </row>
    <row r="3803" spans="2:8" x14ac:dyDescent="0.3">
      <c r="B3803" s="58">
        <f>'DATA HISTORICAL'!$B4448</f>
        <v>40310</v>
      </c>
      <c r="C3803" s="60">
        <f>'DATA HISTORICAL'!$C4448</f>
        <v>967.55</v>
      </c>
      <c r="D3803" s="53">
        <f t="shared" si="118"/>
        <v>1.6622324726353613E-2</v>
      </c>
      <c r="E3803" s="53">
        <v>-1.1432464850139754E-2</v>
      </c>
      <c r="G3803" s="90">
        <v>3795</v>
      </c>
      <c r="H3803" s="90">
        <f t="shared" ca="1" si="119"/>
        <v>1.7921374795162887E-2</v>
      </c>
    </row>
    <row r="3804" spans="2:8" x14ac:dyDescent="0.3">
      <c r="B3804" s="58">
        <f>'DATA HISTORICAL'!$B4449</f>
        <v>40309</v>
      </c>
      <c r="C3804" s="60">
        <f>'DATA HISTORICAL'!$C4449</f>
        <v>951.6</v>
      </c>
      <c r="D3804" s="53">
        <f t="shared" si="118"/>
        <v>4.7928883260522099E-3</v>
      </c>
      <c r="E3804" s="53">
        <v>-1.1450281507997718E-2</v>
      </c>
      <c r="G3804" s="90">
        <v>3796</v>
      </c>
      <c r="H3804" s="90">
        <f t="shared" ca="1" si="119"/>
        <v>1.1084538012652767E-2</v>
      </c>
    </row>
    <row r="3805" spans="2:8" x14ac:dyDescent="0.3">
      <c r="B3805" s="58">
        <f>'DATA HISTORICAL'!$B4450</f>
        <v>40308</v>
      </c>
      <c r="C3805" s="60">
        <f>'DATA HISTORICAL'!$C4450</f>
        <v>947.05</v>
      </c>
      <c r="D3805" s="53">
        <f t="shared" si="118"/>
        <v>1.6908854755217128E-3</v>
      </c>
      <c r="E3805" s="53">
        <v>-1.1453943761114525E-2</v>
      </c>
      <c r="G3805" s="90">
        <v>3797</v>
      </c>
      <c r="H3805" s="90">
        <f t="shared" ca="1" si="119"/>
        <v>9.9742864176428393E-3</v>
      </c>
    </row>
    <row r="3806" spans="2:8" x14ac:dyDescent="0.3">
      <c r="B3806" s="58">
        <f>'DATA HISTORICAL'!$B4451</f>
        <v>40305</v>
      </c>
      <c r="C3806" s="60">
        <f>'DATA HISTORICAL'!$C4451</f>
        <v>945.45</v>
      </c>
      <c r="D3806" s="53">
        <f t="shared" si="118"/>
        <v>-5.4323595526802803E-3</v>
      </c>
      <c r="E3806" s="53">
        <v>-1.1454878974766367E-2</v>
      </c>
      <c r="G3806" s="90">
        <v>3798</v>
      </c>
      <c r="H3806" s="90">
        <f t="shared" ca="1" si="119"/>
        <v>1.6591450513267037E-2</v>
      </c>
    </row>
    <row r="3807" spans="2:8" x14ac:dyDescent="0.3">
      <c r="B3807" s="58">
        <f>'DATA HISTORICAL'!$B4452</f>
        <v>40304</v>
      </c>
      <c r="C3807" s="60">
        <f>'DATA HISTORICAL'!$C4452</f>
        <v>950.6</v>
      </c>
      <c r="D3807" s="53">
        <f t="shared" si="118"/>
        <v>-1.855186088399427E-2</v>
      </c>
      <c r="E3807" s="53">
        <v>-1.1462620372229447E-2</v>
      </c>
      <c r="G3807" s="90">
        <v>3799</v>
      </c>
      <c r="H3807" s="90">
        <f t="shared" ca="1" si="119"/>
        <v>-1.4629096229972736E-3</v>
      </c>
    </row>
    <row r="3808" spans="2:8" x14ac:dyDescent="0.3">
      <c r="B3808" s="58">
        <f>'DATA HISTORICAL'!$B4453</f>
        <v>40303</v>
      </c>
      <c r="C3808" s="60">
        <f>'DATA HISTORICAL'!$C4453</f>
        <v>968.4</v>
      </c>
      <c r="D3808" s="53">
        <f t="shared" si="118"/>
        <v>4.3853484888805132E-2</v>
      </c>
      <c r="E3808" s="53">
        <v>-1.1466366841029155E-2</v>
      </c>
      <c r="G3808" s="90">
        <v>3800</v>
      </c>
      <c r="H3808" s="90">
        <f t="shared" ca="1" si="119"/>
        <v>2.880291584346243E-2</v>
      </c>
    </row>
    <row r="3809" spans="2:8" x14ac:dyDescent="0.3">
      <c r="B3809" s="58">
        <f>'DATA HISTORICAL'!$B4454</f>
        <v>40302</v>
      </c>
      <c r="C3809" s="60">
        <f>'DATA HISTORICAL'!$C4454</f>
        <v>926.85</v>
      </c>
      <c r="D3809" s="53">
        <f t="shared" si="118"/>
        <v>-3.0443023505229417E-2</v>
      </c>
      <c r="E3809" s="53">
        <v>-1.1468015591641295E-2</v>
      </c>
      <c r="G3809" s="90">
        <v>3801</v>
      </c>
      <c r="H3809" s="90">
        <f t="shared" ca="1" si="119"/>
        <v>6.7345579540956544E-3</v>
      </c>
    </row>
    <row r="3810" spans="2:8" x14ac:dyDescent="0.3">
      <c r="B3810" s="58">
        <f>'DATA HISTORICAL'!$B4455</f>
        <v>40301</v>
      </c>
      <c r="C3810" s="60">
        <f>'DATA HISTORICAL'!$C4455</f>
        <v>955.5</v>
      </c>
      <c r="D3810" s="53">
        <f t="shared" si="118"/>
        <v>-1.7892348184335247E-2</v>
      </c>
      <c r="E3810" s="53">
        <v>-1.1469767502509368E-2</v>
      </c>
      <c r="G3810" s="90">
        <v>3802</v>
      </c>
      <c r="H3810" s="90">
        <f t="shared" ca="1" si="119"/>
        <v>-3.0633290128982051E-2</v>
      </c>
    </row>
    <row r="3811" spans="2:8" x14ac:dyDescent="0.3">
      <c r="B3811" s="58">
        <f>'DATA HISTORICAL'!$B4456</f>
        <v>40298</v>
      </c>
      <c r="C3811" s="60">
        <f>'DATA HISTORICAL'!$C4456</f>
        <v>972.75</v>
      </c>
      <c r="D3811" s="53">
        <f t="shared" si="118"/>
        <v>-4.2861547758063417E-2</v>
      </c>
      <c r="E3811" s="53">
        <v>-1.1472689804218145E-2</v>
      </c>
      <c r="G3811" s="90">
        <v>3803</v>
      </c>
      <c r="H3811" s="90">
        <f t="shared" ca="1" si="119"/>
        <v>1.6691660423000475E-2</v>
      </c>
    </row>
    <row r="3812" spans="2:8" x14ac:dyDescent="0.3">
      <c r="B3812" s="58">
        <f>'DATA HISTORICAL'!$B4457</f>
        <v>40297</v>
      </c>
      <c r="C3812" s="60">
        <f>'DATA HISTORICAL'!$C4457</f>
        <v>1015.35</v>
      </c>
      <c r="D3812" s="53">
        <f t="shared" si="118"/>
        <v>-6.0105975905226192E-2</v>
      </c>
      <c r="E3812" s="53">
        <v>-1.1477382716014398E-2</v>
      </c>
      <c r="G3812" s="90">
        <v>3804</v>
      </c>
      <c r="H3812" s="90">
        <f t="shared" ca="1" si="119"/>
        <v>3.763559035669601E-2</v>
      </c>
    </row>
    <row r="3813" spans="2:8" x14ac:dyDescent="0.3">
      <c r="B3813" s="58">
        <f>'DATA HISTORICAL'!$B4458</f>
        <v>40296</v>
      </c>
      <c r="C3813" s="60">
        <f>'DATA HISTORICAL'!$C4458</f>
        <v>1078.25</v>
      </c>
      <c r="D3813" s="53">
        <f t="shared" si="118"/>
        <v>-1.527801103779837E-2</v>
      </c>
      <c r="E3813" s="53">
        <v>-1.1488150623128775E-2</v>
      </c>
      <c r="G3813" s="90">
        <v>3805</v>
      </c>
      <c r="H3813" s="90">
        <f t="shared" ca="1" si="119"/>
        <v>4.1862961987209034E-3</v>
      </c>
    </row>
    <row r="3814" spans="2:8" x14ac:dyDescent="0.3">
      <c r="B3814" s="58">
        <f>'DATA HISTORICAL'!$B4459</f>
        <v>40295</v>
      </c>
      <c r="C3814" s="60">
        <f>'DATA HISTORICAL'!$C4459</f>
        <v>1094.8499999999999</v>
      </c>
      <c r="D3814" s="53">
        <f t="shared" si="118"/>
        <v>-2.9640460379165893E-3</v>
      </c>
      <c r="E3814" s="53">
        <v>-1.1513951897706277E-2</v>
      </c>
      <c r="G3814" s="90">
        <v>3806</v>
      </c>
      <c r="H3814" s="90">
        <f t="shared" ca="1" si="119"/>
        <v>-3.6667621721214261E-3</v>
      </c>
    </row>
    <row r="3815" spans="2:8" x14ac:dyDescent="0.3">
      <c r="B3815" s="58">
        <f>'DATA HISTORICAL'!$B4460</f>
        <v>40294</v>
      </c>
      <c r="C3815" s="60">
        <f>'DATA HISTORICAL'!$C4460</f>
        <v>1098.0999999999999</v>
      </c>
      <c r="D3815" s="53">
        <f t="shared" si="118"/>
        <v>3.0553869221596809E-3</v>
      </c>
      <c r="E3815" s="53">
        <v>-1.1526324842789471E-2</v>
      </c>
      <c r="G3815" s="90">
        <v>3807</v>
      </c>
      <c r="H3815" s="90">
        <f t="shared" ca="1" si="119"/>
        <v>1.0814559232516337E-2</v>
      </c>
    </row>
    <row r="3816" spans="2:8" x14ac:dyDescent="0.3">
      <c r="B3816" s="58">
        <f>'DATA HISTORICAL'!$B4461</f>
        <v>40291</v>
      </c>
      <c r="C3816" s="60">
        <f>'DATA HISTORICAL'!$C4461</f>
        <v>1094.75</v>
      </c>
      <c r="D3816" s="53">
        <f t="shared" si="118"/>
        <v>-2.2311466563998485E-2</v>
      </c>
      <c r="E3816" s="53">
        <v>-1.1530287914587311E-2</v>
      </c>
      <c r="G3816" s="90">
        <v>3808</v>
      </c>
      <c r="H3816" s="90">
        <f t="shared" ca="1" si="119"/>
        <v>-1.9450159570661204E-2</v>
      </c>
    </row>
    <row r="3817" spans="2:8" x14ac:dyDescent="0.3">
      <c r="B3817" s="58">
        <f>'DATA HISTORICAL'!$B4462</f>
        <v>40290</v>
      </c>
      <c r="C3817" s="60">
        <f>'DATA HISTORICAL'!$C4462</f>
        <v>1119.45</v>
      </c>
      <c r="D3817" s="53">
        <f t="shared" si="118"/>
        <v>1.2720701928596544E-2</v>
      </c>
      <c r="E3817" s="53">
        <v>-1.1533280087908666E-2</v>
      </c>
      <c r="G3817" s="90">
        <v>3809</v>
      </c>
      <c r="H3817" s="90">
        <f t="shared" ca="1" si="119"/>
        <v>-3.5288668598932463E-3</v>
      </c>
    </row>
    <row r="3818" spans="2:8" x14ac:dyDescent="0.3">
      <c r="B3818" s="58">
        <f>'DATA HISTORICAL'!$B4463</f>
        <v>40289</v>
      </c>
      <c r="C3818" s="60">
        <f>'DATA HISTORICAL'!$C4463</f>
        <v>1105.3</v>
      </c>
      <c r="D3818" s="53">
        <f t="shared" si="118"/>
        <v>3.6195819778023761E-4</v>
      </c>
      <c r="E3818" s="53">
        <v>-1.1553366457447914E-2</v>
      </c>
      <c r="G3818" s="90">
        <v>3810</v>
      </c>
      <c r="H3818" s="90">
        <f t="shared" ca="1" si="119"/>
        <v>2.8455618417898072E-2</v>
      </c>
    </row>
    <row r="3819" spans="2:8" x14ac:dyDescent="0.3">
      <c r="B3819" s="58">
        <f>'DATA HISTORICAL'!$B4464</f>
        <v>40288</v>
      </c>
      <c r="C3819" s="60">
        <f>'DATA HISTORICAL'!$C4464</f>
        <v>1104.9000000000001</v>
      </c>
      <c r="D3819" s="53">
        <f t="shared" si="118"/>
        <v>3.7630674832662089E-3</v>
      </c>
      <c r="E3819" s="53">
        <v>-1.1572499754467322E-2</v>
      </c>
      <c r="G3819" s="90">
        <v>3811</v>
      </c>
      <c r="H3819" s="90">
        <f t="shared" ca="1" si="119"/>
        <v>1.4549428886338853E-2</v>
      </c>
    </row>
    <row r="3820" spans="2:8" x14ac:dyDescent="0.3">
      <c r="B3820" s="58">
        <f>'DATA HISTORICAL'!$B4465</f>
        <v>40287</v>
      </c>
      <c r="C3820" s="60">
        <f>'DATA HISTORICAL'!$C4465</f>
        <v>1100.75</v>
      </c>
      <c r="D3820" s="53">
        <f t="shared" si="118"/>
        <v>-2.9934710306953605E-3</v>
      </c>
      <c r="E3820" s="53">
        <v>-1.1600525422481123E-2</v>
      </c>
      <c r="G3820" s="90">
        <v>3812</v>
      </c>
      <c r="H3820" s="90">
        <f t="shared" ca="1" si="119"/>
        <v>-6.5389106419499127E-3</v>
      </c>
    </row>
    <row r="3821" spans="2:8" x14ac:dyDescent="0.3">
      <c r="B3821" s="58">
        <f>'DATA HISTORICAL'!$B4466</f>
        <v>40284</v>
      </c>
      <c r="C3821" s="60">
        <f>'DATA HISTORICAL'!$C4466</f>
        <v>1104.05</v>
      </c>
      <c r="D3821" s="53">
        <f t="shared" si="118"/>
        <v>-2.3099643865815877E-2</v>
      </c>
      <c r="E3821" s="53">
        <v>-1.160518406113978E-2</v>
      </c>
      <c r="G3821" s="90">
        <v>3813</v>
      </c>
      <c r="H3821" s="90">
        <f t="shared" ca="1" si="119"/>
        <v>9.1553126171428356E-3</v>
      </c>
    </row>
    <row r="3822" spans="2:8" x14ac:dyDescent="0.3">
      <c r="B3822" s="58">
        <f>'DATA HISTORICAL'!$B4467</f>
        <v>40283</v>
      </c>
      <c r="C3822" s="60">
        <f>'DATA HISTORICAL'!$C4467</f>
        <v>1129.8499999999999</v>
      </c>
      <c r="D3822" s="53">
        <f t="shared" si="118"/>
        <v>-7.6706424422993795E-3</v>
      </c>
      <c r="E3822" s="53">
        <v>-1.161751587567213E-2</v>
      </c>
      <c r="G3822" s="90">
        <v>3814</v>
      </c>
      <c r="H3822" s="90">
        <f t="shared" ca="1" si="119"/>
        <v>6.390963866424417E-3</v>
      </c>
    </row>
    <row r="3823" spans="2:8" x14ac:dyDescent="0.3">
      <c r="B3823" s="58">
        <f>'DATA HISTORICAL'!$B4468</f>
        <v>40281</v>
      </c>
      <c r="C3823" s="60">
        <f>'DATA HISTORICAL'!$C4468</f>
        <v>1138.55</v>
      </c>
      <c r="D3823" s="53">
        <f t="shared" si="118"/>
        <v>4.180700084470421E-3</v>
      </c>
      <c r="E3823" s="53">
        <v>-1.1622144280046634E-2</v>
      </c>
      <c r="G3823" s="90">
        <v>3815</v>
      </c>
      <c r="H3823" s="90">
        <f t="shared" ca="1" si="119"/>
        <v>-6.5886935079819764E-3</v>
      </c>
    </row>
    <row r="3824" spans="2:8" x14ac:dyDescent="0.3">
      <c r="B3824" s="58">
        <f>'DATA HISTORICAL'!$B4469</f>
        <v>40280</v>
      </c>
      <c r="C3824" s="60">
        <f>'DATA HISTORICAL'!$C4469</f>
        <v>1133.8</v>
      </c>
      <c r="D3824" s="53">
        <f t="shared" si="118"/>
        <v>-2.2758971597627294E-2</v>
      </c>
      <c r="E3824" s="53">
        <v>-1.1628533906699944E-2</v>
      </c>
      <c r="G3824" s="90">
        <v>3816</v>
      </c>
      <c r="H3824" s="90">
        <f t="shared" ca="1" si="119"/>
        <v>-3.3162093196329061E-2</v>
      </c>
    </row>
    <row r="3825" spans="2:8" x14ac:dyDescent="0.3">
      <c r="B3825" s="58">
        <f>'DATA HISTORICAL'!$B4470</f>
        <v>40277</v>
      </c>
      <c r="C3825" s="60">
        <f>'DATA HISTORICAL'!$C4470</f>
        <v>1159.9000000000001</v>
      </c>
      <c r="D3825" s="53">
        <f t="shared" si="118"/>
        <v>-2.755059857162445E-3</v>
      </c>
      <c r="E3825" s="53">
        <v>-1.1659443576346061E-2</v>
      </c>
      <c r="G3825" s="90">
        <v>3817</v>
      </c>
      <c r="H3825" s="90">
        <f t="shared" ca="1" si="119"/>
        <v>-2.1706153809455765E-2</v>
      </c>
    </row>
    <row r="3826" spans="2:8" x14ac:dyDescent="0.3">
      <c r="B3826" s="58">
        <f>'DATA HISTORICAL'!$B4471</f>
        <v>40276</v>
      </c>
      <c r="C3826" s="60">
        <f>'DATA HISTORICAL'!$C4471</f>
        <v>1163.0999999999999</v>
      </c>
      <c r="D3826" s="53">
        <f t="shared" si="118"/>
        <v>1.1370391193773902E-2</v>
      </c>
      <c r="E3826" s="53">
        <v>-1.1665079109194811E-2</v>
      </c>
      <c r="G3826" s="90">
        <v>3818</v>
      </c>
      <c r="H3826" s="90">
        <f t="shared" ca="1" si="119"/>
        <v>2.1310522702324784E-2</v>
      </c>
    </row>
    <row r="3827" spans="2:8" x14ac:dyDescent="0.3">
      <c r="B3827" s="58">
        <f>'DATA HISTORICAL'!$B4472</f>
        <v>40275</v>
      </c>
      <c r="C3827" s="60">
        <f>'DATA HISTORICAL'!$C4472</f>
        <v>1149.95</v>
      </c>
      <c r="D3827" s="53">
        <f t="shared" si="118"/>
        <v>2.8738154412381147E-3</v>
      </c>
      <c r="E3827" s="53">
        <v>-1.1673023262451707E-2</v>
      </c>
      <c r="G3827" s="90">
        <v>3819</v>
      </c>
      <c r="H3827" s="90">
        <f t="shared" ca="1" si="119"/>
        <v>2.1558662272311759E-2</v>
      </c>
    </row>
    <row r="3828" spans="2:8" x14ac:dyDescent="0.3">
      <c r="B3828" s="58">
        <f>'DATA HISTORICAL'!$B4473</f>
        <v>40274</v>
      </c>
      <c r="C3828" s="60">
        <f>'DATA HISTORICAL'!$C4473</f>
        <v>1146.6500000000001</v>
      </c>
      <c r="D3828" s="53">
        <f t="shared" si="118"/>
        <v>-3.4878144836270601E-4</v>
      </c>
      <c r="E3828" s="53">
        <v>-1.1692326944747564E-2</v>
      </c>
      <c r="G3828" s="90">
        <v>3820</v>
      </c>
      <c r="H3828" s="90">
        <f t="shared" ca="1" si="119"/>
        <v>-1.5418444277575726E-2</v>
      </c>
    </row>
    <row r="3829" spans="2:8" x14ac:dyDescent="0.3">
      <c r="B3829" s="58">
        <f>'DATA HISTORICAL'!$B4474</f>
        <v>40273</v>
      </c>
      <c r="C3829" s="60">
        <f>'DATA HISTORICAL'!$C4474</f>
        <v>1147.05</v>
      </c>
      <c r="D3829" s="53">
        <f t="shared" si="118"/>
        <v>2.4440286245923904E-3</v>
      </c>
      <c r="E3829" s="53">
        <v>-1.1713244431519138E-2</v>
      </c>
      <c r="G3829" s="90">
        <v>3821</v>
      </c>
      <c r="H3829" s="90">
        <f t="shared" ca="1" si="119"/>
        <v>3.6003904887133363E-2</v>
      </c>
    </row>
    <row r="3830" spans="2:8" x14ac:dyDescent="0.3">
      <c r="B3830" s="58">
        <f>'DATA HISTORICAL'!$B4475</f>
        <v>40269</v>
      </c>
      <c r="C3830" s="60">
        <f>'DATA HISTORICAL'!$C4475</f>
        <v>1144.25</v>
      </c>
      <c r="D3830" s="53">
        <f t="shared" si="118"/>
        <v>-9.2210648584167536E-3</v>
      </c>
      <c r="E3830" s="53">
        <v>-1.1720111532345368E-2</v>
      </c>
      <c r="G3830" s="90">
        <v>3822</v>
      </c>
      <c r="H3830" s="90">
        <f t="shared" ca="1" si="119"/>
        <v>1.0841940523159977E-2</v>
      </c>
    </row>
    <row r="3831" spans="2:8" x14ac:dyDescent="0.3">
      <c r="B3831" s="58">
        <f>'DATA HISTORICAL'!$B4476</f>
        <v>40268</v>
      </c>
      <c r="C3831" s="60">
        <f>'DATA HISTORICAL'!$C4476</f>
        <v>1154.8499999999999</v>
      </c>
      <c r="D3831" s="53">
        <f t="shared" si="118"/>
        <v>8.39117116820811E-3</v>
      </c>
      <c r="E3831" s="53">
        <v>-1.1771087052467035E-2</v>
      </c>
      <c r="G3831" s="90">
        <v>3823</v>
      </c>
      <c r="H3831" s="90">
        <f t="shared" ca="1" si="119"/>
        <v>-9.2992740176723286E-3</v>
      </c>
    </row>
    <row r="3832" spans="2:8" x14ac:dyDescent="0.3">
      <c r="B3832" s="58">
        <f>'DATA HISTORICAL'!$B4477</f>
        <v>40267</v>
      </c>
      <c r="C3832" s="60">
        <f>'DATA HISTORICAL'!$C4477</f>
        <v>1145.2</v>
      </c>
      <c r="D3832" s="53">
        <f t="shared" si="118"/>
        <v>3.6742233618843254E-3</v>
      </c>
      <c r="E3832" s="53">
        <v>-1.1777224852596101E-2</v>
      </c>
      <c r="G3832" s="90">
        <v>3824</v>
      </c>
      <c r="H3832" s="90">
        <f t="shared" ca="1" si="119"/>
        <v>-4.7628178137684718E-4</v>
      </c>
    </row>
    <row r="3833" spans="2:8" x14ac:dyDescent="0.3">
      <c r="B3833" s="58">
        <f>'DATA HISTORICAL'!$B4478</f>
        <v>40266</v>
      </c>
      <c r="C3833" s="60">
        <f>'DATA HISTORICAL'!$C4478</f>
        <v>1141</v>
      </c>
      <c r="D3833" s="53">
        <f t="shared" si="118"/>
        <v>2.2199010791881222E-2</v>
      </c>
      <c r="E3833" s="53">
        <v>-1.1779985658286248E-2</v>
      </c>
      <c r="G3833" s="90">
        <v>3825</v>
      </c>
      <c r="H3833" s="90">
        <f t="shared" ca="1" si="119"/>
        <v>1.7431981189628663E-2</v>
      </c>
    </row>
    <row r="3834" spans="2:8" x14ac:dyDescent="0.3">
      <c r="B3834" s="58">
        <f>'DATA HISTORICAL'!$B4479</f>
        <v>40263</v>
      </c>
      <c r="C3834" s="60">
        <f>'DATA HISTORICAL'!$C4479</f>
        <v>1115.95</v>
      </c>
      <c r="D3834" s="53">
        <f t="shared" si="118"/>
        <v>2.6882606888944349E-2</v>
      </c>
      <c r="E3834" s="53">
        <v>-1.1781558335574973E-2</v>
      </c>
      <c r="G3834" s="90">
        <v>3826</v>
      </c>
      <c r="H3834" s="90">
        <f t="shared" ca="1" si="119"/>
        <v>2.7336426989207741E-2</v>
      </c>
    </row>
    <row r="3835" spans="2:8" x14ac:dyDescent="0.3">
      <c r="B3835" s="58">
        <f>'DATA HISTORICAL'!$B4480</f>
        <v>40262</v>
      </c>
      <c r="C3835" s="60">
        <f>'DATA HISTORICAL'!$C4480</f>
        <v>1086.3499999999999</v>
      </c>
      <c r="D3835" s="53">
        <f t="shared" si="118"/>
        <v>-2.2437057458379886E-2</v>
      </c>
      <c r="E3835" s="53">
        <v>-1.1797690810871043E-2</v>
      </c>
      <c r="G3835" s="90">
        <v>3827</v>
      </c>
      <c r="H3835" s="90">
        <f t="shared" ca="1" si="119"/>
        <v>-2.8030302792057095E-3</v>
      </c>
    </row>
    <row r="3836" spans="2:8" x14ac:dyDescent="0.3">
      <c r="B3836" s="58">
        <f>'DATA HISTORICAL'!$B4481</f>
        <v>40260</v>
      </c>
      <c r="C3836" s="60">
        <f>'DATA HISTORICAL'!$C4481</f>
        <v>1111</v>
      </c>
      <c r="D3836" s="53">
        <f t="shared" si="118"/>
        <v>-1.1366301274226713E-2</v>
      </c>
      <c r="E3836" s="53">
        <v>-1.1814926553056696E-2</v>
      </c>
      <c r="G3836" s="90">
        <v>3828</v>
      </c>
      <c r="H3836" s="90">
        <f t="shared" ca="1" si="119"/>
        <v>9.3403416933934801E-3</v>
      </c>
    </row>
    <row r="3837" spans="2:8" x14ac:dyDescent="0.3">
      <c r="B3837" s="58">
        <f>'DATA HISTORICAL'!$B4482</f>
        <v>40259</v>
      </c>
      <c r="C3837" s="60">
        <f>'DATA HISTORICAL'!$C4482</f>
        <v>1123.7</v>
      </c>
      <c r="D3837" s="53">
        <f t="shared" si="118"/>
        <v>1.1130157193795132E-3</v>
      </c>
      <c r="E3837" s="53">
        <v>-1.1832277245685341E-2</v>
      </c>
      <c r="G3837" s="90">
        <v>3829</v>
      </c>
      <c r="H3837" s="90">
        <f t="shared" ca="1" si="119"/>
        <v>3.0722626084051701E-3</v>
      </c>
    </row>
    <row r="3838" spans="2:8" x14ac:dyDescent="0.3">
      <c r="B3838" s="58">
        <f>'DATA HISTORICAL'!$B4483</f>
        <v>40256</v>
      </c>
      <c r="C3838" s="60">
        <f>'DATA HISTORICAL'!$C4483</f>
        <v>1122.45</v>
      </c>
      <c r="D3838" s="53">
        <f t="shared" si="118"/>
        <v>1.4718686177445683E-2</v>
      </c>
      <c r="E3838" s="53">
        <v>-1.1843272763163959E-2</v>
      </c>
      <c r="G3838" s="90">
        <v>3830</v>
      </c>
      <c r="H3838" s="90">
        <f t="shared" ca="1" si="119"/>
        <v>1.1202946238306765E-2</v>
      </c>
    </row>
    <row r="3839" spans="2:8" x14ac:dyDescent="0.3">
      <c r="B3839" s="58">
        <f>'DATA HISTORICAL'!$B4484</f>
        <v>40255</v>
      </c>
      <c r="C3839" s="60">
        <f>'DATA HISTORICAL'!$C4484</f>
        <v>1106.05</v>
      </c>
      <c r="D3839" s="53">
        <f t="shared" si="118"/>
        <v>6.3944346134101153E-3</v>
      </c>
      <c r="E3839" s="53">
        <v>-1.184505275377512E-2</v>
      </c>
      <c r="G3839" s="90">
        <v>3831</v>
      </c>
      <c r="H3839" s="90">
        <f t="shared" ca="1" si="119"/>
        <v>9.3145953792612389E-3</v>
      </c>
    </row>
    <row r="3840" spans="2:8" x14ac:dyDescent="0.3">
      <c r="B3840" s="58">
        <f>'DATA HISTORICAL'!$B4485</f>
        <v>40254</v>
      </c>
      <c r="C3840" s="60">
        <f>'DATA HISTORICAL'!$C4485</f>
        <v>1099</v>
      </c>
      <c r="D3840" s="53">
        <f t="shared" si="118"/>
        <v>-1.7095975592191257E-2</v>
      </c>
      <c r="E3840" s="53">
        <v>-1.1873365598771404E-2</v>
      </c>
      <c r="G3840" s="90">
        <v>3832</v>
      </c>
      <c r="H3840" s="90">
        <f t="shared" ca="1" si="119"/>
        <v>-2.7533291410756746E-2</v>
      </c>
    </row>
    <row r="3841" spans="2:8" x14ac:dyDescent="0.3">
      <c r="B3841" s="58">
        <f>'DATA HISTORICAL'!$B4486</f>
        <v>40253</v>
      </c>
      <c r="C3841" s="60">
        <f>'DATA HISTORICAL'!$C4486</f>
        <v>1117.95</v>
      </c>
      <c r="D3841" s="53">
        <f t="shared" si="118"/>
        <v>4.3926560994744217E-3</v>
      </c>
      <c r="E3841" s="53">
        <v>-1.1878513245174872E-2</v>
      </c>
      <c r="G3841" s="90">
        <v>3833</v>
      </c>
      <c r="H3841" s="90">
        <f t="shared" ca="1" si="119"/>
        <v>4.0557684900166743E-2</v>
      </c>
    </row>
    <row r="3842" spans="2:8" x14ac:dyDescent="0.3">
      <c r="B3842" s="58">
        <f>'DATA HISTORICAL'!$B4487</f>
        <v>40252</v>
      </c>
      <c r="C3842" s="60">
        <f>'DATA HISTORICAL'!$C4487</f>
        <v>1113.05</v>
      </c>
      <c r="D3842" s="53">
        <f t="shared" si="118"/>
        <v>5.7213806255984583E-3</v>
      </c>
      <c r="E3842" s="53">
        <v>-1.1886301472673964E-2</v>
      </c>
      <c r="G3842" s="90">
        <v>3834</v>
      </c>
      <c r="H3842" s="90">
        <f t="shared" ca="1" si="119"/>
        <v>3.2140083581410538E-2</v>
      </c>
    </row>
    <row r="3843" spans="2:8" x14ac:dyDescent="0.3">
      <c r="B3843" s="58">
        <f>'DATA HISTORICAL'!$B4488</f>
        <v>40249</v>
      </c>
      <c r="C3843" s="60">
        <f>'DATA HISTORICAL'!$C4488</f>
        <v>1106.7</v>
      </c>
      <c r="D3843" s="53">
        <f t="shared" si="118"/>
        <v>-4.8225445577133085E-3</v>
      </c>
      <c r="E3843" s="53">
        <v>-1.1886316251502089E-2</v>
      </c>
      <c r="G3843" s="90">
        <v>3835</v>
      </c>
      <c r="H3843" s="90">
        <f t="shared" ca="1" si="119"/>
        <v>2.7812871912337913E-2</v>
      </c>
    </row>
    <row r="3844" spans="2:8" x14ac:dyDescent="0.3">
      <c r="B3844" s="58">
        <f>'DATA HISTORICAL'!$B4489</f>
        <v>40248</v>
      </c>
      <c r="C3844" s="60">
        <f>'DATA HISTORICAL'!$C4489</f>
        <v>1112.05</v>
      </c>
      <c r="D3844" s="53">
        <f t="shared" si="118"/>
        <v>2.7915371572340992E-3</v>
      </c>
      <c r="E3844" s="53">
        <v>-1.1901282809271429E-2</v>
      </c>
      <c r="G3844" s="90">
        <v>3836</v>
      </c>
      <c r="H3844" s="90">
        <f t="shared" ca="1" si="119"/>
        <v>2.1911276571702915E-3</v>
      </c>
    </row>
    <row r="3845" spans="2:8" x14ac:dyDescent="0.3">
      <c r="B3845" s="58">
        <f>'DATA HISTORICAL'!$B4490</f>
        <v>40247</v>
      </c>
      <c r="C3845" s="60">
        <f>'DATA HISTORICAL'!$C4490</f>
        <v>1108.95</v>
      </c>
      <c r="D3845" s="53">
        <f t="shared" si="118"/>
        <v>1.4853444709601574E-2</v>
      </c>
      <c r="E3845" s="53">
        <v>-1.1907215539890822E-2</v>
      </c>
      <c r="G3845" s="90">
        <v>3837</v>
      </c>
      <c r="H3845" s="90">
        <f t="shared" ca="1" si="119"/>
        <v>4.3522916160449829E-2</v>
      </c>
    </row>
    <row r="3846" spans="2:8" x14ac:dyDescent="0.3">
      <c r="B3846" s="58">
        <f>'DATA HISTORICAL'!$B4491</f>
        <v>40246</v>
      </c>
      <c r="C3846" s="60">
        <f>'DATA HISTORICAL'!$C4491</f>
        <v>1092.5999999999999</v>
      </c>
      <c r="D3846" s="53">
        <f t="shared" si="118"/>
        <v>-1.7285221103860431E-2</v>
      </c>
      <c r="E3846" s="53">
        <v>-1.1914234050483748E-2</v>
      </c>
      <c r="G3846" s="90">
        <v>3838</v>
      </c>
      <c r="H3846" s="90">
        <f t="shared" ca="1" si="119"/>
        <v>9.5356999919503707E-3</v>
      </c>
    </row>
    <row r="3847" spans="2:8" x14ac:dyDescent="0.3">
      <c r="B3847" s="58">
        <f>'DATA HISTORICAL'!$B4492</f>
        <v>40245</v>
      </c>
      <c r="C3847" s="60">
        <f>'DATA HISTORICAL'!$C4492</f>
        <v>1111.6500000000001</v>
      </c>
      <c r="D3847" s="53">
        <f t="shared" si="118"/>
        <v>1.2582767623650857E-2</v>
      </c>
      <c r="E3847" s="53">
        <v>-1.1941783628472865E-2</v>
      </c>
      <c r="G3847" s="90">
        <v>3839</v>
      </c>
      <c r="H3847" s="90">
        <f t="shared" ca="1" si="119"/>
        <v>3.0558109121175809E-2</v>
      </c>
    </row>
    <row r="3848" spans="2:8" x14ac:dyDescent="0.3">
      <c r="B3848" s="58">
        <f>'DATA HISTORICAL'!$B4493</f>
        <v>40242</v>
      </c>
      <c r="C3848" s="60">
        <f>'DATA HISTORICAL'!$C4493</f>
        <v>1097.75</v>
      </c>
      <c r="D3848" s="53">
        <f t="shared" si="118"/>
        <v>5.7555430214552613E-3</v>
      </c>
      <c r="E3848" s="53">
        <v>-1.1953810753308997E-2</v>
      </c>
      <c r="G3848" s="90">
        <v>3840</v>
      </c>
      <c r="H3848" s="90">
        <f t="shared" ca="1" si="119"/>
        <v>3.285544561202506E-2</v>
      </c>
    </row>
    <row r="3849" spans="2:8" x14ac:dyDescent="0.3">
      <c r="B3849" s="58">
        <f>'DATA HISTORICAL'!$B4494</f>
        <v>40241</v>
      </c>
      <c r="C3849" s="60">
        <f>'DATA HISTORICAL'!$C4494</f>
        <v>1091.45</v>
      </c>
      <c r="D3849" s="53">
        <f t="shared" ref="D3849:D3912" si="120">LN(C3849/C3850)</f>
        <v>1.0777554579560982E-2</v>
      </c>
      <c r="E3849" s="53">
        <v>-1.19593635568583E-2</v>
      </c>
      <c r="G3849" s="90">
        <v>3841</v>
      </c>
      <c r="H3849" s="90">
        <f t="shared" ref="H3849:H3912" ca="1" si="121">_xlfn.NORM.INV(RAND(),N$10,N$11)</f>
        <v>9.0122606908489521E-3</v>
      </c>
    </row>
    <row r="3850" spans="2:8" x14ac:dyDescent="0.3">
      <c r="B3850" s="58">
        <f>'DATA HISTORICAL'!$B4495</f>
        <v>40240</v>
      </c>
      <c r="C3850" s="60">
        <f>'DATA HISTORICAL'!$C4495</f>
        <v>1079.75</v>
      </c>
      <c r="D3850" s="53">
        <f t="shared" si="120"/>
        <v>4.7345056875256007E-3</v>
      </c>
      <c r="E3850" s="53">
        <v>-1.1963622595789503E-2</v>
      </c>
      <c r="G3850" s="90">
        <v>3842</v>
      </c>
      <c r="H3850" s="90">
        <f t="shared" ca="1" si="121"/>
        <v>1.8025029410634424E-2</v>
      </c>
    </row>
    <row r="3851" spans="2:8" x14ac:dyDescent="0.3">
      <c r="B3851" s="58">
        <f>'DATA HISTORICAL'!$B4496</f>
        <v>40239</v>
      </c>
      <c r="C3851" s="60">
        <f>'DATA HISTORICAL'!$C4496</f>
        <v>1074.6500000000001</v>
      </c>
      <c r="D3851" s="53">
        <f t="shared" si="120"/>
        <v>3.2726238250447903E-2</v>
      </c>
      <c r="E3851" s="53">
        <v>-1.1984164733549159E-2</v>
      </c>
      <c r="G3851" s="90">
        <v>3843</v>
      </c>
      <c r="H3851" s="90">
        <f t="shared" ca="1" si="121"/>
        <v>-3.2757498565611056E-3</v>
      </c>
    </row>
    <row r="3852" spans="2:8" x14ac:dyDescent="0.3">
      <c r="B3852" s="58">
        <f>'DATA HISTORICAL'!$B4497</f>
        <v>40235</v>
      </c>
      <c r="C3852" s="60">
        <f>'DATA HISTORICAL'!$C4497</f>
        <v>1040.05</v>
      </c>
      <c r="D3852" s="53">
        <f t="shared" si="120"/>
        <v>6.220934874499727E-3</v>
      </c>
      <c r="E3852" s="53">
        <v>-1.1997558731146414E-2</v>
      </c>
      <c r="G3852" s="90">
        <v>3844</v>
      </c>
      <c r="H3852" s="90">
        <f t="shared" ca="1" si="121"/>
        <v>-9.9000197180919292E-3</v>
      </c>
    </row>
    <row r="3853" spans="2:8" x14ac:dyDescent="0.3">
      <c r="B3853" s="58">
        <f>'DATA HISTORICAL'!$B4498</f>
        <v>40234</v>
      </c>
      <c r="C3853" s="60">
        <f>'DATA HISTORICAL'!$C4498</f>
        <v>1033.5999999999999</v>
      </c>
      <c r="D3853" s="53">
        <f t="shared" si="120"/>
        <v>1.050388961130584E-2</v>
      </c>
      <c r="E3853" s="53">
        <v>-1.2008176220874035E-2</v>
      </c>
      <c r="G3853" s="90">
        <v>3845</v>
      </c>
      <c r="H3853" s="90">
        <f t="shared" ca="1" si="121"/>
        <v>1.8888337747391893E-2</v>
      </c>
    </row>
    <row r="3854" spans="2:8" x14ac:dyDescent="0.3">
      <c r="B3854" s="58">
        <f>'DATA HISTORICAL'!$B4499</f>
        <v>40233</v>
      </c>
      <c r="C3854" s="60">
        <f>'DATA HISTORICAL'!$C4499</f>
        <v>1022.8</v>
      </c>
      <c r="D3854" s="53">
        <f t="shared" si="120"/>
        <v>-1.9535071654929377E-3</v>
      </c>
      <c r="E3854" s="53">
        <v>-1.2009341622157414E-2</v>
      </c>
      <c r="G3854" s="90">
        <v>3846</v>
      </c>
      <c r="H3854" s="90">
        <f t="shared" ca="1" si="121"/>
        <v>-1.653971950416579E-2</v>
      </c>
    </row>
    <row r="3855" spans="2:8" x14ac:dyDescent="0.3">
      <c r="B3855" s="58">
        <f>'DATA HISTORICAL'!$B4500</f>
        <v>40232</v>
      </c>
      <c r="C3855" s="60">
        <f>'DATA HISTORICAL'!$C4500</f>
        <v>1024.8</v>
      </c>
      <c r="D3855" s="53">
        <f t="shared" si="120"/>
        <v>-1.0676603407266606E-2</v>
      </c>
      <c r="E3855" s="53">
        <v>-1.2012313975874508E-2</v>
      </c>
      <c r="G3855" s="90">
        <v>3847</v>
      </c>
      <c r="H3855" s="90">
        <f t="shared" ca="1" si="121"/>
        <v>-4.3930021866591578E-3</v>
      </c>
    </row>
    <row r="3856" spans="2:8" x14ac:dyDescent="0.3">
      <c r="B3856" s="58">
        <f>'DATA HISTORICAL'!$B4501</f>
        <v>40231</v>
      </c>
      <c r="C3856" s="60">
        <f>'DATA HISTORICAL'!$C4501</f>
        <v>1035.8</v>
      </c>
      <c r="D3856" s="53">
        <f t="shared" si="120"/>
        <v>8.1914036777671947E-3</v>
      </c>
      <c r="E3856" s="53">
        <v>-1.2056439656396172E-2</v>
      </c>
      <c r="G3856" s="90">
        <v>3848</v>
      </c>
      <c r="H3856" s="90">
        <f t="shared" ca="1" si="121"/>
        <v>2.0331391168376671E-2</v>
      </c>
    </row>
    <row r="3857" spans="2:8" x14ac:dyDescent="0.3">
      <c r="B3857" s="58">
        <f>'DATA HISTORICAL'!$B4502</f>
        <v>40228</v>
      </c>
      <c r="C3857" s="60">
        <f>'DATA HISTORICAL'!$C4502</f>
        <v>1027.3499999999999</v>
      </c>
      <c r="D3857" s="53">
        <f t="shared" si="120"/>
        <v>2.2900587395153662E-3</v>
      </c>
      <c r="E3857" s="53">
        <v>-1.2056679073646987E-2</v>
      </c>
      <c r="G3857" s="90">
        <v>3849</v>
      </c>
      <c r="H3857" s="90">
        <f t="shared" ca="1" si="121"/>
        <v>1.6395574678316059E-2</v>
      </c>
    </row>
    <row r="3858" spans="2:8" x14ac:dyDescent="0.3">
      <c r="B3858" s="58">
        <f>'DATA HISTORICAL'!$B4503</f>
        <v>40227</v>
      </c>
      <c r="C3858" s="60">
        <f>'DATA HISTORICAL'!$C4503</f>
        <v>1025</v>
      </c>
      <c r="D3858" s="53">
        <f t="shared" si="120"/>
        <v>-2.1666026387645462E-2</v>
      </c>
      <c r="E3858" s="53">
        <v>-1.2079483964255204E-2</v>
      </c>
      <c r="G3858" s="90">
        <v>3850</v>
      </c>
      <c r="H3858" s="90">
        <f t="shared" ca="1" si="121"/>
        <v>3.0071728396892965E-2</v>
      </c>
    </row>
    <row r="3859" spans="2:8" x14ac:dyDescent="0.3">
      <c r="B3859" s="58">
        <f>'DATA HISTORICAL'!$B4504</f>
        <v>40226</v>
      </c>
      <c r="C3859" s="60">
        <f>'DATA HISTORICAL'!$C4504</f>
        <v>1047.45</v>
      </c>
      <c r="D3859" s="53">
        <f t="shared" si="120"/>
        <v>4.0657267877654444E-3</v>
      </c>
      <c r="E3859" s="53">
        <v>-1.2088350235329877E-2</v>
      </c>
      <c r="G3859" s="90">
        <v>3851</v>
      </c>
      <c r="H3859" s="90">
        <f t="shared" ca="1" si="121"/>
        <v>-8.9382910199875126E-3</v>
      </c>
    </row>
    <row r="3860" spans="2:8" x14ac:dyDescent="0.3">
      <c r="B3860" s="58">
        <f>'DATA HISTORICAL'!$B4505</f>
        <v>40225</v>
      </c>
      <c r="C3860" s="60">
        <f>'DATA HISTORICAL'!$C4505</f>
        <v>1043.2</v>
      </c>
      <c r="D3860" s="53">
        <f t="shared" si="120"/>
        <v>4.2092932187585107E-2</v>
      </c>
      <c r="E3860" s="53">
        <v>-1.2097566854688874E-2</v>
      </c>
      <c r="G3860" s="90">
        <v>3852</v>
      </c>
      <c r="H3860" s="90">
        <f t="shared" ca="1" si="121"/>
        <v>6.2192487736095004E-3</v>
      </c>
    </row>
    <row r="3861" spans="2:8" x14ac:dyDescent="0.3">
      <c r="B3861" s="58">
        <f>'DATA HISTORICAL'!$B4506</f>
        <v>40224</v>
      </c>
      <c r="C3861" s="60">
        <f>'DATA HISTORICAL'!$C4506</f>
        <v>1000.2</v>
      </c>
      <c r="D3861" s="53">
        <f t="shared" si="120"/>
        <v>-6.9961524016972135E-4</v>
      </c>
      <c r="E3861" s="53">
        <v>-1.2098784682080924E-2</v>
      </c>
      <c r="G3861" s="90">
        <v>3853</v>
      </c>
      <c r="H3861" s="90">
        <f t="shared" ca="1" si="121"/>
        <v>2.5082016081780689E-2</v>
      </c>
    </row>
    <row r="3862" spans="2:8" x14ac:dyDescent="0.3">
      <c r="B3862" s="58">
        <f>'DATA HISTORICAL'!$B4507</f>
        <v>40220</v>
      </c>
      <c r="C3862" s="60">
        <f>'DATA HISTORICAL'!$C4507</f>
        <v>1000.9</v>
      </c>
      <c r="D3862" s="53">
        <f t="shared" si="120"/>
        <v>1.6216299354729392E-2</v>
      </c>
      <c r="E3862" s="53">
        <v>-1.2114507156886195E-2</v>
      </c>
      <c r="G3862" s="90">
        <v>3854</v>
      </c>
      <c r="H3862" s="90">
        <f t="shared" ca="1" si="121"/>
        <v>2.9084802373184064E-3</v>
      </c>
    </row>
    <row r="3863" spans="2:8" x14ac:dyDescent="0.3">
      <c r="B3863" s="58">
        <f>'DATA HISTORICAL'!$B4508</f>
        <v>40219</v>
      </c>
      <c r="C3863" s="60">
        <f>'DATA HISTORICAL'!$C4508</f>
        <v>984.8</v>
      </c>
      <c r="D3863" s="53">
        <f t="shared" si="120"/>
        <v>2.8687431386161494E-2</v>
      </c>
      <c r="E3863" s="53">
        <v>-1.2117680751757941E-2</v>
      </c>
      <c r="G3863" s="90">
        <v>3855</v>
      </c>
      <c r="H3863" s="90">
        <f t="shared" ca="1" si="121"/>
        <v>4.2401025130244352E-2</v>
      </c>
    </row>
    <row r="3864" spans="2:8" x14ac:dyDescent="0.3">
      <c r="B3864" s="58">
        <f>'DATA HISTORICAL'!$B4509</f>
        <v>40218</v>
      </c>
      <c r="C3864" s="60">
        <f>'DATA HISTORICAL'!$C4509</f>
        <v>956.95</v>
      </c>
      <c r="D3864" s="53">
        <f t="shared" si="120"/>
        <v>2.8727860668043996E-2</v>
      </c>
      <c r="E3864" s="53">
        <v>-1.216497482828716E-2</v>
      </c>
      <c r="G3864" s="90">
        <v>3856</v>
      </c>
      <c r="H3864" s="90">
        <f t="shared" ca="1" si="121"/>
        <v>-1.1354837735779361E-2</v>
      </c>
    </row>
    <row r="3865" spans="2:8" x14ac:dyDescent="0.3">
      <c r="B3865" s="58">
        <f>'DATA HISTORICAL'!$B4510</f>
        <v>40217</v>
      </c>
      <c r="C3865" s="60">
        <f>'DATA HISTORICAL'!$C4510</f>
        <v>929.85</v>
      </c>
      <c r="D3865" s="53">
        <f t="shared" si="120"/>
        <v>-4.3996207892739959E-3</v>
      </c>
      <c r="E3865" s="53">
        <v>-1.2223840314707458E-2</v>
      </c>
      <c r="G3865" s="90">
        <v>3857</v>
      </c>
      <c r="H3865" s="90">
        <f t="shared" ca="1" si="121"/>
        <v>5.9595867435191466E-3</v>
      </c>
    </row>
    <row r="3866" spans="2:8" x14ac:dyDescent="0.3">
      <c r="B3866" s="58">
        <f>'DATA HISTORICAL'!$B4511</f>
        <v>40215</v>
      </c>
      <c r="C3866" s="60">
        <f>'DATA HISTORICAL'!$C4511</f>
        <v>933.95</v>
      </c>
      <c r="D3866" s="53">
        <f t="shared" si="120"/>
        <v>1.5001342218558854E-3</v>
      </c>
      <c r="E3866" s="53">
        <v>-1.2266032144751032E-2</v>
      </c>
      <c r="G3866" s="90">
        <v>3858</v>
      </c>
      <c r="H3866" s="90">
        <f t="shared" ca="1" si="121"/>
        <v>-1.2854606887655932E-2</v>
      </c>
    </row>
    <row r="3867" spans="2:8" x14ac:dyDescent="0.3">
      <c r="B3867" s="58">
        <f>'DATA HISTORICAL'!$B4512</f>
        <v>40214</v>
      </c>
      <c r="C3867" s="60">
        <f>'DATA HISTORICAL'!$C4512</f>
        <v>932.55</v>
      </c>
      <c r="D3867" s="53">
        <f t="shared" si="120"/>
        <v>-3.1195625983762808E-2</v>
      </c>
      <c r="E3867" s="53">
        <v>-1.2266824223606506E-2</v>
      </c>
      <c r="G3867" s="90">
        <v>3859</v>
      </c>
      <c r="H3867" s="90">
        <f t="shared" ca="1" si="121"/>
        <v>1.609596447823021E-2</v>
      </c>
    </row>
    <row r="3868" spans="2:8" x14ac:dyDescent="0.3">
      <c r="B3868" s="58">
        <f>'DATA HISTORICAL'!$B4513</f>
        <v>40213</v>
      </c>
      <c r="C3868" s="60">
        <f>'DATA HISTORICAL'!$C4513</f>
        <v>962.1</v>
      </c>
      <c r="D3868" s="53">
        <f t="shared" si="120"/>
        <v>-9.9287194781744418E-3</v>
      </c>
      <c r="E3868" s="53">
        <v>-1.2268797056836818E-2</v>
      </c>
      <c r="G3868" s="90">
        <v>3860</v>
      </c>
      <c r="H3868" s="90">
        <f t="shared" ca="1" si="121"/>
        <v>-9.6250394408652906E-3</v>
      </c>
    </row>
    <row r="3869" spans="2:8" x14ac:dyDescent="0.3">
      <c r="B3869" s="58">
        <f>'DATA HISTORICAL'!$B4514</f>
        <v>40212</v>
      </c>
      <c r="C3869" s="60">
        <f>'DATA HISTORICAL'!$C4514</f>
        <v>971.7</v>
      </c>
      <c r="D3869" s="53">
        <f t="shared" si="120"/>
        <v>1.1332885400440088E-2</v>
      </c>
      <c r="E3869" s="53">
        <v>-1.2293283748492229E-2</v>
      </c>
      <c r="G3869" s="90">
        <v>3861</v>
      </c>
      <c r="H3869" s="90">
        <f t="shared" ca="1" si="121"/>
        <v>4.2661452589993862E-2</v>
      </c>
    </row>
    <row r="3870" spans="2:8" x14ac:dyDescent="0.3">
      <c r="B3870" s="58">
        <f>'DATA HISTORICAL'!$B4515</f>
        <v>40211</v>
      </c>
      <c r="C3870" s="60">
        <f>'DATA HISTORICAL'!$C4515</f>
        <v>960.75</v>
      </c>
      <c r="D3870" s="53">
        <f t="shared" si="120"/>
        <v>3.070335498857411E-2</v>
      </c>
      <c r="E3870" s="53">
        <v>-1.2334508266774388E-2</v>
      </c>
      <c r="G3870" s="90">
        <v>3862</v>
      </c>
      <c r="H3870" s="90">
        <f t="shared" ca="1" si="121"/>
        <v>1.0113895228561817E-2</v>
      </c>
    </row>
    <row r="3871" spans="2:8" x14ac:dyDescent="0.3">
      <c r="B3871" s="58">
        <f>'DATA HISTORICAL'!$B4516</f>
        <v>40210</v>
      </c>
      <c r="C3871" s="60">
        <f>'DATA HISTORICAL'!$C4516</f>
        <v>931.7</v>
      </c>
      <c r="D3871" s="53">
        <f t="shared" si="120"/>
        <v>1.8262883090777455E-3</v>
      </c>
      <c r="E3871" s="53">
        <v>-1.2342225892675021E-2</v>
      </c>
      <c r="G3871" s="90">
        <v>3863</v>
      </c>
      <c r="H3871" s="90">
        <f t="shared" ca="1" si="121"/>
        <v>1.5151310808140833E-2</v>
      </c>
    </row>
    <row r="3872" spans="2:8" x14ac:dyDescent="0.3">
      <c r="B3872" s="58">
        <f>'DATA HISTORICAL'!$B4517</f>
        <v>40207</v>
      </c>
      <c r="C3872" s="60">
        <f>'DATA HISTORICAL'!$C4517</f>
        <v>930</v>
      </c>
      <c r="D3872" s="53">
        <f t="shared" si="120"/>
        <v>8.4224663746964648E-3</v>
      </c>
      <c r="E3872" s="53">
        <v>-1.2346448808222315E-2</v>
      </c>
      <c r="G3872" s="90">
        <v>3864</v>
      </c>
      <c r="H3872" s="90">
        <f t="shared" ca="1" si="121"/>
        <v>-1.2196680263620734E-2</v>
      </c>
    </row>
    <row r="3873" spans="2:8" x14ac:dyDescent="0.3">
      <c r="B3873" s="58">
        <f>'DATA HISTORICAL'!$B4518</f>
        <v>40206</v>
      </c>
      <c r="C3873" s="60">
        <f>'DATA HISTORICAL'!$C4518</f>
        <v>922.2</v>
      </c>
      <c r="D3873" s="53">
        <f t="shared" si="120"/>
        <v>1.3152698680697503E-2</v>
      </c>
      <c r="E3873" s="53">
        <v>-1.2349883740202164E-2</v>
      </c>
      <c r="G3873" s="90">
        <v>3865</v>
      </c>
      <c r="H3873" s="90">
        <f t="shared" ca="1" si="121"/>
        <v>-3.0508535065803992E-3</v>
      </c>
    </row>
    <row r="3874" spans="2:8" x14ac:dyDescent="0.3">
      <c r="B3874" s="58">
        <f>'DATA HISTORICAL'!$B4519</f>
        <v>40205</v>
      </c>
      <c r="C3874" s="60">
        <f>'DATA HISTORICAL'!$C4519</f>
        <v>910.15</v>
      </c>
      <c r="D3874" s="53">
        <f t="shared" si="120"/>
        <v>4.8460913167211678E-3</v>
      </c>
      <c r="E3874" s="53">
        <v>-1.235653257316136E-2</v>
      </c>
      <c r="G3874" s="90">
        <v>3866</v>
      </c>
      <c r="H3874" s="90">
        <f t="shared" ca="1" si="121"/>
        <v>7.1608281268246091E-3</v>
      </c>
    </row>
    <row r="3875" spans="2:8" x14ac:dyDescent="0.3">
      <c r="B3875" s="58">
        <f>'DATA HISTORICAL'!$B4520</f>
        <v>40203</v>
      </c>
      <c r="C3875" s="60">
        <f>'DATA HISTORICAL'!$C4520</f>
        <v>905.75</v>
      </c>
      <c r="D3875" s="53">
        <f t="shared" si="120"/>
        <v>-7.5891257336066073E-3</v>
      </c>
      <c r="E3875" s="53">
        <v>-1.2356971521653416E-2</v>
      </c>
      <c r="G3875" s="90">
        <v>3867</v>
      </c>
      <c r="H3875" s="90">
        <f t="shared" ca="1" si="121"/>
        <v>1.2485436424276304E-2</v>
      </c>
    </row>
    <row r="3876" spans="2:8" x14ac:dyDescent="0.3">
      <c r="B3876" s="58">
        <f>'DATA HISTORICAL'!$B4521</f>
        <v>40200</v>
      </c>
      <c r="C3876" s="60">
        <f>'DATA HISTORICAL'!$C4521</f>
        <v>912.65</v>
      </c>
      <c r="D3876" s="53">
        <f t="shared" si="120"/>
        <v>-3.5255662850342796E-2</v>
      </c>
      <c r="E3876" s="53">
        <v>-1.2376950113216554E-2</v>
      </c>
      <c r="G3876" s="90">
        <v>3868</v>
      </c>
      <c r="H3876" s="90">
        <f t="shared" ca="1" si="121"/>
        <v>-2.3195608384666819E-2</v>
      </c>
    </row>
    <row r="3877" spans="2:8" x14ac:dyDescent="0.3">
      <c r="B3877" s="58">
        <f>'DATA HISTORICAL'!$B4522</f>
        <v>40199</v>
      </c>
      <c r="C3877" s="60">
        <f>'DATA HISTORICAL'!$C4522</f>
        <v>945.4</v>
      </c>
      <c r="D3877" s="53">
        <f t="shared" si="120"/>
        <v>-3.3390173500384826E-2</v>
      </c>
      <c r="E3877" s="53">
        <v>-1.2417557231715406E-2</v>
      </c>
      <c r="G3877" s="90">
        <v>3869</v>
      </c>
      <c r="H3877" s="90">
        <f t="shared" ca="1" si="121"/>
        <v>1.5444872688897694E-2</v>
      </c>
    </row>
    <row r="3878" spans="2:8" x14ac:dyDescent="0.3">
      <c r="B3878" s="58">
        <f>'DATA HISTORICAL'!$B4523</f>
        <v>40198</v>
      </c>
      <c r="C3878" s="60">
        <f>'DATA HISTORICAL'!$C4523</f>
        <v>977.5</v>
      </c>
      <c r="D3878" s="53">
        <f t="shared" si="120"/>
        <v>-2.2256862080933911E-2</v>
      </c>
      <c r="E3878" s="53">
        <v>-1.2418667756263133E-2</v>
      </c>
      <c r="G3878" s="90">
        <v>3870</v>
      </c>
      <c r="H3878" s="90">
        <f t="shared" ca="1" si="121"/>
        <v>2.987995773652722E-2</v>
      </c>
    </row>
    <row r="3879" spans="2:8" x14ac:dyDescent="0.3">
      <c r="B3879" s="58">
        <f>'DATA HISTORICAL'!$B4524</f>
        <v>40197</v>
      </c>
      <c r="C3879" s="60">
        <f>'DATA HISTORICAL'!$C4524</f>
        <v>999.5</v>
      </c>
      <c r="D3879" s="53">
        <f t="shared" si="120"/>
        <v>-3.1964865894249924E-3</v>
      </c>
      <c r="E3879" s="53">
        <v>-1.2418708004746443E-2</v>
      </c>
      <c r="G3879" s="90">
        <v>3871</v>
      </c>
      <c r="H3879" s="90">
        <f t="shared" ca="1" si="121"/>
        <v>1.5509952395604147E-2</v>
      </c>
    </row>
    <row r="3880" spans="2:8" x14ac:dyDescent="0.3">
      <c r="B3880" s="58">
        <f>'DATA HISTORICAL'!$B4525</f>
        <v>40196</v>
      </c>
      <c r="C3880" s="60">
        <f>'DATA HISTORICAL'!$C4525</f>
        <v>1002.7</v>
      </c>
      <c r="D3880" s="53">
        <f t="shared" si="120"/>
        <v>-3.358735052950404E-2</v>
      </c>
      <c r="E3880" s="53">
        <v>-1.2444096073962269E-2</v>
      </c>
      <c r="G3880" s="90">
        <v>3872</v>
      </c>
      <c r="H3880" s="90">
        <f t="shared" ca="1" si="121"/>
        <v>2.5263748450934324E-2</v>
      </c>
    </row>
    <row r="3881" spans="2:8" x14ac:dyDescent="0.3">
      <c r="B3881" s="58">
        <f>'DATA HISTORICAL'!$B4526</f>
        <v>40193</v>
      </c>
      <c r="C3881" s="60">
        <f>'DATA HISTORICAL'!$C4526</f>
        <v>1036.95</v>
      </c>
      <c r="D3881" s="53">
        <f t="shared" si="120"/>
        <v>-6.775777383200233E-3</v>
      </c>
      <c r="E3881" s="53">
        <v>-1.2449962945626086E-2</v>
      </c>
      <c r="G3881" s="90">
        <v>3873</v>
      </c>
      <c r="H3881" s="90">
        <f t="shared" ca="1" si="121"/>
        <v>4.3877910879822492E-2</v>
      </c>
    </row>
    <row r="3882" spans="2:8" x14ac:dyDescent="0.3">
      <c r="B3882" s="58">
        <f>'DATA HISTORICAL'!$B4527</f>
        <v>40192</v>
      </c>
      <c r="C3882" s="60">
        <f>'DATA HISTORICAL'!$C4527</f>
        <v>1044</v>
      </c>
      <c r="D3882" s="53">
        <f t="shared" si="120"/>
        <v>1.1173300598125036E-2</v>
      </c>
      <c r="E3882" s="53">
        <v>-1.2452447382250086E-2</v>
      </c>
      <c r="G3882" s="90">
        <v>3874</v>
      </c>
      <c r="H3882" s="90">
        <f t="shared" ca="1" si="121"/>
        <v>9.2259129582670189E-3</v>
      </c>
    </row>
    <row r="3883" spans="2:8" x14ac:dyDescent="0.3">
      <c r="B3883" s="58">
        <f>'DATA HISTORICAL'!$B4528</f>
        <v>40191</v>
      </c>
      <c r="C3883" s="60">
        <f>'DATA HISTORICAL'!$C4528</f>
        <v>1032.4000000000001</v>
      </c>
      <c r="D3883" s="53">
        <f t="shared" si="120"/>
        <v>4.7406000520358746E-2</v>
      </c>
      <c r="E3883" s="53">
        <v>-1.2452448906585176E-2</v>
      </c>
      <c r="G3883" s="90">
        <v>3875</v>
      </c>
      <c r="H3883" s="90">
        <f t="shared" ca="1" si="121"/>
        <v>-7.5744618112045308E-3</v>
      </c>
    </row>
    <row r="3884" spans="2:8" x14ac:dyDescent="0.3">
      <c r="B3884" s="58">
        <f>'DATA HISTORICAL'!$B4529</f>
        <v>40190</v>
      </c>
      <c r="C3884" s="60">
        <f>'DATA HISTORICAL'!$C4529</f>
        <v>984.6</v>
      </c>
      <c r="D3884" s="53">
        <f t="shared" si="120"/>
        <v>-7.0339080077385313E-3</v>
      </c>
      <c r="E3884" s="53">
        <v>-1.2461437318715324E-2</v>
      </c>
      <c r="G3884" s="90">
        <v>3876</v>
      </c>
      <c r="H3884" s="90">
        <f t="shared" ca="1" si="121"/>
        <v>-1.0173124834367709E-2</v>
      </c>
    </row>
    <row r="3885" spans="2:8" x14ac:dyDescent="0.3">
      <c r="B3885" s="58">
        <f>'DATA HISTORICAL'!$B4530</f>
        <v>40189</v>
      </c>
      <c r="C3885" s="60">
        <f>'DATA HISTORICAL'!$C4530</f>
        <v>991.55</v>
      </c>
      <c r="D3885" s="53">
        <f t="shared" si="120"/>
        <v>1.26144780458182E-3</v>
      </c>
      <c r="E3885" s="53">
        <v>-1.2498051551899477E-2</v>
      </c>
      <c r="G3885" s="90">
        <v>3877</v>
      </c>
      <c r="H3885" s="90">
        <f t="shared" ca="1" si="121"/>
        <v>1.1504590878257864E-2</v>
      </c>
    </row>
    <row r="3886" spans="2:8" x14ac:dyDescent="0.3">
      <c r="B3886" s="58">
        <f>'DATA HISTORICAL'!$B4531</f>
        <v>40186</v>
      </c>
      <c r="C3886" s="60">
        <f>'DATA HISTORICAL'!$C4531</f>
        <v>990.3</v>
      </c>
      <c r="D3886" s="53">
        <f t="shared" si="120"/>
        <v>1.2140448303149158E-2</v>
      </c>
      <c r="E3886" s="53">
        <v>-1.2526854200552521E-2</v>
      </c>
      <c r="G3886" s="90">
        <v>3878</v>
      </c>
      <c r="H3886" s="90">
        <f t="shared" ca="1" si="121"/>
        <v>1.737005380758035E-2</v>
      </c>
    </row>
    <row r="3887" spans="2:8" x14ac:dyDescent="0.3">
      <c r="B3887" s="58">
        <f>'DATA HISTORICAL'!$B4532</f>
        <v>40185</v>
      </c>
      <c r="C3887" s="60">
        <f>'DATA HISTORICAL'!$C4532</f>
        <v>978.35</v>
      </c>
      <c r="D3887" s="53">
        <f t="shared" si="120"/>
        <v>-9.1064653932961953E-3</v>
      </c>
      <c r="E3887" s="53">
        <v>-1.2542188425106286E-2</v>
      </c>
      <c r="G3887" s="90">
        <v>3879</v>
      </c>
      <c r="H3887" s="90">
        <f t="shared" ca="1" si="121"/>
        <v>-1.4708128054794333E-3</v>
      </c>
    </row>
    <row r="3888" spans="2:8" x14ac:dyDescent="0.3">
      <c r="B3888" s="58">
        <f>'DATA HISTORICAL'!$B4533</f>
        <v>40184</v>
      </c>
      <c r="C3888" s="60">
        <f>'DATA HISTORICAL'!$C4533</f>
        <v>987.3</v>
      </c>
      <c r="D3888" s="53">
        <f t="shared" si="120"/>
        <v>1.2161752791203548E-3</v>
      </c>
      <c r="E3888" s="53">
        <v>-1.2561324974541455E-2</v>
      </c>
      <c r="G3888" s="90">
        <v>3880</v>
      </c>
      <c r="H3888" s="90">
        <f t="shared" ca="1" si="121"/>
        <v>-8.8359732704680165E-3</v>
      </c>
    </row>
    <row r="3889" spans="2:8" x14ac:dyDescent="0.3">
      <c r="B3889" s="58">
        <f>'DATA HISTORICAL'!$B4534</f>
        <v>40183</v>
      </c>
      <c r="C3889" s="60">
        <f>'DATA HISTORICAL'!$C4534</f>
        <v>986.1</v>
      </c>
      <c r="D3889" s="53">
        <f t="shared" si="120"/>
        <v>2.0490420814819617E-2</v>
      </c>
      <c r="E3889" s="53">
        <v>-1.2579940549089544E-2</v>
      </c>
      <c r="G3889" s="90">
        <v>3881</v>
      </c>
      <c r="H3889" s="90">
        <f t="shared" ca="1" si="121"/>
        <v>1.4193348059796104E-2</v>
      </c>
    </row>
    <row r="3890" spans="2:8" x14ac:dyDescent="0.3">
      <c r="B3890" s="58">
        <f>'DATA HISTORICAL'!$B4535</f>
        <v>40182</v>
      </c>
      <c r="C3890" s="60">
        <f>'DATA HISTORICAL'!$C4535</f>
        <v>966.1</v>
      </c>
      <c r="D3890" s="53">
        <f t="shared" si="120"/>
        <v>5.5217982625819916E-2</v>
      </c>
      <c r="E3890" s="53">
        <v>-1.2584402273495323E-2</v>
      </c>
      <c r="G3890" s="90">
        <v>3882</v>
      </c>
      <c r="H3890" s="90">
        <f t="shared" ca="1" si="121"/>
        <v>-6.117044309956775E-3</v>
      </c>
    </row>
    <row r="3891" spans="2:8" x14ac:dyDescent="0.3">
      <c r="B3891" s="58">
        <f>'DATA HISTORICAL'!$B4536</f>
        <v>40178</v>
      </c>
      <c r="C3891" s="60">
        <f>'DATA HISTORICAL'!$C4536</f>
        <v>914.2</v>
      </c>
      <c r="D3891" s="53">
        <f t="shared" si="120"/>
        <v>9.8934521382616214E-3</v>
      </c>
      <c r="E3891" s="53">
        <v>-1.259336234709385E-2</v>
      </c>
      <c r="G3891" s="90">
        <v>3883</v>
      </c>
      <c r="H3891" s="90">
        <f t="shared" ca="1" si="121"/>
        <v>1.7567103391157808E-2</v>
      </c>
    </row>
    <row r="3892" spans="2:8" x14ac:dyDescent="0.3">
      <c r="B3892" s="58">
        <f>'DATA HISTORICAL'!$B4537</f>
        <v>40177</v>
      </c>
      <c r="C3892" s="60">
        <f>'DATA HISTORICAL'!$C4537</f>
        <v>905.2</v>
      </c>
      <c r="D3892" s="53">
        <f t="shared" si="120"/>
        <v>5.6500454963427302E-3</v>
      </c>
      <c r="E3892" s="53">
        <v>-1.262934285551799E-2</v>
      </c>
      <c r="G3892" s="90">
        <v>3884</v>
      </c>
      <c r="H3892" s="90">
        <f t="shared" ca="1" si="121"/>
        <v>-7.6987282403326541E-3</v>
      </c>
    </row>
    <row r="3893" spans="2:8" x14ac:dyDescent="0.3">
      <c r="B3893" s="58">
        <f>'DATA HISTORICAL'!$B4538</f>
        <v>40176</v>
      </c>
      <c r="C3893" s="60">
        <f>'DATA HISTORICAL'!$C4538</f>
        <v>900.1</v>
      </c>
      <c r="D3893" s="53">
        <f t="shared" si="120"/>
        <v>1.4453279518654408E-3</v>
      </c>
      <c r="E3893" s="53">
        <v>-1.2638885876013448E-2</v>
      </c>
      <c r="G3893" s="90">
        <v>3885</v>
      </c>
      <c r="H3893" s="90">
        <f t="shared" ca="1" si="121"/>
        <v>-4.0313430186232228E-2</v>
      </c>
    </row>
    <row r="3894" spans="2:8" x14ac:dyDescent="0.3">
      <c r="B3894" s="58">
        <f>'DATA HISTORICAL'!$B4539</f>
        <v>40171</v>
      </c>
      <c r="C3894" s="60">
        <f>'DATA HISTORICAL'!$C4539</f>
        <v>898.8</v>
      </c>
      <c r="D3894" s="53">
        <f t="shared" si="120"/>
        <v>-2.0006675562972824E-3</v>
      </c>
      <c r="E3894" s="53">
        <v>-1.2657600514716247E-2</v>
      </c>
      <c r="G3894" s="90">
        <v>3886</v>
      </c>
      <c r="H3894" s="90">
        <f t="shared" ca="1" si="121"/>
        <v>3.1337342040991346E-2</v>
      </c>
    </row>
    <row r="3895" spans="2:8" x14ac:dyDescent="0.3">
      <c r="B3895" s="58">
        <f>'DATA HISTORICAL'!$B4540</f>
        <v>40170</v>
      </c>
      <c r="C3895" s="60">
        <f>'DATA HISTORICAL'!$C4540</f>
        <v>900.6</v>
      </c>
      <c r="D3895" s="53">
        <f t="shared" si="120"/>
        <v>2.6554215495288188E-2</v>
      </c>
      <c r="E3895" s="53">
        <v>-1.2660277869130328E-2</v>
      </c>
      <c r="G3895" s="90">
        <v>3887</v>
      </c>
      <c r="H3895" s="90">
        <f t="shared" ca="1" si="121"/>
        <v>1.0795233805442384E-2</v>
      </c>
    </row>
    <row r="3896" spans="2:8" x14ac:dyDescent="0.3">
      <c r="B3896" s="58">
        <f>'DATA HISTORICAL'!$B4541</f>
        <v>40169</v>
      </c>
      <c r="C3896" s="60">
        <f>'DATA HISTORICAL'!$C4541</f>
        <v>877</v>
      </c>
      <c r="D3896" s="53">
        <f t="shared" si="120"/>
        <v>-1.8023595895325793E-2</v>
      </c>
      <c r="E3896" s="53">
        <v>-1.2665684572107417E-2</v>
      </c>
      <c r="G3896" s="90">
        <v>3888</v>
      </c>
      <c r="H3896" s="90">
        <f t="shared" ca="1" si="121"/>
        <v>3.599219374804567E-3</v>
      </c>
    </row>
    <row r="3897" spans="2:8" x14ac:dyDescent="0.3">
      <c r="B3897" s="58">
        <f>'DATA HISTORICAL'!$B4542</f>
        <v>40168</v>
      </c>
      <c r="C3897" s="60">
        <f>'DATA HISTORICAL'!$C4542</f>
        <v>892.95</v>
      </c>
      <c r="D3897" s="53">
        <f t="shared" si="120"/>
        <v>-6.9748908719178323E-3</v>
      </c>
      <c r="E3897" s="53">
        <v>-1.268394058817073E-2</v>
      </c>
      <c r="G3897" s="90">
        <v>3889</v>
      </c>
      <c r="H3897" s="90">
        <f t="shared" ca="1" si="121"/>
        <v>-3.0799627528637009E-2</v>
      </c>
    </row>
    <row r="3898" spans="2:8" x14ac:dyDescent="0.3">
      <c r="B3898" s="58">
        <f>'DATA HISTORICAL'!$B4543</f>
        <v>40165</v>
      </c>
      <c r="C3898" s="60">
        <f>'DATA HISTORICAL'!$C4543</f>
        <v>899.2</v>
      </c>
      <c r="D3898" s="53">
        <f t="shared" si="120"/>
        <v>-1.6051531924561557E-2</v>
      </c>
      <c r="E3898" s="53">
        <v>-1.2693416972434793E-2</v>
      </c>
      <c r="G3898" s="90">
        <v>3890</v>
      </c>
      <c r="H3898" s="90">
        <f t="shared" ca="1" si="121"/>
        <v>1.1203931506815878E-2</v>
      </c>
    </row>
    <row r="3899" spans="2:8" x14ac:dyDescent="0.3">
      <c r="B3899" s="58">
        <f>'DATA HISTORICAL'!$B4544</f>
        <v>40164</v>
      </c>
      <c r="C3899" s="60">
        <f>'DATA HISTORICAL'!$C4544</f>
        <v>913.75</v>
      </c>
      <c r="D3899" s="53">
        <f t="shared" si="120"/>
        <v>5.8722008325848918E-3</v>
      </c>
      <c r="E3899" s="53">
        <v>-1.2694746549607758E-2</v>
      </c>
      <c r="G3899" s="90">
        <v>3891</v>
      </c>
      <c r="H3899" s="90">
        <f t="shared" ca="1" si="121"/>
        <v>2.8925036024438446E-3</v>
      </c>
    </row>
    <row r="3900" spans="2:8" x14ac:dyDescent="0.3">
      <c r="B3900" s="58">
        <f>'DATA HISTORICAL'!$B4545</f>
        <v>40163</v>
      </c>
      <c r="C3900" s="60">
        <f>'DATA HISTORICAL'!$C4545</f>
        <v>908.4</v>
      </c>
      <c r="D3900" s="53">
        <f t="shared" si="120"/>
        <v>2.3332628497047814E-2</v>
      </c>
      <c r="E3900" s="53">
        <v>-1.2698530776658714E-2</v>
      </c>
      <c r="G3900" s="90">
        <v>3892</v>
      </c>
      <c r="H3900" s="90">
        <f t="shared" ca="1" si="121"/>
        <v>-3.5354751965650669E-3</v>
      </c>
    </row>
    <row r="3901" spans="2:8" x14ac:dyDescent="0.3">
      <c r="B3901" s="58">
        <f>'DATA HISTORICAL'!$B4546</f>
        <v>40162</v>
      </c>
      <c r="C3901" s="60">
        <f>'DATA HISTORICAL'!$C4546</f>
        <v>887.45</v>
      </c>
      <c r="D3901" s="53">
        <f t="shared" si="120"/>
        <v>-1.3097690876850303E-2</v>
      </c>
      <c r="E3901" s="53">
        <v>-1.2718674721717999E-2</v>
      </c>
      <c r="G3901" s="90">
        <v>3893</v>
      </c>
      <c r="H3901" s="90">
        <f t="shared" ca="1" si="121"/>
        <v>2.76280612130687E-2</v>
      </c>
    </row>
    <row r="3902" spans="2:8" x14ac:dyDescent="0.3">
      <c r="B3902" s="58">
        <f>'DATA HISTORICAL'!$B4547</f>
        <v>40161</v>
      </c>
      <c r="C3902" s="60">
        <f>'DATA HISTORICAL'!$C4547</f>
        <v>899.15</v>
      </c>
      <c r="D3902" s="53">
        <f t="shared" si="120"/>
        <v>4.4401211053771976E-2</v>
      </c>
      <c r="E3902" s="53">
        <v>-1.2743220568422191E-2</v>
      </c>
      <c r="G3902" s="90">
        <v>3894</v>
      </c>
      <c r="H3902" s="90">
        <f t="shared" ca="1" si="121"/>
        <v>1.7909445851966639E-2</v>
      </c>
    </row>
    <row r="3903" spans="2:8" x14ac:dyDescent="0.3">
      <c r="B3903" s="58">
        <f>'DATA HISTORICAL'!$B4548</f>
        <v>40158</v>
      </c>
      <c r="C3903" s="60">
        <f>'DATA HISTORICAL'!$C4548</f>
        <v>860.1</v>
      </c>
      <c r="D3903" s="53">
        <f t="shared" si="120"/>
        <v>9.8730172508475975E-3</v>
      </c>
      <c r="E3903" s="53">
        <v>-1.2777048014461953E-2</v>
      </c>
      <c r="G3903" s="90">
        <v>3895</v>
      </c>
      <c r="H3903" s="90">
        <f t="shared" ca="1" si="121"/>
        <v>-1.524947719911492E-2</v>
      </c>
    </row>
    <row r="3904" spans="2:8" x14ac:dyDescent="0.3">
      <c r="B3904" s="58">
        <f>'DATA HISTORICAL'!$B4549</f>
        <v>40157</v>
      </c>
      <c r="C3904" s="60">
        <f>'DATA HISTORICAL'!$C4549</f>
        <v>851.65</v>
      </c>
      <c r="D3904" s="53">
        <f t="shared" si="120"/>
        <v>-1.3494091049938537E-3</v>
      </c>
      <c r="E3904" s="53">
        <v>-1.2778123786368631E-2</v>
      </c>
      <c r="G3904" s="90">
        <v>3896</v>
      </c>
      <c r="H3904" s="90">
        <f t="shared" ca="1" si="121"/>
        <v>-1.4108422399366827E-2</v>
      </c>
    </row>
    <row r="3905" spans="2:8" x14ac:dyDescent="0.3">
      <c r="B3905" s="58">
        <f>'DATA HISTORICAL'!$B4550</f>
        <v>40156</v>
      </c>
      <c r="C3905" s="60">
        <f>'DATA HISTORICAL'!$C4550</f>
        <v>852.8</v>
      </c>
      <c r="D3905" s="53">
        <f t="shared" si="120"/>
        <v>6.3522152191211167E-3</v>
      </c>
      <c r="E3905" s="53">
        <v>-1.2787898049755728E-2</v>
      </c>
      <c r="G3905" s="90">
        <v>3897</v>
      </c>
      <c r="H3905" s="90">
        <f t="shared" ca="1" si="121"/>
        <v>1.5325318135281114E-2</v>
      </c>
    </row>
    <row r="3906" spans="2:8" x14ac:dyDescent="0.3">
      <c r="B3906" s="58">
        <f>'DATA HISTORICAL'!$B4551</f>
        <v>40155</v>
      </c>
      <c r="C3906" s="60">
        <f>'DATA HISTORICAL'!$C4551</f>
        <v>847.4</v>
      </c>
      <c r="D3906" s="53">
        <f t="shared" si="120"/>
        <v>1.5340095090569082E-2</v>
      </c>
      <c r="E3906" s="53">
        <v>-1.2792713556165517E-2</v>
      </c>
      <c r="G3906" s="90">
        <v>3898</v>
      </c>
      <c r="H3906" s="90">
        <f t="shared" ca="1" si="121"/>
        <v>3.8144435734786999E-2</v>
      </c>
    </row>
    <row r="3907" spans="2:8" x14ac:dyDescent="0.3">
      <c r="B3907" s="58">
        <f>'DATA HISTORICAL'!$B4552</f>
        <v>40154</v>
      </c>
      <c r="C3907" s="60">
        <f>'DATA HISTORICAL'!$C4552</f>
        <v>834.5</v>
      </c>
      <c r="D3907" s="53">
        <f t="shared" si="120"/>
        <v>-2.1546572855902315E-3</v>
      </c>
      <c r="E3907" s="53">
        <v>-1.2815306429726918E-2</v>
      </c>
      <c r="G3907" s="90">
        <v>3899</v>
      </c>
      <c r="H3907" s="90">
        <f t="shared" ca="1" si="121"/>
        <v>-2.3453284710033646E-3</v>
      </c>
    </row>
    <row r="3908" spans="2:8" x14ac:dyDescent="0.3">
      <c r="B3908" s="58">
        <f>'DATA HISTORICAL'!$B4553</f>
        <v>40151</v>
      </c>
      <c r="C3908" s="60">
        <f>'DATA HISTORICAL'!$C4553</f>
        <v>836.3</v>
      </c>
      <c r="D3908" s="53">
        <f t="shared" si="120"/>
        <v>-1.123640727333779E-2</v>
      </c>
      <c r="E3908" s="53">
        <v>-1.283527190999276E-2</v>
      </c>
      <c r="G3908" s="90">
        <v>3900</v>
      </c>
      <c r="H3908" s="90">
        <f t="shared" ca="1" si="121"/>
        <v>-2.6196183673531253E-2</v>
      </c>
    </row>
    <row r="3909" spans="2:8" x14ac:dyDescent="0.3">
      <c r="B3909" s="58">
        <f>'DATA HISTORICAL'!$B4554</f>
        <v>40150</v>
      </c>
      <c r="C3909" s="60">
        <f>'DATA HISTORICAL'!$C4554</f>
        <v>845.75</v>
      </c>
      <c r="D3909" s="53">
        <f t="shared" si="120"/>
        <v>1.3211332359420741E-2</v>
      </c>
      <c r="E3909" s="53">
        <v>-1.2846486651700663E-2</v>
      </c>
      <c r="G3909" s="90">
        <v>3901</v>
      </c>
      <c r="H3909" s="90">
        <f t="shared" ca="1" si="121"/>
        <v>6.5333419495137157E-3</v>
      </c>
    </row>
    <row r="3910" spans="2:8" x14ac:dyDescent="0.3">
      <c r="B3910" s="58">
        <f>'DATA HISTORICAL'!$B4555</f>
        <v>40149</v>
      </c>
      <c r="C3910" s="60">
        <f>'DATA HISTORICAL'!$C4555</f>
        <v>834.65</v>
      </c>
      <c r="D3910" s="53">
        <f t="shared" si="120"/>
        <v>-7.5197298720449174E-3</v>
      </c>
      <c r="E3910" s="53">
        <v>-1.285877487628468E-2</v>
      </c>
      <c r="G3910" s="90">
        <v>3902</v>
      </c>
      <c r="H3910" s="90">
        <f t="shared" ca="1" si="121"/>
        <v>2.2955877258815018E-2</v>
      </c>
    </row>
    <row r="3911" spans="2:8" x14ac:dyDescent="0.3">
      <c r="B3911" s="58">
        <f>'DATA HISTORICAL'!$B4556</f>
        <v>40148</v>
      </c>
      <c r="C3911" s="60">
        <f>'DATA HISTORICAL'!$C4556</f>
        <v>840.95</v>
      </c>
      <c r="D3911" s="53">
        <f t="shared" si="120"/>
        <v>5.1263822328592593E-3</v>
      </c>
      <c r="E3911" s="53">
        <v>-1.2863883361909785E-2</v>
      </c>
      <c r="G3911" s="90">
        <v>3903</v>
      </c>
      <c r="H3911" s="90">
        <f t="shared" ca="1" si="121"/>
        <v>-7.8827357551162526E-3</v>
      </c>
    </row>
    <row r="3912" spans="2:8" x14ac:dyDescent="0.3">
      <c r="B3912" s="58">
        <f>'DATA HISTORICAL'!$B4557</f>
        <v>40147</v>
      </c>
      <c r="C3912" s="60">
        <f>'DATA HISTORICAL'!$C4557</f>
        <v>836.65</v>
      </c>
      <c r="D3912" s="53">
        <f t="shared" si="120"/>
        <v>2.2421244420929957E-2</v>
      </c>
      <c r="E3912" s="53">
        <v>-1.2867903636629241E-2</v>
      </c>
      <c r="G3912" s="90">
        <v>3904</v>
      </c>
      <c r="H3912" s="90">
        <f t="shared" ca="1" si="121"/>
        <v>2.0261412234844435E-2</v>
      </c>
    </row>
    <row r="3913" spans="2:8" x14ac:dyDescent="0.3">
      <c r="B3913" s="58">
        <f>'DATA HISTORICAL'!$B4558</f>
        <v>40144</v>
      </c>
      <c r="C3913" s="60">
        <f>'DATA HISTORICAL'!$C4558</f>
        <v>818.1</v>
      </c>
      <c r="D3913" s="53">
        <f t="shared" ref="D3913:D3976" si="122">LN(C3913/C3914)</f>
        <v>-8.1563541830975486E-3</v>
      </c>
      <c r="E3913" s="53">
        <v>-1.2914811093051995E-2</v>
      </c>
      <c r="G3913" s="90">
        <v>3905</v>
      </c>
      <c r="H3913" s="90">
        <f t="shared" ref="H3913:H3976" ca="1" si="123">_xlfn.NORM.INV(RAND(),N$10,N$11)</f>
        <v>2.2403760715975795E-3</v>
      </c>
    </row>
    <row r="3914" spans="2:8" x14ac:dyDescent="0.3">
      <c r="B3914" s="58">
        <f>'DATA HISTORICAL'!$B4559</f>
        <v>40143</v>
      </c>
      <c r="C3914" s="60">
        <f>'DATA HISTORICAL'!$C4559</f>
        <v>824.8</v>
      </c>
      <c r="D3914" s="53">
        <f t="shared" si="122"/>
        <v>-6.1642789016521388E-3</v>
      </c>
      <c r="E3914" s="53">
        <v>-1.2927633072582181E-2</v>
      </c>
      <c r="G3914" s="90">
        <v>3906</v>
      </c>
      <c r="H3914" s="90">
        <f t="shared" ca="1" si="123"/>
        <v>5.7459567075532174E-3</v>
      </c>
    </row>
    <row r="3915" spans="2:8" x14ac:dyDescent="0.3">
      <c r="B3915" s="58">
        <f>'DATA HISTORICAL'!$B4560</f>
        <v>40142</v>
      </c>
      <c r="C3915" s="60">
        <f>'DATA HISTORICAL'!$C4560</f>
        <v>829.9</v>
      </c>
      <c r="D3915" s="53">
        <f t="shared" si="122"/>
        <v>1.3526424654940613E-2</v>
      </c>
      <c r="E3915" s="53">
        <v>-1.2936557776533211E-2</v>
      </c>
      <c r="G3915" s="90">
        <v>3907</v>
      </c>
      <c r="H3915" s="90">
        <f t="shared" ca="1" si="123"/>
        <v>-5.1880311728547688E-3</v>
      </c>
    </row>
    <row r="3916" spans="2:8" x14ac:dyDescent="0.3">
      <c r="B3916" s="58">
        <f>'DATA HISTORICAL'!$B4561</f>
        <v>40141</v>
      </c>
      <c r="C3916" s="60">
        <f>'DATA HISTORICAL'!$C4561</f>
        <v>818.75</v>
      </c>
      <c r="D3916" s="53">
        <f t="shared" si="122"/>
        <v>2.9968524921515287E-3</v>
      </c>
      <c r="E3916" s="53">
        <v>-1.2946923605362357E-2</v>
      </c>
      <c r="G3916" s="90">
        <v>3908</v>
      </c>
      <c r="H3916" s="90">
        <f t="shared" ca="1" si="123"/>
        <v>1.8094715552427476E-2</v>
      </c>
    </row>
    <row r="3917" spans="2:8" x14ac:dyDescent="0.3">
      <c r="B3917" s="58">
        <f>'DATA HISTORICAL'!$B4562</f>
        <v>40140</v>
      </c>
      <c r="C3917" s="60">
        <f>'DATA HISTORICAL'!$C4562</f>
        <v>816.3</v>
      </c>
      <c r="D3917" s="53">
        <f t="shared" si="122"/>
        <v>3.0915228325562861E-2</v>
      </c>
      <c r="E3917" s="53">
        <v>-1.2991797237266857E-2</v>
      </c>
      <c r="G3917" s="90">
        <v>3909</v>
      </c>
      <c r="H3917" s="90">
        <f t="shared" ca="1" si="123"/>
        <v>1.8597523048479378E-2</v>
      </c>
    </row>
    <row r="3918" spans="2:8" x14ac:dyDescent="0.3">
      <c r="B3918" s="58">
        <f>'DATA HISTORICAL'!$B4563</f>
        <v>40137</v>
      </c>
      <c r="C3918" s="60">
        <f>'DATA HISTORICAL'!$C4563</f>
        <v>791.45</v>
      </c>
      <c r="D3918" s="53">
        <f t="shared" si="122"/>
        <v>3.7001936961554495E-2</v>
      </c>
      <c r="E3918" s="53">
        <v>-1.3005313699175155E-2</v>
      </c>
      <c r="G3918" s="90">
        <v>3910</v>
      </c>
      <c r="H3918" s="90">
        <f t="shared" ca="1" si="123"/>
        <v>-8.1603724011496907E-4</v>
      </c>
    </row>
    <row r="3919" spans="2:8" x14ac:dyDescent="0.3">
      <c r="B3919" s="58">
        <f>'DATA HISTORICAL'!$B4564</f>
        <v>40136</v>
      </c>
      <c r="C3919" s="60">
        <f>'DATA HISTORICAL'!$C4564</f>
        <v>762.7</v>
      </c>
      <c r="D3919" s="53">
        <f t="shared" si="122"/>
        <v>6.9732537024985459E-3</v>
      </c>
      <c r="E3919" s="53">
        <v>-1.3008855902944517E-2</v>
      </c>
      <c r="G3919" s="90">
        <v>3911</v>
      </c>
      <c r="H3919" s="90">
        <f t="shared" ca="1" si="123"/>
        <v>7.7480099408033416E-3</v>
      </c>
    </row>
    <row r="3920" spans="2:8" x14ac:dyDescent="0.3">
      <c r="B3920" s="58">
        <f>'DATA HISTORICAL'!$B4565</f>
        <v>40135</v>
      </c>
      <c r="C3920" s="60">
        <f>'DATA HISTORICAL'!$C4565</f>
        <v>757.4</v>
      </c>
      <c r="D3920" s="53">
        <f t="shared" si="122"/>
        <v>1.1352819029289796E-2</v>
      </c>
      <c r="E3920" s="53">
        <v>-1.301112837992939E-2</v>
      </c>
      <c r="G3920" s="90">
        <v>3912</v>
      </c>
      <c r="H3920" s="90">
        <f t="shared" ca="1" si="123"/>
        <v>3.2519057594621266E-2</v>
      </c>
    </row>
    <row r="3921" spans="2:8" x14ac:dyDescent="0.3">
      <c r="B3921" s="58">
        <f>'DATA HISTORICAL'!$B4566</f>
        <v>40134</v>
      </c>
      <c r="C3921" s="60">
        <f>'DATA HISTORICAL'!$C4566</f>
        <v>748.85</v>
      </c>
      <c r="D3921" s="53">
        <f t="shared" si="122"/>
        <v>1.3714500670787484E-2</v>
      </c>
      <c r="E3921" s="53">
        <v>-1.3019028149403677E-2</v>
      </c>
      <c r="G3921" s="90">
        <v>3913</v>
      </c>
      <c r="H3921" s="90">
        <f t="shared" ca="1" si="123"/>
        <v>7.276240348544941E-3</v>
      </c>
    </row>
    <row r="3922" spans="2:8" x14ac:dyDescent="0.3">
      <c r="B3922" s="58">
        <f>'DATA HISTORICAL'!$B4567</f>
        <v>40133</v>
      </c>
      <c r="C3922" s="60">
        <f>'DATA HISTORICAL'!$C4567</f>
        <v>738.65</v>
      </c>
      <c r="D3922" s="53">
        <f t="shared" si="122"/>
        <v>1.1848157121628209E-2</v>
      </c>
      <c r="E3922" s="53">
        <v>-1.302361234651022E-2</v>
      </c>
      <c r="G3922" s="90">
        <v>3914</v>
      </c>
      <c r="H3922" s="90">
        <f t="shared" ca="1" si="123"/>
        <v>-2.6574481091145585E-2</v>
      </c>
    </row>
    <row r="3923" spans="2:8" x14ac:dyDescent="0.3">
      <c r="B3923" s="58">
        <f>'DATA HISTORICAL'!$B4568</f>
        <v>40130</v>
      </c>
      <c r="C3923" s="60">
        <f>'DATA HISTORICAL'!$C4568</f>
        <v>729.95</v>
      </c>
      <c r="D3923" s="53">
        <f t="shared" si="122"/>
        <v>1.9197811861256047E-3</v>
      </c>
      <c r="E3923" s="53">
        <v>-1.3044607629412584E-2</v>
      </c>
      <c r="G3923" s="90">
        <v>3915</v>
      </c>
      <c r="H3923" s="90">
        <f t="shared" ca="1" si="123"/>
        <v>1.5512783699120427E-2</v>
      </c>
    </row>
    <row r="3924" spans="2:8" x14ac:dyDescent="0.3">
      <c r="B3924" s="58">
        <f>'DATA HISTORICAL'!$B4569</f>
        <v>40129</v>
      </c>
      <c r="C3924" s="60">
        <f>'DATA HISTORICAL'!$C4569</f>
        <v>728.55</v>
      </c>
      <c r="D3924" s="53">
        <f t="shared" si="122"/>
        <v>-2.594557054600645E-2</v>
      </c>
      <c r="E3924" s="53">
        <v>-1.3057314605216294E-2</v>
      </c>
      <c r="G3924" s="90">
        <v>3916</v>
      </c>
      <c r="H3924" s="90">
        <f t="shared" ca="1" si="123"/>
        <v>-1.7403820867185286E-3</v>
      </c>
    </row>
    <row r="3925" spans="2:8" x14ac:dyDescent="0.3">
      <c r="B3925" s="58">
        <f>'DATA HISTORICAL'!$B4570</f>
        <v>40128</v>
      </c>
      <c r="C3925" s="60">
        <f>'DATA HISTORICAL'!$C4570</f>
        <v>747.7</v>
      </c>
      <c r="D3925" s="53">
        <f t="shared" si="122"/>
        <v>1.035164180765448E-2</v>
      </c>
      <c r="E3925" s="53">
        <v>-1.3068171711191902E-2</v>
      </c>
      <c r="G3925" s="90">
        <v>3917</v>
      </c>
      <c r="H3925" s="90">
        <f t="shared" ca="1" si="123"/>
        <v>1.011174095923365E-2</v>
      </c>
    </row>
    <row r="3926" spans="2:8" x14ac:dyDescent="0.3">
      <c r="B3926" s="58">
        <f>'DATA HISTORICAL'!$B4571</f>
        <v>40127</v>
      </c>
      <c r="C3926" s="60">
        <f>'DATA HISTORICAL'!$C4571</f>
        <v>740</v>
      </c>
      <c r="D3926" s="53">
        <f t="shared" si="122"/>
        <v>-7.3378766761927269E-3</v>
      </c>
      <c r="E3926" s="53">
        <v>-1.3105318702604681E-2</v>
      </c>
      <c r="G3926" s="90">
        <v>3918</v>
      </c>
      <c r="H3926" s="90">
        <f t="shared" ca="1" si="123"/>
        <v>2.8580538212711882E-2</v>
      </c>
    </row>
    <row r="3927" spans="2:8" x14ac:dyDescent="0.3">
      <c r="B3927" s="58">
        <f>'DATA HISTORICAL'!$B4572</f>
        <v>40126</v>
      </c>
      <c r="C3927" s="60">
        <f>'DATA HISTORICAL'!$C4572</f>
        <v>745.45</v>
      </c>
      <c r="D3927" s="53">
        <f t="shared" si="122"/>
        <v>1.3369544178187531E-2</v>
      </c>
      <c r="E3927" s="53">
        <v>-1.3108969177579194E-2</v>
      </c>
      <c r="G3927" s="90">
        <v>3919</v>
      </c>
      <c r="H3927" s="90">
        <f t="shared" ca="1" si="123"/>
        <v>2.814739693211489E-2</v>
      </c>
    </row>
    <row r="3928" spans="2:8" x14ac:dyDescent="0.3">
      <c r="B3928" s="58">
        <f>'DATA HISTORICAL'!$B4573</f>
        <v>40123</v>
      </c>
      <c r="C3928" s="60">
        <f>'DATA HISTORICAL'!$C4573</f>
        <v>735.55</v>
      </c>
      <c r="D3928" s="53">
        <f t="shared" si="122"/>
        <v>-1.9693734931158571E-3</v>
      </c>
      <c r="E3928" s="53">
        <v>-1.3112385757441999E-2</v>
      </c>
      <c r="G3928" s="90">
        <v>3920</v>
      </c>
      <c r="H3928" s="90">
        <f t="shared" ca="1" si="123"/>
        <v>1.6001917626280861E-2</v>
      </c>
    </row>
    <row r="3929" spans="2:8" x14ac:dyDescent="0.3">
      <c r="B3929" s="58">
        <f>'DATA HISTORICAL'!$B4574</f>
        <v>40122</v>
      </c>
      <c r="C3929" s="60">
        <f>'DATA HISTORICAL'!$C4574</f>
        <v>737</v>
      </c>
      <c r="D3929" s="53">
        <f t="shared" si="122"/>
        <v>4.1469857860942138E-3</v>
      </c>
      <c r="E3929" s="53">
        <v>-1.3113372884482919E-2</v>
      </c>
      <c r="G3929" s="90">
        <v>3921</v>
      </c>
      <c r="H3929" s="90">
        <f t="shared" ca="1" si="123"/>
        <v>3.2853652485759832E-2</v>
      </c>
    </row>
    <row r="3930" spans="2:8" x14ac:dyDescent="0.3">
      <c r="B3930" s="58">
        <f>'DATA HISTORICAL'!$B4575</f>
        <v>40121</v>
      </c>
      <c r="C3930" s="60">
        <f>'DATA HISTORICAL'!$C4575</f>
        <v>733.95</v>
      </c>
      <c r="D3930" s="53">
        <f t="shared" si="122"/>
        <v>-9.0197620762699701E-3</v>
      </c>
      <c r="E3930" s="53">
        <v>-1.3165621987623647E-2</v>
      </c>
      <c r="G3930" s="90">
        <v>3922</v>
      </c>
      <c r="H3930" s="90">
        <f t="shared" ca="1" si="123"/>
        <v>2.3301114982504621E-2</v>
      </c>
    </row>
    <row r="3931" spans="2:8" x14ac:dyDescent="0.3">
      <c r="B3931" s="58">
        <f>'DATA HISTORICAL'!$B4576</f>
        <v>40120</v>
      </c>
      <c r="C3931" s="60">
        <f>'DATA HISTORICAL'!$C4576</f>
        <v>740.6</v>
      </c>
      <c r="D3931" s="53">
        <f t="shared" si="122"/>
        <v>-3.6263958382125004E-2</v>
      </c>
      <c r="E3931" s="53">
        <v>-1.3170631385436797E-2</v>
      </c>
      <c r="G3931" s="90">
        <v>3923</v>
      </c>
      <c r="H3931" s="90">
        <f t="shared" ca="1" si="123"/>
        <v>9.8939829991602432E-3</v>
      </c>
    </row>
    <row r="3932" spans="2:8" x14ac:dyDescent="0.3">
      <c r="B3932" s="58">
        <f>'DATA HISTORICAL'!$B4577</f>
        <v>40116</v>
      </c>
      <c r="C3932" s="60">
        <f>'DATA HISTORICAL'!$C4577</f>
        <v>767.95</v>
      </c>
      <c r="D3932" s="53">
        <f t="shared" si="122"/>
        <v>1.1656975482913157E-2</v>
      </c>
      <c r="E3932" s="53">
        <v>-1.3186853525461369E-2</v>
      </c>
      <c r="G3932" s="90">
        <v>3924</v>
      </c>
      <c r="H3932" s="90">
        <f t="shared" ca="1" si="123"/>
        <v>-3.5612106099730069E-2</v>
      </c>
    </row>
    <row r="3933" spans="2:8" x14ac:dyDescent="0.3">
      <c r="B3933" s="58">
        <f>'DATA HISTORICAL'!$B4578</f>
        <v>40115</v>
      </c>
      <c r="C3933" s="60">
        <f>'DATA HISTORICAL'!$C4578</f>
        <v>759.05</v>
      </c>
      <c r="D3933" s="53">
        <f t="shared" si="122"/>
        <v>-1.0027939186124752E-2</v>
      </c>
      <c r="E3933" s="53">
        <v>-1.3196072163130734E-2</v>
      </c>
      <c r="G3933" s="90">
        <v>3925</v>
      </c>
      <c r="H3933" s="90">
        <f t="shared" ca="1" si="123"/>
        <v>-2.9799164531676265E-2</v>
      </c>
    </row>
    <row r="3934" spans="2:8" x14ac:dyDescent="0.3">
      <c r="B3934" s="58">
        <f>'DATA HISTORICAL'!$B4579</f>
        <v>40114</v>
      </c>
      <c r="C3934" s="60">
        <f>'DATA HISTORICAL'!$C4579</f>
        <v>766.7</v>
      </c>
      <c r="D3934" s="53">
        <f t="shared" si="122"/>
        <v>-1.1154460660064435E-2</v>
      </c>
      <c r="E3934" s="53">
        <v>-1.3199501213510946E-2</v>
      </c>
      <c r="G3934" s="90">
        <v>3926</v>
      </c>
      <c r="H3934" s="90">
        <f t="shared" ca="1" si="123"/>
        <v>-1.1065335087470311E-2</v>
      </c>
    </row>
    <row r="3935" spans="2:8" x14ac:dyDescent="0.3">
      <c r="B3935" s="58">
        <f>'DATA HISTORICAL'!$B4580</f>
        <v>40113</v>
      </c>
      <c r="C3935" s="60">
        <f>'DATA HISTORICAL'!$C4580</f>
        <v>775.3</v>
      </c>
      <c r="D3935" s="53">
        <f t="shared" si="122"/>
        <v>-5.6591790906410947E-3</v>
      </c>
      <c r="E3935" s="53">
        <v>-1.323150801159567E-2</v>
      </c>
      <c r="G3935" s="90">
        <v>3927</v>
      </c>
      <c r="H3935" s="90">
        <f t="shared" ca="1" si="123"/>
        <v>-9.9894942441306409E-3</v>
      </c>
    </row>
    <row r="3936" spans="2:8" x14ac:dyDescent="0.3">
      <c r="B3936" s="58">
        <f>'DATA HISTORICAL'!$B4581</f>
        <v>40112</v>
      </c>
      <c r="C3936" s="60">
        <f>'DATA HISTORICAL'!$C4581</f>
        <v>779.7</v>
      </c>
      <c r="D3936" s="53">
        <f t="shared" si="122"/>
        <v>9.277221543653718E-3</v>
      </c>
      <c r="E3936" s="53">
        <v>-1.323685883428322E-2</v>
      </c>
      <c r="G3936" s="90">
        <v>3928</v>
      </c>
      <c r="H3936" s="90">
        <f t="shared" ca="1" si="123"/>
        <v>2.6852657842742773E-2</v>
      </c>
    </row>
    <row r="3937" spans="2:8" x14ac:dyDescent="0.3">
      <c r="B3937" s="58">
        <f>'DATA HISTORICAL'!$B4582</f>
        <v>40109</v>
      </c>
      <c r="C3937" s="60">
        <f>'DATA HISTORICAL'!$C4582</f>
        <v>772.5</v>
      </c>
      <c r="D3937" s="53">
        <f t="shared" si="122"/>
        <v>-6.2586906238493063E-3</v>
      </c>
      <c r="E3937" s="53">
        <v>-1.3238519382408566E-2</v>
      </c>
      <c r="G3937" s="90">
        <v>3929</v>
      </c>
      <c r="H3937" s="90">
        <f t="shared" ca="1" si="123"/>
        <v>2.5281665644613215E-4</v>
      </c>
    </row>
    <row r="3938" spans="2:8" x14ac:dyDescent="0.3">
      <c r="B3938" s="58">
        <f>'DATA HISTORICAL'!$B4583</f>
        <v>40108</v>
      </c>
      <c r="C3938" s="60">
        <f>'DATA HISTORICAL'!$C4583</f>
        <v>777.35</v>
      </c>
      <c r="D3938" s="53">
        <f t="shared" si="122"/>
        <v>-3.5324179405749417E-2</v>
      </c>
      <c r="E3938" s="53">
        <v>-1.3251130290260255E-2</v>
      </c>
      <c r="G3938" s="90">
        <v>3930</v>
      </c>
      <c r="H3938" s="90">
        <f t="shared" ca="1" si="123"/>
        <v>1.310592914164431E-2</v>
      </c>
    </row>
    <row r="3939" spans="2:8" x14ac:dyDescent="0.3">
      <c r="B3939" s="58">
        <f>'DATA HISTORICAL'!$B4584</f>
        <v>40107</v>
      </c>
      <c r="C3939" s="60">
        <f>'DATA HISTORICAL'!$C4584</f>
        <v>805.3</v>
      </c>
      <c r="D3939" s="53">
        <f t="shared" si="122"/>
        <v>-2.3501618545478109E-2</v>
      </c>
      <c r="E3939" s="53">
        <v>-1.3263740516089591E-2</v>
      </c>
      <c r="G3939" s="90">
        <v>3931</v>
      </c>
      <c r="H3939" s="90">
        <f t="shared" ca="1" si="123"/>
        <v>1.3744251699558851E-2</v>
      </c>
    </row>
    <row r="3940" spans="2:8" x14ac:dyDescent="0.3">
      <c r="B3940" s="58">
        <f>'DATA HISTORICAL'!$B4585</f>
        <v>40106</v>
      </c>
      <c r="C3940" s="60">
        <f>'DATA HISTORICAL'!$C4585</f>
        <v>824.45</v>
      </c>
      <c r="D3940" s="53">
        <f t="shared" si="122"/>
        <v>-1.8209090599500603E-2</v>
      </c>
      <c r="E3940" s="53">
        <v>-1.3269966358451412E-2</v>
      </c>
      <c r="G3940" s="90">
        <v>3932</v>
      </c>
      <c r="H3940" s="90">
        <f t="shared" ca="1" si="123"/>
        <v>3.2319102921788051E-2</v>
      </c>
    </row>
    <row r="3941" spans="2:8" x14ac:dyDescent="0.3">
      <c r="B3941" s="58">
        <f>'DATA HISTORICAL'!$B4586</f>
        <v>40103</v>
      </c>
      <c r="C3941" s="60">
        <f>'DATA HISTORICAL'!$C4586</f>
        <v>839.6</v>
      </c>
      <c r="D3941" s="53">
        <f t="shared" si="122"/>
        <v>1.9301323717793271E-2</v>
      </c>
      <c r="E3941" s="53">
        <v>-1.3296298093049892E-2</v>
      </c>
      <c r="G3941" s="90">
        <v>3933</v>
      </c>
      <c r="H3941" s="90">
        <f t="shared" ca="1" si="123"/>
        <v>5.4649670675642973E-3</v>
      </c>
    </row>
    <row r="3942" spans="2:8" x14ac:dyDescent="0.3">
      <c r="B3942" s="58">
        <f>'DATA HISTORICAL'!$B4587</f>
        <v>40102</v>
      </c>
      <c r="C3942" s="60">
        <f>'DATA HISTORICAL'!$C4587</f>
        <v>823.55</v>
      </c>
      <c r="D3942" s="53">
        <f t="shared" si="122"/>
        <v>-2.488361744676941E-2</v>
      </c>
      <c r="E3942" s="53">
        <v>-1.3301559508334105E-2</v>
      </c>
      <c r="G3942" s="90">
        <v>3934</v>
      </c>
      <c r="H3942" s="90">
        <f t="shared" ca="1" si="123"/>
        <v>-1.7682935605284087E-2</v>
      </c>
    </row>
    <row r="3943" spans="2:8" x14ac:dyDescent="0.3">
      <c r="B3943" s="58">
        <f>'DATA HISTORICAL'!$B4588</f>
        <v>40101</v>
      </c>
      <c r="C3943" s="60">
        <f>'DATA HISTORICAL'!$C4588</f>
        <v>844.3</v>
      </c>
      <c r="D3943" s="53">
        <f t="shared" si="122"/>
        <v>3.9315470692498931E-2</v>
      </c>
      <c r="E3943" s="53">
        <v>-1.330952539232777E-2</v>
      </c>
      <c r="G3943" s="90">
        <v>3935</v>
      </c>
      <c r="H3943" s="90">
        <f t="shared" ca="1" si="123"/>
        <v>-1.2917232059591489E-2</v>
      </c>
    </row>
    <row r="3944" spans="2:8" x14ac:dyDescent="0.3">
      <c r="B3944" s="58">
        <f>'DATA HISTORICAL'!$B4589</f>
        <v>40100</v>
      </c>
      <c r="C3944" s="60">
        <f>'DATA HISTORICAL'!$C4589</f>
        <v>811.75</v>
      </c>
      <c r="D3944" s="53">
        <f t="shared" si="122"/>
        <v>-4.3629260806454274E-2</v>
      </c>
      <c r="E3944" s="53">
        <v>-1.3313311856429843E-2</v>
      </c>
      <c r="G3944" s="90">
        <v>3936</v>
      </c>
      <c r="H3944" s="90">
        <f t="shared" ca="1" si="123"/>
        <v>1.1300422071184223E-2</v>
      </c>
    </row>
    <row r="3945" spans="2:8" x14ac:dyDescent="0.3">
      <c r="B3945" s="58">
        <f>'DATA HISTORICAL'!$B4590</f>
        <v>40098</v>
      </c>
      <c r="C3945" s="60">
        <f>'DATA HISTORICAL'!$C4590</f>
        <v>847.95</v>
      </c>
      <c r="D3945" s="53">
        <f t="shared" si="122"/>
        <v>-2.5843938790773405E-2</v>
      </c>
      <c r="E3945" s="53">
        <v>-1.3331726183010321E-2</v>
      </c>
      <c r="G3945" s="90">
        <v>3937</v>
      </c>
      <c r="H3945" s="90">
        <f t="shared" ca="1" si="123"/>
        <v>-1.6726423951742998E-3</v>
      </c>
    </row>
    <row r="3946" spans="2:8" x14ac:dyDescent="0.3">
      <c r="B3946" s="58">
        <f>'DATA HISTORICAL'!$B4591</f>
        <v>40095</v>
      </c>
      <c r="C3946" s="60">
        <f>'DATA HISTORICAL'!$C4591</f>
        <v>870.15</v>
      </c>
      <c r="D3946" s="53">
        <f t="shared" si="122"/>
        <v>3.6633704363773542E-2</v>
      </c>
      <c r="E3946" s="53">
        <v>-1.3346120833081428E-2</v>
      </c>
      <c r="G3946" s="90">
        <v>3938</v>
      </c>
      <c r="H3946" s="90">
        <f t="shared" ca="1" si="123"/>
        <v>2.2436092746951703E-2</v>
      </c>
    </row>
    <row r="3947" spans="2:8" x14ac:dyDescent="0.3">
      <c r="B3947" s="58">
        <f>'DATA HISTORICAL'!$B4592</f>
        <v>40094</v>
      </c>
      <c r="C3947" s="60">
        <f>'DATA HISTORICAL'!$C4592</f>
        <v>838.85</v>
      </c>
      <c r="D3947" s="53">
        <f t="shared" si="122"/>
        <v>1.9987421147243199E-2</v>
      </c>
      <c r="E3947" s="53">
        <v>-1.3350844807124599E-2</v>
      </c>
      <c r="G3947" s="90">
        <v>3939</v>
      </c>
      <c r="H3947" s="90">
        <f t="shared" ca="1" si="123"/>
        <v>-1.6641224583129693E-2</v>
      </c>
    </row>
    <row r="3948" spans="2:8" x14ac:dyDescent="0.3">
      <c r="B3948" s="58">
        <f>'DATA HISTORICAL'!$B4593</f>
        <v>40093</v>
      </c>
      <c r="C3948" s="60">
        <f>'DATA HISTORICAL'!$C4593</f>
        <v>822.25</v>
      </c>
      <c r="D3948" s="53">
        <f t="shared" si="122"/>
        <v>9.7770409128235779E-3</v>
      </c>
      <c r="E3948" s="53">
        <v>-1.3371151126505939E-2</v>
      </c>
      <c r="G3948" s="90">
        <v>3940</v>
      </c>
      <c r="H3948" s="90">
        <f t="shared" ca="1" si="123"/>
        <v>1.8183327518961394E-2</v>
      </c>
    </row>
    <row r="3949" spans="2:8" x14ac:dyDescent="0.3">
      <c r="B3949" s="58">
        <f>'DATA HISTORICAL'!$B4594</f>
        <v>40092</v>
      </c>
      <c r="C3949" s="60">
        <f>'DATA HISTORICAL'!$C4594</f>
        <v>814.25</v>
      </c>
      <c r="D3949" s="53">
        <f t="shared" si="122"/>
        <v>1.1425166737779451E-2</v>
      </c>
      <c r="E3949" s="53">
        <v>-1.3386473296101303E-2</v>
      </c>
      <c r="G3949" s="90">
        <v>3941</v>
      </c>
      <c r="H3949" s="90">
        <f t="shared" ca="1" si="123"/>
        <v>4.8455423897529196E-3</v>
      </c>
    </row>
    <row r="3950" spans="2:8" x14ac:dyDescent="0.3">
      <c r="B3950" s="58">
        <f>'DATA HISTORICAL'!$B4595</f>
        <v>40091</v>
      </c>
      <c r="C3950" s="60">
        <f>'DATA HISTORICAL'!$C4595</f>
        <v>805</v>
      </c>
      <c r="D3950" s="53">
        <f t="shared" si="122"/>
        <v>-5.3158014343457544E-2</v>
      </c>
      <c r="E3950" s="53">
        <v>-1.3387807375711871E-2</v>
      </c>
      <c r="G3950" s="90">
        <v>3942</v>
      </c>
      <c r="H3950" s="90">
        <f t="shared" ca="1" si="123"/>
        <v>3.9449959100896163E-3</v>
      </c>
    </row>
    <row r="3951" spans="2:8" x14ac:dyDescent="0.3">
      <c r="B3951" s="58">
        <f>'DATA HISTORICAL'!$B4596</f>
        <v>40087</v>
      </c>
      <c r="C3951" s="60">
        <f>'DATA HISTORICAL'!$C4596</f>
        <v>848.95</v>
      </c>
      <c r="D3951" s="53">
        <f t="shared" si="122"/>
        <v>5.9888689135775823E-2</v>
      </c>
      <c r="E3951" s="53">
        <v>-1.3391954463945699E-2</v>
      </c>
      <c r="G3951" s="90">
        <v>3943</v>
      </c>
      <c r="H3951" s="90">
        <f t="shared" ca="1" si="123"/>
        <v>1.5589734155688595E-2</v>
      </c>
    </row>
    <row r="3952" spans="2:8" x14ac:dyDescent="0.3">
      <c r="B3952" s="58">
        <f>'DATA HISTORICAL'!$B4597</f>
        <v>40086</v>
      </c>
      <c r="C3952" s="60">
        <f>'DATA HISTORICAL'!$C4597</f>
        <v>799.6</v>
      </c>
      <c r="D3952" s="53">
        <f t="shared" si="122"/>
        <v>3.2152207233567154E-2</v>
      </c>
      <c r="E3952" s="53">
        <v>-1.3429065681604345E-2</v>
      </c>
      <c r="G3952" s="90">
        <v>3944</v>
      </c>
      <c r="H3952" s="90">
        <f t="shared" ca="1" si="123"/>
        <v>6.0456495423673569E-3</v>
      </c>
    </row>
    <row r="3953" spans="2:8" x14ac:dyDescent="0.3">
      <c r="B3953" s="58">
        <f>'DATA HISTORICAL'!$B4598</f>
        <v>40085</v>
      </c>
      <c r="C3953" s="60">
        <f>'DATA HISTORICAL'!$C4598</f>
        <v>774.3</v>
      </c>
      <c r="D3953" s="53">
        <f t="shared" si="122"/>
        <v>2.9954722012574413E-2</v>
      </c>
      <c r="E3953" s="53">
        <v>-1.3439797845070942E-2</v>
      </c>
      <c r="G3953" s="90">
        <v>3945</v>
      </c>
      <c r="H3953" s="90">
        <f t="shared" ca="1" si="123"/>
        <v>-5.0100836534754936E-3</v>
      </c>
    </row>
    <row r="3954" spans="2:8" x14ac:dyDescent="0.3">
      <c r="B3954" s="58">
        <f>'DATA HISTORICAL'!$B4599</f>
        <v>40081</v>
      </c>
      <c r="C3954" s="60">
        <f>'DATA HISTORICAL'!$C4599</f>
        <v>751.45</v>
      </c>
      <c r="D3954" s="53">
        <f t="shared" si="122"/>
        <v>-1.0062977998620729E-2</v>
      </c>
      <c r="E3954" s="53">
        <v>-1.3443236896471077E-2</v>
      </c>
      <c r="G3954" s="90">
        <v>3946</v>
      </c>
      <c r="H3954" s="90">
        <f t="shared" ca="1" si="123"/>
        <v>1.5718036103722043E-2</v>
      </c>
    </row>
    <row r="3955" spans="2:8" x14ac:dyDescent="0.3">
      <c r="B3955" s="58">
        <f>'DATA HISTORICAL'!$B4600</f>
        <v>40080</v>
      </c>
      <c r="C3955" s="60">
        <f>'DATA HISTORICAL'!$C4600</f>
        <v>759.05</v>
      </c>
      <c r="D3955" s="53">
        <f t="shared" si="122"/>
        <v>-1.2763206277358597E-2</v>
      </c>
      <c r="E3955" s="53">
        <v>-1.3455458204261304E-2</v>
      </c>
      <c r="G3955" s="90">
        <v>3947</v>
      </c>
      <c r="H3955" s="90">
        <f t="shared" ca="1" si="123"/>
        <v>-1.7057560556299697E-2</v>
      </c>
    </row>
    <row r="3956" spans="2:8" x14ac:dyDescent="0.3">
      <c r="B3956" s="58">
        <f>'DATA HISTORICAL'!$B4601</f>
        <v>40079</v>
      </c>
      <c r="C3956" s="60">
        <f>'DATA HISTORICAL'!$C4601</f>
        <v>768.8</v>
      </c>
      <c r="D3956" s="53">
        <f t="shared" si="122"/>
        <v>-1.9323028109448352E-2</v>
      </c>
      <c r="E3956" s="53">
        <v>-1.3471963960214451E-2</v>
      </c>
      <c r="G3956" s="90">
        <v>3948</v>
      </c>
      <c r="H3956" s="90">
        <f t="shared" ca="1" si="123"/>
        <v>1.1805200772099653E-2</v>
      </c>
    </row>
    <row r="3957" spans="2:8" x14ac:dyDescent="0.3">
      <c r="B3957" s="58">
        <f>'DATA HISTORICAL'!$B4602</f>
        <v>40078</v>
      </c>
      <c r="C3957" s="60">
        <f>'DATA HISTORICAL'!$C4602</f>
        <v>783.8</v>
      </c>
      <c r="D3957" s="53">
        <f t="shared" si="122"/>
        <v>-2.1665719301448079E-3</v>
      </c>
      <c r="E3957" s="53">
        <v>-1.3476707032907541E-2</v>
      </c>
      <c r="G3957" s="90">
        <v>3949</v>
      </c>
      <c r="H3957" s="90">
        <f t="shared" ca="1" si="123"/>
        <v>1.6690202842115417E-3</v>
      </c>
    </row>
    <row r="3958" spans="2:8" x14ac:dyDescent="0.3">
      <c r="B3958" s="58">
        <f>'DATA HISTORICAL'!$B4603</f>
        <v>40074</v>
      </c>
      <c r="C3958" s="60">
        <f>'DATA HISTORICAL'!$C4603</f>
        <v>785.5</v>
      </c>
      <c r="D3958" s="53">
        <f t="shared" si="122"/>
        <v>3.5307311126985402E-2</v>
      </c>
      <c r="E3958" s="53">
        <v>-1.3493613725371657E-2</v>
      </c>
      <c r="G3958" s="90">
        <v>3950</v>
      </c>
      <c r="H3958" s="90">
        <f t="shared" ca="1" si="123"/>
        <v>1.5320555961897922E-2</v>
      </c>
    </row>
    <row r="3959" spans="2:8" x14ac:dyDescent="0.3">
      <c r="B3959" s="58">
        <f>'DATA HISTORICAL'!$B4604</f>
        <v>40073</v>
      </c>
      <c r="C3959" s="60">
        <f>'DATA HISTORICAL'!$C4604</f>
        <v>758.25</v>
      </c>
      <c r="D3959" s="53">
        <f t="shared" si="122"/>
        <v>6.5963063077804126E-4</v>
      </c>
      <c r="E3959" s="53">
        <v>-1.3517992991044744E-2</v>
      </c>
      <c r="G3959" s="90">
        <v>3951</v>
      </c>
      <c r="H3959" s="90">
        <f t="shared" ca="1" si="123"/>
        <v>-3.6282605333278442E-2</v>
      </c>
    </row>
    <row r="3960" spans="2:8" x14ac:dyDescent="0.3">
      <c r="B3960" s="58">
        <f>'DATA HISTORICAL'!$B4605</f>
        <v>40072</v>
      </c>
      <c r="C3960" s="60">
        <f>'DATA HISTORICAL'!$C4605</f>
        <v>757.75</v>
      </c>
      <c r="D3960" s="53">
        <f t="shared" si="122"/>
        <v>3.6829644641092965E-2</v>
      </c>
      <c r="E3960" s="53">
        <v>-1.3526802525170805E-2</v>
      </c>
      <c r="G3960" s="90">
        <v>3952</v>
      </c>
      <c r="H3960" s="90">
        <f t="shared" ca="1" si="123"/>
        <v>1.774030432988126E-2</v>
      </c>
    </row>
    <row r="3961" spans="2:8" x14ac:dyDescent="0.3">
      <c r="B3961" s="58">
        <f>'DATA HISTORICAL'!$B4606</f>
        <v>40071</v>
      </c>
      <c r="C3961" s="60">
        <f>'DATA HISTORICAL'!$C4606</f>
        <v>730.35</v>
      </c>
      <c r="D3961" s="53">
        <f t="shared" si="122"/>
        <v>-6.1595320703194967E-4</v>
      </c>
      <c r="E3961" s="53">
        <v>-1.3540013026821862E-2</v>
      </c>
      <c r="G3961" s="90">
        <v>3953</v>
      </c>
      <c r="H3961" s="90">
        <f t="shared" ca="1" si="123"/>
        <v>7.4060197561645301E-3</v>
      </c>
    </row>
    <row r="3962" spans="2:8" x14ac:dyDescent="0.3">
      <c r="B3962" s="58">
        <f>'DATA HISTORICAL'!$B4607</f>
        <v>40070</v>
      </c>
      <c r="C3962" s="60">
        <f>'DATA HISTORICAL'!$C4607</f>
        <v>730.8</v>
      </c>
      <c r="D3962" s="53">
        <f t="shared" si="122"/>
        <v>-6.138754698324902E-3</v>
      </c>
      <c r="E3962" s="53">
        <v>-1.3545393234805988E-2</v>
      </c>
      <c r="G3962" s="90">
        <v>3954</v>
      </c>
      <c r="H3962" s="90">
        <f t="shared" ca="1" si="123"/>
        <v>1.4438597248200877E-2</v>
      </c>
    </row>
    <row r="3963" spans="2:8" x14ac:dyDescent="0.3">
      <c r="B3963" s="58">
        <f>'DATA HISTORICAL'!$B4608</f>
        <v>40067</v>
      </c>
      <c r="C3963" s="60">
        <f>'DATA HISTORICAL'!$C4608</f>
        <v>735.3</v>
      </c>
      <c r="D3963" s="53">
        <f t="shared" si="122"/>
        <v>-1.3172751019292665E-2</v>
      </c>
      <c r="E3963" s="53">
        <v>-1.3551707969253438E-2</v>
      </c>
      <c r="G3963" s="90">
        <v>3955</v>
      </c>
      <c r="H3963" s="90">
        <f t="shared" ca="1" si="123"/>
        <v>1.3617825604771004E-2</v>
      </c>
    </row>
    <row r="3964" spans="2:8" x14ac:dyDescent="0.3">
      <c r="B3964" s="58">
        <f>'DATA HISTORICAL'!$B4609</f>
        <v>40066</v>
      </c>
      <c r="C3964" s="60">
        <f>'DATA HISTORICAL'!$C4609</f>
        <v>745.05</v>
      </c>
      <c r="D3964" s="53">
        <f t="shared" si="122"/>
        <v>-2.0524781477878423E-2</v>
      </c>
      <c r="E3964" s="53">
        <v>-1.3567127436379922E-2</v>
      </c>
      <c r="G3964" s="90">
        <v>3956</v>
      </c>
      <c r="H3964" s="90">
        <f t="shared" ca="1" si="123"/>
        <v>1.0709460261565912E-2</v>
      </c>
    </row>
    <row r="3965" spans="2:8" x14ac:dyDescent="0.3">
      <c r="B3965" s="58">
        <f>'DATA HISTORICAL'!$B4610</f>
        <v>40065</v>
      </c>
      <c r="C3965" s="60">
        <f>'DATA HISTORICAL'!$C4610</f>
        <v>760.5</v>
      </c>
      <c r="D3965" s="53">
        <f t="shared" si="122"/>
        <v>3.6885827620197322E-3</v>
      </c>
      <c r="E3965" s="53">
        <v>-1.3568258860089534E-2</v>
      </c>
      <c r="G3965" s="90">
        <v>3957</v>
      </c>
      <c r="H3965" s="90">
        <f t="shared" ca="1" si="123"/>
        <v>2.7568959333458543E-4</v>
      </c>
    </row>
    <row r="3966" spans="2:8" x14ac:dyDescent="0.3">
      <c r="B3966" s="58">
        <f>'DATA HISTORICAL'!$B4611</f>
        <v>40064</v>
      </c>
      <c r="C3966" s="60">
        <f>'DATA HISTORICAL'!$C4611</f>
        <v>757.7</v>
      </c>
      <c r="D3966" s="53">
        <f t="shared" si="122"/>
        <v>-1.8459920853948208E-3</v>
      </c>
      <c r="E3966" s="53">
        <v>-1.3572221907671917E-2</v>
      </c>
      <c r="G3966" s="90">
        <v>3958</v>
      </c>
      <c r="H3966" s="90">
        <f t="shared" ca="1" si="123"/>
        <v>-3.4799851524961373E-2</v>
      </c>
    </row>
    <row r="3967" spans="2:8" x14ac:dyDescent="0.3">
      <c r="B3967" s="58">
        <f>'DATA HISTORICAL'!$B4612</f>
        <v>40063</v>
      </c>
      <c r="C3967" s="60">
        <f>'DATA HISTORICAL'!$C4612</f>
        <v>759.1</v>
      </c>
      <c r="D3967" s="53">
        <f t="shared" si="122"/>
        <v>9.596685054393499E-3</v>
      </c>
      <c r="E3967" s="53">
        <v>-1.3580527434192097E-2</v>
      </c>
      <c r="G3967" s="90">
        <v>3959</v>
      </c>
      <c r="H3967" s="90">
        <f t="shared" ca="1" si="123"/>
        <v>1.6498272431072917E-3</v>
      </c>
    </row>
    <row r="3968" spans="2:8" x14ac:dyDescent="0.3">
      <c r="B3968" s="58">
        <f>'DATA HISTORICAL'!$B4613</f>
        <v>40060</v>
      </c>
      <c r="C3968" s="60">
        <f>'DATA HISTORICAL'!$C4613</f>
        <v>751.85</v>
      </c>
      <c r="D3968" s="53">
        <f t="shared" si="122"/>
        <v>1.4266341557124342E-2</v>
      </c>
      <c r="E3968" s="53">
        <v>-1.3586168575716064E-2</v>
      </c>
      <c r="G3968" s="90">
        <v>3960</v>
      </c>
      <c r="H3968" s="90">
        <f t="shared" ca="1" si="123"/>
        <v>-1.5412325719305672E-2</v>
      </c>
    </row>
    <row r="3969" spans="2:8" x14ac:dyDescent="0.3">
      <c r="B3969" s="58">
        <f>'DATA HISTORICAL'!$B4614</f>
        <v>40059</v>
      </c>
      <c r="C3969" s="60">
        <f>'DATA HISTORICAL'!$C4614</f>
        <v>741.2</v>
      </c>
      <c r="D3969" s="53">
        <f t="shared" si="122"/>
        <v>3.6493924397702142E-3</v>
      </c>
      <c r="E3969" s="53">
        <v>-1.3598690000352014E-2</v>
      </c>
      <c r="G3969" s="90">
        <v>3961</v>
      </c>
      <c r="H3969" s="90">
        <f t="shared" ca="1" si="123"/>
        <v>-1.0761150251912075E-2</v>
      </c>
    </row>
    <row r="3970" spans="2:8" x14ac:dyDescent="0.3">
      <c r="B3970" s="58">
        <f>'DATA HISTORICAL'!$B4615</f>
        <v>40058</v>
      </c>
      <c r="C3970" s="60">
        <f>'DATA HISTORICAL'!$C4615</f>
        <v>738.5</v>
      </c>
      <c r="D3970" s="53">
        <f t="shared" si="122"/>
        <v>-2.0373308877989799E-2</v>
      </c>
      <c r="E3970" s="53">
        <v>-1.3603394910503181E-2</v>
      </c>
      <c r="G3970" s="90">
        <v>3962</v>
      </c>
      <c r="H3970" s="90">
        <f t="shared" ca="1" si="123"/>
        <v>1.9438341917204168E-2</v>
      </c>
    </row>
    <row r="3971" spans="2:8" x14ac:dyDescent="0.3">
      <c r="B3971" s="58">
        <f>'DATA HISTORICAL'!$B4616</f>
        <v>40057</v>
      </c>
      <c r="C3971" s="60">
        <f>'DATA HISTORICAL'!$C4616</f>
        <v>753.7</v>
      </c>
      <c r="D3971" s="53">
        <f t="shared" si="122"/>
        <v>-1.0689643195079363E-2</v>
      </c>
      <c r="E3971" s="53">
        <v>-1.3608147346541222E-2</v>
      </c>
      <c r="G3971" s="90">
        <v>3963</v>
      </c>
      <c r="H3971" s="90">
        <f t="shared" ca="1" si="123"/>
        <v>6.4073085385597849E-3</v>
      </c>
    </row>
    <row r="3972" spans="2:8" x14ac:dyDescent="0.3">
      <c r="B3972" s="58">
        <f>'DATA HISTORICAL'!$B4617</f>
        <v>40056</v>
      </c>
      <c r="C3972" s="60">
        <f>'DATA HISTORICAL'!$C4617</f>
        <v>761.8</v>
      </c>
      <c r="D3972" s="53">
        <f t="shared" si="122"/>
        <v>2.694622247601179E-3</v>
      </c>
      <c r="E3972" s="53">
        <v>-1.3616756429586938E-2</v>
      </c>
      <c r="G3972" s="90">
        <v>3964</v>
      </c>
      <c r="H3972" s="90">
        <f t="shared" ca="1" si="123"/>
        <v>3.4634533157537735E-2</v>
      </c>
    </row>
    <row r="3973" spans="2:8" x14ac:dyDescent="0.3">
      <c r="B3973" s="58">
        <f>'DATA HISTORICAL'!$B4618</f>
        <v>40053</v>
      </c>
      <c r="C3973" s="60">
        <f>'DATA HISTORICAL'!$C4618</f>
        <v>759.75</v>
      </c>
      <c r="D3973" s="53">
        <f t="shared" si="122"/>
        <v>3.7482179211795988E-2</v>
      </c>
      <c r="E3973" s="53">
        <v>-1.3619201547422903E-2</v>
      </c>
      <c r="G3973" s="90">
        <v>3965</v>
      </c>
      <c r="H3973" s="90">
        <f t="shared" ca="1" si="123"/>
        <v>-2.5481707333595343E-3</v>
      </c>
    </row>
    <row r="3974" spans="2:8" x14ac:dyDescent="0.3">
      <c r="B3974" s="58">
        <f>'DATA HISTORICAL'!$B4619</f>
        <v>40052</v>
      </c>
      <c r="C3974" s="60">
        <f>'DATA HISTORICAL'!$C4619</f>
        <v>731.8</v>
      </c>
      <c r="D3974" s="53">
        <f t="shared" si="122"/>
        <v>-2.4899231735370099E-2</v>
      </c>
      <c r="E3974" s="53">
        <v>-1.3631539049875749E-2</v>
      </c>
      <c r="G3974" s="90">
        <v>3966</v>
      </c>
      <c r="H3974" s="90">
        <f t="shared" ca="1" si="123"/>
        <v>7.2726189308828723E-3</v>
      </c>
    </row>
    <row r="3975" spans="2:8" x14ac:dyDescent="0.3">
      <c r="B3975" s="58">
        <f>'DATA HISTORICAL'!$B4620</f>
        <v>40051</v>
      </c>
      <c r="C3975" s="60">
        <f>'DATA HISTORICAL'!$C4620</f>
        <v>750.25</v>
      </c>
      <c r="D3975" s="53">
        <f t="shared" si="122"/>
        <v>1.2001082657802394E-2</v>
      </c>
      <c r="E3975" s="53">
        <v>-1.3632740239065371E-2</v>
      </c>
      <c r="G3975" s="90">
        <v>3967</v>
      </c>
      <c r="H3975" s="90">
        <f t="shared" ca="1" si="123"/>
        <v>1.311331780553697E-2</v>
      </c>
    </row>
    <row r="3976" spans="2:8" x14ac:dyDescent="0.3">
      <c r="B3976" s="58">
        <f>'DATA HISTORICAL'!$B4621</f>
        <v>40050</v>
      </c>
      <c r="C3976" s="60">
        <f>'DATA HISTORICAL'!$C4621</f>
        <v>741.3</v>
      </c>
      <c r="D3976" s="53">
        <f t="shared" si="122"/>
        <v>1.4197161327372351E-2</v>
      </c>
      <c r="E3976" s="53">
        <v>-1.3634023047968671E-2</v>
      </c>
      <c r="G3976" s="90">
        <v>3968</v>
      </c>
      <c r="H3976" s="90">
        <f t="shared" ca="1" si="123"/>
        <v>1.2919406969070287E-4</v>
      </c>
    </row>
    <row r="3977" spans="2:8" x14ac:dyDescent="0.3">
      <c r="B3977" s="58">
        <f>'DATA HISTORICAL'!$B4622</f>
        <v>40049</v>
      </c>
      <c r="C3977" s="60">
        <f>'DATA HISTORICAL'!$C4622</f>
        <v>730.85</v>
      </c>
      <c r="D3977" s="53">
        <f t="shared" ref="D3977:D4040" si="124">LN(C3977/C3978)</f>
        <v>2.9013695314934952E-2</v>
      </c>
      <c r="E3977" s="53">
        <v>-1.363738939498634E-2</v>
      </c>
      <c r="G3977" s="90">
        <v>3969</v>
      </c>
      <c r="H3977" s="90">
        <f t="shared" ref="H3977:H4040" ca="1" si="125">_xlfn.NORM.INV(RAND(),N$10,N$11)</f>
        <v>-2.9808666222690067E-3</v>
      </c>
    </row>
    <row r="3978" spans="2:8" x14ac:dyDescent="0.3">
      <c r="B3978" s="58">
        <f>'DATA HISTORICAL'!$B4623</f>
        <v>40046</v>
      </c>
      <c r="C3978" s="60">
        <f>'DATA HISTORICAL'!$C4623</f>
        <v>709.95</v>
      </c>
      <c r="D3978" s="53">
        <f t="shared" si="124"/>
        <v>-1.4084507065520389E-4</v>
      </c>
      <c r="E3978" s="53">
        <v>-1.3641229092819509E-2</v>
      </c>
      <c r="G3978" s="90">
        <v>3970</v>
      </c>
      <c r="H3978" s="90">
        <f t="shared" ca="1" si="125"/>
        <v>1.9385556770438947E-3</v>
      </c>
    </row>
    <row r="3979" spans="2:8" x14ac:dyDescent="0.3">
      <c r="B3979" s="58">
        <f>'DATA HISTORICAL'!$B4624</f>
        <v>40045</v>
      </c>
      <c r="C3979" s="60">
        <f>'DATA HISTORICAL'!$C4624</f>
        <v>710.05</v>
      </c>
      <c r="D3979" s="53">
        <f t="shared" si="124"/>
        <v>1.0476488544268008E-2</v>
      </c>
      <c r="E3979" s="53">
        <v>-1.3642876994966068E-2</v>
      </c>
      <c r="G3979" s="90">
        <v>3971</v>
      </c>
      <c r="H3979" s="90">
        <f t="shared" ca="1" si="125"/>
        <v>9.750973267088181E-3</v>
      </c>
    </row>
    <row r="3980" spans="2:8" x14ac:dyDescent="0.3">
      <c r="B3980" s="58">
        <f>'DATA HISTORICAL'!$B4625</f>
        <v>40044</v>
      </c>
      <c r="C3980" s="60">
        <f>'DATA HISTORICAL'!$C4625</f>
        <v>702.65</v>
      </c>
      <c r="D3980" s="53">
        <f t="shared" si="124"/>
        <v>-1.6584128015535295E-2</v>
      </c>
      <c r="E3980" s="53">
        <v>-1.3644770152344667E-2</v>
      </c>
      <c r="G3980" s="90">
        <v>3972</v>
      </c>
      <c r="H3980" s="90">
        <f t="shared" ca="1" si="125"/>
        <v>1.7512624470472447E-2</v>
      </c>
    </row>
    <row r="3981" spans="2:8" x14ac:dyDescent="0.3">
      <c r="B3981" s="58">
        <f>'DATA HISTORICAL'!$B4626</f>
        <v>40043</v>
      </c>
      <c r="C3981" s="60">
        <f>'DATA HISTORICAL'!$C4626</f>
        <v>714.4</v>
      </c>
      <c r="D3981" s="53">
        <f t="shared" si="124"/>
        <v>-7.7387355919902824E-3</v>
      </c>
      <c r="E3981" s="53">
        <v>-1.3646779031693711E-2</v>
      </c>
      <c r="G3981" s="90">
        <v>3973</v>
      </c>
      <c r="H3981" s="90">
        <f t="shared" ca="1" si="125"/>
        <v>2.2842861892432276E-2</v>
      </c>
    </row>
    <row r="3982" spans="2:8" x14ac:dyDescent="0.3">
      <c r="B3982" s="58">
        <f>'DATA HISTORICAL'!$B4627</f>
        <v>40042</v>
      </c>
      <c r="C3982" s="60">
        <f>'DATA HISTORICAL'!$C4627</f>
        <v>719.95</v>
      </c>
      <c r="D3982" s="53">
        <f t="shared" si="124"/>
        <v>-3.4202453225280018E-2</v>
      </c>
      <c r="E3982" s="53">
        <v>-1.3647522499529606E-2</v>
      </c>
      <c r="G3982" s="90">
        <v>3974</v>
      </c>
      <c r="H3982" s="90">
        <f t="shared" ca="1" si="125"/>
        <v>-1.7378681963911537E-2</v>
      </c>
    </row>
    <row r="3983" spans="2:8" x14ac:dyDescent="0.3">
      <c r="B3983" s="58">
        <f>'DATA HISTORICAL'!$B4628</f>
        <v>40039</v>
      </c>
      <c r="C3983" s="60">
        <f>'DATA HISTORICAL'!$C4628</f>
        <v>745</v>
      </c>
      <c r="D3983" s="53">
        <f t="shared" si="124"/>
        <v>-1.0481786389492875E-2</v>
      </c>
      <c r="E3983" s="53">
        <v>-1.3712626644207982E-2</v>
      </c>
      <c r="G3983" s="90">
        <v>3975</v>
      </c>
      <c r="H3983" s="90">
        <f t="shared" ca="1" si="125"/>
        <v>2.2999139109060363E-2</v>
      </c>
    </row>
    <row r="3984" spans="2:8" x14ac:dyDescent="0.3">
      <c r="B3984" s="58">
        <f>'DATA HISTORICAL'!$B4629</f>
        <v>40038</v>
      </c>
      <c r="C3984" s="60">
        <f>'DATA HISTORICAL'!$C4629</f>
        <v>752.85</v>
      </c>
      <c r="D3984" s="53">
        <f t="shared" si="124"/>
        <v>4.6561130089633938E-2</v>
      </c>
      <c r="E3984" s="53">
        <v>-1.3725420378454136E-2</v>
      </c>
      <c r="G3984" s="90">
        <v>3976</v>
      </c>
      <c r="H3984" s="90">
        <f t="shared" ca="1" si="125"/>
        <v>1.017327048122077E-2</v>
      </c>
    </row>
    <row r="3985" spans="2:8" x14ac:dyDescent="0.3">
      <c r="B3985" s="58">
        <f>'DATA HISTORICAL'!$B4630</f>
        <v>40037</v>
      </c>
      <c r="C3985" s="60">
        <f>'DATA HISTORICAL'!$C4630</f>
        <v>718.6</v>
      </c>
      <c r="D3985" s="53">
        <f t="shared" si="124"/>
        <v>1.8107115470296998E-3</v>
      </c>
      <c r="E3985" s="53">
        <v>-1.3761357987252369E-2</v>
      </c>
      <c r="G3985" s="90">
        <v>3977</v>
      </c>
      <c r="H3985" s="90">
        <f t="shared" ca="1" si="125"/>
        <v>2.7819950317994318E-3</v>
      </c>
    </row>
    <row r="3986" spans="2:8" x14ac:dyDescent="0.3">
      <c r="B3986" s="58">
        <f>'DATA HISTORICAL'!$B4631</f>
        <v>40036</v>
      </c>
      <c r="C3986" s="60">
        <f>'DATA HISTORICAL'!$C4631</f>
        <v>717.3</v>
      </c>
      <c r="D3986" s="53">
        <f t="shared" si="124"/>
        <v>-4.8782188500063434E-4</v>
      </c>
      <c r="E3986" s="53">
        <v>-1.3783678073867997E-2</v>
      </c>
      <c r="G3986" s="90">
        <v>3978</v>
      </c>
      <c r="H3986" s="90">
        <f t="shared" ca="1" si="125"/>
        <v>9.0989475269936636E-3</v>
      </c>
    </row>
    <row r="3987" spans="2:8" x14ac:dyDescent="0.3">
      <c r="B3987" s="58">
        <f>'DATA HISTORICAL'!$B4632</f>
        <v>40035</v>
      </c>
      <c r="C3987" s="60">
        <f>'DATA HISTORICAL'!$C4632</f>
        <v>717.65</v>
      </c>
      <c r="D3987" s="53">
        <f t="shared" si="124"/>
        <v>-6.9434029184761895E-2</v>
      </c>
      <c r="E3987" s="53">
        <v>-1.3797624536152037E-2</v>
      </c>
      <c r="G3987" s="90">
        <v>3979</v>
      </c>
      <c r="H3987" s="90">
        <f t="shared" ca="1" si="125"/>
        <v>5.4077765474816828E-3</v>
      </c>
    </row>
    <row r="3988" spans="2:8" x14ac:dyDescent="0.3">
      <c r="B3988" s="58">
        <f>'DATA HISTORICAL'!$B4633</f>
        <v>40032</v>
      </c>
      <c r="C3988" s="60">
        <f>'DATA HISTORICAL'!$C4633</f>
        <v>769.25</v>
      </c>
      <c r="D3988" s="53">
        <f t="shared" si="124"/>
        <v>-3.040720743269679E-2</v>
      </c>
      <c r="E3988" s="53">
        <v>-1.3798805956425816E-2</v>
      </c>
      <c r="G3988" s="90">
        <v>3980</v>
      </c>
      <c r="H3988" s="90">
        <f t="shared" ca="1" si="125"/>
        <v>5.4153433152410602E-3</v>
      </c>
    </row>
    <row r="3989" spans="2:8" x14ac:dyDescent="0.3">
      <c r="B3989" s="58">
        <f>'DATA HISTORICAL'!$B4634</f>
        <v>40031</v>
      </c>
      <c r="C3989" s="60">
        <f>'DATA HISTORICAL'!$C4634</f>
        <v>793</v>
      </c>
      <c r="D3989" s="53">
        <f t="shared" si="124"/>
        <v>-7.2873799068121281E-3</v>
      </c>
      <c r="E3989" s="53">
        <v>-1.3823786934259499E-2</v>
      </c>
      <c r="G3989" s="90">
        <v>3981</v>
      </c>
      <c r="H3989" s="90">
        <f t="shared" ca="1" si="125"/>
        <v>-6.2182390519827753E-3</v>
      </c>
    </row>
    <row r="3990" spans="2:8" x14ac:dyDescent="0.3">
      <c r="B3990" s="58">
        <f>'DATA HISTORICAL'!$B4635</f>
        <v>40030</v>
      </c>
      <c r="C3990" s="60">
        <f>'DATA HISTORICAL'!$C4635</f>
        <v>798.8</v>
      </c>
      <c r="D3990" s="53">
        <f t="shared" si="124"/>
        <v>-5.1818439658399161E-3</v>
      </c>
      <c r="E3990" s="53">
        <v>-1.3831462663098809E-2</v>
      </c>
      <c r="G3990" s="90">
        <v>3982</v>
      </c>
      <c r="H3990" s="90">
        <f t="shared" ca="1" si="125"/>
        <v>-6.9273997070740537E-3</v>
      </c>
    </row>
    <row r="3991" spans="2:8" x14ac:dyDescent="0.3">
      <c r="B3991" s="58">
        <f>'DATA HISTORICAL'!$B4636</f>
        <v>40029</v>
      </c>
      <c r="C3991" s="60">
        <f>'DATA HISTORICAL'!$C4636</f>
        <v>802.95</v>
      </c>
      <c r="D3991" s="53">
        <f t="shared" si="124"/>
        <v>1.8074734578922909E-3</v>
      </c>
      <c r="E3991" s="53">
        <v>-1.3892291462142839E-2</v>
      </c>
      <c r="G3991" s="90">
        <v>3983</v>
      </c>
      <c r="H3991" s="90">
        <f t="shared" ca="1" si="125"/>
        <v>2.119814172473504E-2</v>
      </c>
    </row>
    <row r="3992" spans="2:8" x14ac:dyDescent="0.3">
      <c r="B3992" s="58">
        <f>'DATA HISTORICAL'!$B4637</f>
        <v>40028</v>
      </c>
      <c r="C3992" s="60">
        <f>'DATA HISTORICAL'!$C4637</f>
        <v>801.5</v>
      </c>
      <c r="D3992" s="53">
        <f t="shared" si="124"/>
        <v>3.1240262833329849E-3</v>
      </c>
      <c r="E3992" s="53">
        <v>-1.3906010098169771E-2</v>
      </c>
      <c r="G3992" s="90">
        <v>3984</v>
      </c>
      <c r="H3992" s="90">
        <f t="shared" ca="1" si="125"/>
        <v>7.1909293757905814E-3</v>
      </c>
    </row>
    <row r="3993" spans="2:8" x14ac:dyDescent="0.3">
      <c r="B3993" s="58">
        <f>'DATA HISTORICAL'!$B4638</f>
        <v>40025</v>
      </c>
      <c r="C3993" s="60">
        <f>'DATA HISTORICAL'!$C4638</f>
        <v>799</v>
      </c>
      <c r="D3993" s="53">
        <f t="shared" si="124"/>
        <v>2.6317453625722348E-3</v>
      </c>
      <c r="E3993" s="53">
        <v>-1.3906832956242768E-2</v>
      </c>
      <c r="G3993" s="90">
        <v>3985</v>
      </c>
      <c r="H3993" s="90">
        <f t="shared" ca="1" si="125"/>
        <v>1.2051728888878141E-2</v>
      </c>
    </row>
    <row r="3994" spans="2:8" x14ac:dyDescent="0.3">
      <c r="B3994" s="58">
        <f>'DATA HISTORICAL'!$B4639</f>
        <v>40024</v>
      </c>
      <c r="C3994" s="60">
        <f>'DATA HISTORICAL'!$C4639</f>
        <v>796.9</v>
      </c>
      <c r="D3994" s="53">
        <f t="shared" si="124"/>
        <v>8.6329658061945376E-3</v>
      </c>
      <c r="E3994" s="53">
        <v>-1.3908017003143184E-2</v>
      </c>
      <c r="G3994" s="90">
        <v>3986</v>
      </c>
      <c r="H3994" s="90">
        <f t="shared" ca="1" si="125"/>
        <v>3.9065361584405246E-2</v>
      </c>
    </row>
    <row r="3995" spans="2:8" x14ac:dyDescent="0.3">
      <c r="B3995" s="58">
        <f>'DATA HISTORICAL'!$B4640</f>
        <v>40023</v>
      </c>
      <c r="C3995" s="60">
        <f>'DATA HISTORICAL'!$C4640</f>
        <v>790.05</v>
      </c>
      <c r="D3995" s="53">
        <f t="shared" si="124"/>
        <v>-2.333178550426853E-2</v>
      </c>
      <c r="E3995" s="53">
        <v>-1.3929043175898884E-2</v>
      </c>
      <c r="G3995" s="90">
        <v>3987</v>
      </c>
      <c r="H3995" s="90">
        <f t="shared" ca="1" si="125"/>
        <v>3.3256556705048769E-2</v>
      </c>
    </row>
    <row r="3996" spans="2:8" x14ac:dyDescent="0.3">
      <c r="B3996" s="58">
        <f>'DATA HISTORICAL'!$B4641</f>
        <v>40022</v>
      </c>
      <c r="C3996" s="60">
        <f>'DATA HISTORICAL'!$C4641</f>
        <v>808.7</v>
      </c>
      <c r="D3996" s="53">
        <f t="shared" si="124"/>
        <v>1.3695433184692626E-2</v>
      </c>
      <c r="E3996" s="53">
        <v>-1.3933094303924049E-2</v>
      </c>
      <c r="G3996" s="90">
        <v>3988</v>
      </c>
      <c r="H3996" s="90">
        <f t="shared" ca="1" si="125"/>
        <v>-8.3864209232932876E-3</v>
      </c>
    </row>
    <row r="3997" spans="2:8" x14ac:dyDescent="0.3">
      <c r="B3997" s="58">
        <f>'DATA HISTORICAL'!$B4642</f>
        <v>40021</v>
      </c>
      <c r="C3997" s="60">
        <f>'DATA HISTORICAL'!$C4642</f>
        <v>797.7</v>
      </c>
      <c r="D3997" s="53">
        <f t="shared" si="124"/>
        <v>2.8740533629618054E-2</v>
      </c>
      <c r="E3997" s="53">
        <v>-1.3944646540248866E-2</v>
      </c>
      <c r="G3997" s="90">
        <v>3989</v>
      </c>
      <c r="H3997" s="90">
        <f t="shared" ca="1" si="125"/>
        <v>2.7260064815477495E-2</v>
      </c>
    </row>
    <row r="3998" spans="2:8" x14ac:dyDescent="0.3">
      <c r="B3998" s="58">
        <f>'DATA HISTORICAL'!$B4643</f>
        <v>40018</v>
      </c>
      <c r="C3998" s="60">
        <f>'DATA HISTORICAL'!$C4643</f>
        <v>775.1</v>
      </c>
      <c r="D3998" s="53">
        <f t="shared" si="124"/>
        <v>1.350845323728625E-2</v>
      </c>
      <c r="E3998" s="53">
        <v>-1.3978624639207611E-2</v>
      </c>
      <c r="G3998" s="90">
        <v>3990</v>
      </c>
      <c r="H3998" s="90">
        <f t="shared" ca="1" si="125"/>
        <v>8.764889797899347E-3</v>
      </c>
    </row>
    <row r="3999" spans="2:8" x14ac:dyDescent="0.3">
      <c r="B3999" s="58">
        <f>'DATA HISTORICAL'!$B4644</f>
        <v>40017</v>
      </c>
      <c r="C3999" s="60">
        <f>'DATA HISTORICAL'!$C4644</f>
        <v>764.7</v>
      </c>
      <c r="D3999" s="53">
        <f t="shared" si="124"/>
        <v>1.7612011578444012E-2</v>
      </c>
      <c r="E3999" s="53">
        <v>-1.399044161294115E-2</v>
      </c>
      <c r="G3999" s="90">
        <v>3991</v>
      </c>
      <c r="H3999" s="90">
        <f t="shared" ca="1" si="125"/>
        <v>-8.0082348327531645E-3</v>
      </c>
    </row>
    <row r="4000" spans="2:8" x14ac:dyDescent="0.3">
      <c r="B4000" s="58">
        <f>'DATA HISTORICAL'!$B4645</f>
        <v>40016</v>
      </c>
      <c r="C4000" s="60">
        <f>'DATA HISTORICAL'!$C4645</f>
        <v>751.35</v>
      </c>
      <c r="D4000" s="53">
        <f t="shared" si="124"/>
        <v>-3.1829799038604653E-2</v>
      </c>
      <c r="E4000" s="53">
        <v>-1.3994311024388124E-2</v>
      </c>
      <c r="G4000" s="90">
        <v>3992</v>
      </c>
      <c r="H4000" s="90">
        <f t="shared" ca="1" si="125"/>
        <v>1.3348108495272126E-2</v>
      </c>
    </row>
    <row r="4001" spans="2:8" x14ac:dyDescent="0.3">
      <c r="B4001" s="58">
        <f>'DATA HISTORICAL'!$B4646</f>
        <v>40015</v>
      </c>
      <c r="C4001" s="60">
        <f>'DATA HISTORICAL'!$C4646</f>
        <v>775.65</v>
      </c>
      <c r="D4001" s="53">
        <f t="shared" si="124"/>
        <v>4.522555841330292E-3</v>
      </c>
      <c r="E4001" s="53">
        <v>-1.4002747235389579E-2</v>
      </c>
      <c r="G4001" s="90">
        <v>3993</v>
      </c>
      <c r="H4001" s="90">
        <f t="shared" ca="1" si="125"/>
        <v>-5.5400848232741882E-3</v>
      </c>
    </row>
    <row r="4002" spans="2:8" x14ac:dyDescent="0.3">
      <c r="B4002" s="58">
        <f>'DATA HISTORICAL'!$B4647</f>
        <v>40014</v>
      </c>
      <c r="C4002" s="60">
        <f>'DATA HISTORICAL'!$C4647</f>
        <v>772.15</v>
      </c>
      <c r="D4002" s="53">
        <f t="shared" si="124"/>
        <v>3.4855457119260649E-2</v>
      </c>
      <c r="E4002" s="53">
        <v>-1.40235487766119E-2</v>
      </c>
      <c r="G4002" s="90">
        <v>3994</v>
      </c>
      <c r="H4002" s="90">
        <f t="shared" ca="1" si="125"/>
        <v>8.3085310799457558E-3</v>
      </c>
    </row>
    <row r="4003" spans="2:8" x14ac:dyDescent="0.3">
      <c r="B4003" s="58">
        <f>'DATA HISTORICAL'!$B4648</f>
        <v>40011</v>
      </c>
      <c r="C4003" s="60">
        <f>'DATA HISTORICAL'!$C4648</f>
        <v>745.7</v>
      </c>
      <c r="D4003" s="53">
        <f t="shared" si="124"/>
        <v>6.3227492536623194E-3</v>
      </c>
      <c r="E4003" s="53">
        <v>-1.4029509787706722E-2</v>
      </c>
      <c r="G4003" s="90">
        <v>3995</v>
      </c>
      <c r="H4003" s="90">
        <f t="shared" ca="1" si="125"/>
        <v>4.5416587649131736E-2</v>
      </c>
    </row>
    <row r="4004" spans="2:8" x14ac:dyDescent="0.3">
      <c r="B4004" s="58">
        <f>'DATA HISTORICAL'!$B4649</f>
        <v>40010</v>
      </c>
      <c r="C4004" s="60">
        <f>'DATA HISTORICAL'!$C4649</f>
        <v>741</v>
      </c>
      <c r="D4004" s="53">
        <f t="shared" si="124"/>
        <v>2.2968327330326692E-3</v>
      </c>
      <c r="E4004" s="53">
        <v>-1.4051753455650302E-2</v>
      </c>
      <c r="G4004" s="90">
        <v>3996</v>
      </c>
      <c r="H4004" s="90">
        <f t="shared" ca="1" si="125"/>
        <v>5.4317527663334244E-3</v>
      </c>
    </row>
    <row r="4005" spans="2:8" x14ac:dyDescent="0.3">
      <c r="B4005" s="58">
        <f>'DATA HISTORICAL'!$B4650</f>
        <v>40009</v>
      </c>
      <c r="C4005" s="60">
        <f>'DATA HISTORICAL'!$C4650</f>
        <v>739.3</v>
      </c>
      <c r="D4005" s="53">
        <f t="shared" si="124"/>
        <v>1.8980565714252284E-2</v>
      </c>
      <c r="E4005" s="53">
        <v>-1.4054699173972578E-2</v>
      </c>
      <c r="G4005" s="90">
        <v>3997</v>
      </c>
      <c r="H4005" s="90">
        <f t="shared" ca="1" si="125"/>
        <v>-3.7059025270435855E-3</v>
      </c>
    </row>
    <row r="4006" spans="2:8" x14ac:dyDescent="0.3">
      <c r="B4006" s="58">
        <f>'DATA HISTORICAL'!$B4651</f>
        <v>40008</v>
      </c>
      <c r="C4006" s="60">
        <f>'DATA HISTORICAL'!$C4651</f>
        <v>725.4</v>
      </c>
      <c r="D4006" s="53">
        <f t="shared" si="124"/>
        <v>4.9058657729783911E-3</v>
      </c>
      <c r="E4006" s="53">
        <v>-1.406878546697014E-2</v>
      </c>
      <c r="G4006" s="90">
        <v>3998</v>
      </c>
      <c r="H4006" s="90">
        <f t="shared" ca="1" si="125"/>
        <v>2.9114854454194403E-2</v>
      </c>
    </row>
    <row r="4007" spans="2:8" x14ac:dyDescent="0.3">
      <c r="B4007" s="58">
        <f>'DATA HISTORICAL'!$B4652</f>
        <v>40007</v>
      </c>
      <c r="C4007" s="60">
        <f>'DATA HISTORICAL'!$C4652</f>
        <v>721.85</v>
      </c>
      <c r="D4007" s="53">
        <f t="shared" si="124"/>
        <v>-1.1569580192026712E-2</v>
      </c>
      <c r="E4007" s="53">
        <v>-1.4068998084256925E-2</v>
      </c>
      <c r="G4007" s="90">
        <v>3999</v>
      </c>
      <c r="H4007" s="90">
        <f t="shared" ca="1" si="125"/>
        <v>1.4277577670278083E-2</v>
      </c>
    </row>
    <row r="4008" spans="2:8" x14ac:dyDescent="0.3">
      <c r="B4008" s="58">
        <f>'DATA HISTORICAL'!$B4653</f>
        <v>40004</v>
      </c>
      <c r="C4008" s="60">
        <f>'DATA HISTORICAL'!$C4653</f>
        <v>730.25</v>
      </c>
      <c r="D4008" s="53">
        <f t="shared" si="124"/>
        <v>-2.735044439992459E-3</v>
      </c>
      <c r="E4008" s="53">
        <v>-1.4082726127292697E-2</v>
      </c>
      <c r="G4008" s="90">
        <v>4000</v>
      </c>
      <c r="H4008" s="90">
        <f t="shared" ca="1" si="125"/>
        <v>2.2992639914471737E-2</v>
      </c>
    </row>
    <row r="4009" spans="2:8" x14ac:dyDescent="0.3">
      <c r="B4009" s="58">
        <f>'DATA HISTORICAL'!$B4654</f>
        <v>40003</v>
      </c>
      <c r="C4009" s="60">
        <f>'DATA HISTORICAL'!$C4654</f>
        <v>732.25</v>
      </c>
      <c r="D4009" s="53">
        <f t="shared" si="124"/>
        <v>1.3542983605067203E-2</v>
      </c>
      <c r="E4009" s="53">
        <v>-1.4091749465869559E-2</v>
      </c>
      <c r="G4009" s="90">
        <v>4001</v>
      </c>
      <c r="H4009" s="90">
        <f t="shared" ca="1" si="125"/>
        <v>3.8231180292197034E-2</v>
      </c>
    </row>
    <row r="4010" spans="2:8" x14ac:dyDescent="0.3">
      <c r="B4010" s="58">
        <f>'DATA HISTORICAL'!$B4655</f>
        <v>40002</v>
      </c>
      <c r="C4010" s="60">
        <f>'DATA HISTORICAL'!$C4655</f>
        <v>722.4</v>
      </c>
      <c r="D4010" s="53">
        <f t="shared" si="124"/>
        <v>3.3277900926747457E-3</v>
      </c>
      <c r="E4010" s="53">
        <v>-1.4103201146406298E-2</v>
      </c>
      <c r="G4010" s="90">
        <v>4002</v>
      </c>
      <c r="H4010" s="90">
        <f t="shared" ca="1" si="125"/>
        <v>1.9890383621353814E-3</v>
      </c>
    </row>
    <row r="4011" spans="2:8" x14ac:dyDescent="0.3">
      <c r="B4011" s="58">
        <f>'DATA HISTORICAL'!$B4656</f>
        <v>40001</v>
      </c>
      <c r="C4011" s="60">
        <f>'DATA HISTORICAL'!$C4656</f>
        <v>720</v>
      </c>
      <c r="D4011" s="53">
        <f t="shared" si="124"/>
        <v>4.3429557927336104E-2</v>
      </c>
      <c r="E4011" s="53">
        <v>-1.4121544504403727E-2</v>
      </c>
      <c r="G4011" s="90">
        <v>4003</v>
      </c>
      <c r="H4011" s="90">
        <f t="shared" ca="1" si="125"/>
        <v>2.6204088728939635E-2</v>
      </c>
    </row>
    <row r="4012" spans="2:8" x14ac:dyDescent="0.3">
      <c r="B4012" s="58">
        <f>'DATA HISTORICAL'!$B4657</f>
        <v>40000</v>
      </c>
      <c r="C4012" s="60">
        <f>'DATA HISTORICAL'!$C4657</f>
        <v>689.4</v>
      </c>
      <c r="D4012" s="53">
        <f t="shared" si="124"/>
        <v>-2.5491857240668818E-2</v>
      </c>
      <c r="E4012" s="53">
        <v>-1.4149466621603574E-2</v>
      </c>
      <c r="G4012" s="90">
        <v>4004</v>
      </c>
      <c r="H4012" s="90">
        <f t="shared" ca="1" si="125"/>
        <v>-1.4481868005637923E-2</v>
      </c>
    </row>
    <row r="4013" spans="2:8" x14ac:dyDescent="0.3">
      <c r="B4013" s="58">
        <f>'DATA HISTORICAL'!$B4658</f>
        <v>39997</v>
      </c>
      <c r="C4013" s="60">
        <f>'DATA HISTORICAL'!$C4658</f>
        <v>707.2</v>
      </c>
      <c r="D4013" s="53">
        <f t="shared" si="124"/>
        <v>3.7384165345980006E-2</v>
      </c>
      <c r="E4013" s="53">
        <v>-1.4158886018695346E-2</v>
      </c>
      <c r="G4013" s="90">
        <v>4005</v>
      </c>
      <c r="H4013" s="90">
        <f t="shared" ca="1" si="125"/>
        <v>7.4402316334769058E-3</v>
      </c>
    </row>
    <row r="4014" spans="2:8" x14ac:dyDescent="0.3">
      <c r="B4014" s="58">
        <f>'DATA HISTORICAL'!$B4659</f>
        <v>39996</v>
      </c>
      <c r="C4014" s="60">
        <f>'DATA HISTORICAL'!$C4659</f>
        <v>681.25</v>
      </c>
      <c r="D4014" s="53">
        <f t="shared" si="124"/>
        <v>-1.0269953954303785E-3</v>
      </c>
      <c r="E4014" s="53">
        <v>-1.4166588399067389E-2</v>
      </c>
      <c r="G4014" s="90">
        <v>4006</v>
      </c>
      <c r="H4014" s="90">
        <f t="shared" ca="1" si="125"/>
        <v>8.3624360471278129E-3</v>
      </c>
    </row>
    <row r="4015" spans="2:8" x14ac:dyDescent="0.3">
      <c r="B4015" s="58">
        <f>'DATA HISTORICAL'!$B4660</f>
        <v>39995</v>
      </c>
      <c r="C4015" s="60">
        <f>'DATA HISTORICAL'!$C4660</f>
        <v>681.95</v>
      </c>
      <c r="D4015" s="53">
        <f t="shared" si="124"/>
        <v>-1.1155377976599152E-2</v>
      </c>
      <c r="E4015" s="53">
        <v>-1.4172091291188202E-2</v>
      </c>
      <c r="G4015" s="90">
        <v>4007</v>
      </c>
      <c r="H4015" s="90">
        <f t="shared" ca="1" si="125"/>
        <v>7.779724274269823E-3</v>
      </c>
    </row>
    <row r="4016" spans="2:8" x14ac:dyDescent="0.3">
      <c r="B4016" s="58">
        <f>'DATA HISTORICAL'!$B4661</f>
        <v>39994</v>
      </c>
      <c r="C4016" s="60">
        <f>'DATA HISTORICAL'!$C4661</f>
        <v>689.6</v>
      </c>
      <c r="D4016" s="53">
        <f t="shared" si="124"/>
        <v>-2.4777493827425005E-2</v>
      </c>
      <c r="E4016" s="53">
        <v>-1.4186190888714419E-2</v>
      </c>
      <c r="G4016" s="90">
        <v>4008</v>
      </c>
      <c r="H4016" s="90">
        <f t="shared" ca="1" si="125"/>
        <v>1.1040058463659276E-2</v>
      </c>
    </row>
    <row r="4017" spans="2:8" x14ac:dyDescent="0.3">
      <c r="B4017" s="58">
        <f>'DATA HISTORICAL'!$B4662</f>
        <v>39993</v>
      </c>
      <c r="C4017" s="60">
        <f>'DATA HISTORICAL'!$C4662</f>
        <v>706.9</v>
      </c>
      <c r="D4017" s="53">
        <f t="shared" si="124"/>
        <v>-1.034382793397407E-2</v>
      </c>
      <c r="E4017" s="53">
        <v>-1.4208592475410257E-2</v>
      </c>
      <c r="G4017" s="90">
        <v>4009</v>
      </c>
      <c r="H4017" s="90">
        <f t="shared" ca="1" si="125"/>
        <v>-1.1518488754593863E-2</v>
      </c>
    </row>
    <row r="4018" spans="2:8" x14ac:dyDescent="0.3">
      <c r="B4018" s="58">
        <f>'DATA HISTORICAL'!$B4663</f>
        <v>39990</v>
      </c>
      <c r="C4018" s="60">
        <f>'DATA HISTORICAL'!$C4663</f>
        <v>714.25</v>
      </c>
      <c r="D4018" s="53">
        <f t="shared" si="124"/>
        <v>7.2364808009313967E-3</v>
      </c>
      <c r="E4018" s="53">
        <v>-1.4216110043579583E-2</v>
      </c>
      <c r="G4018" s="90">
        <v>4010</v>
      </c>
      <c r="H4018" s="90">
        <f t="shared" ca="1" si="125"/>
        <v>2.8376406688233134E-2</v>
      </c>
    </row>
    <row r="4019" spans="2:8" x14ac:dyDescent="0.3">
      <c r="B4019" s="58">
        <f>'DATA HISTORICAL'!$B4664</f>
        <v>39989</v>
      </c>
      <c r="C4019" s="60">
        <f>'DATA HISTORICAL'!$C4664</f>
        <v>709.1</v>
      </c>
      <c r="D4019" s="53">
        <f t="shared" si="124"/>
        <v>2.7812337788422205E-2</v>
      </c>
      <c r="E4019" s="53">
        <v>-1.4236183687395629E-2</v>
      </c>
      <c r="G4019" s="90">
        <v>4011</v>
      </c>
      <c r="H4019" s="90">
        <f t="shared" ca="1" si="125"/>
        <v>-1.3886609200145564E-2</v>
      </c>
    </row>
    <row r="4020" spans="2:8" x14ac:dyDescent="0.3">
      <c r="B4020" s="58">
        <f>'DATA HISTORICAL'!$B4665</f>
        <v>39988</v>
      </c>
      <c r="C4020" s="60">
        <f>'DATA HISTORICAL'!$C4665</f>
        <v>689.65</v>
      </c>
      <c r="D4020" s="53">
        <f t="shared" si="124"/>
        <v>5.1091076476077663E-2</v>
      </c>
      <c r="E4020" s="53">
        <v>-1.4245146617771012E-2</v>
      </c>
      <c r="G4020" s="90">
        <v>4012</v>
      </c>
      <c r="H4020" s="90">
        <f t="shared" ca="1" si="125"/>
        <v>4.7685748423851471E-3</v>
      </c>
    </row>
    <row r="4021" spans="2:8" x14ac:dyDescent="0.3">
      <c r="B4021" s="58">
        <f>'DATA HISTORICAL'!$B4666</f>
        <v>39987</v>
      </c>
      <c r="C4021" s="60">
        <f>'DATA HISTORICAL'!$C4666</f>
        <v>655.29999999999995</v>
      </c>
      <c r="D4021" s="53">
        <f t="shared" si="124"/>
        <v>-2.5147660423800893E-3</v>
      </c>
      <c r="E4021" s="53">
        <v>-1.4250367450494992E-2</v>
      </c>
      <c r="G4021" s="90">
        <v>4013</v>
      </c>
      <c r="H4021" s="90">
        <f t="shared" ca="1" si="125"/>
        <v>1.307003697740099E-2</v>
      </c>
    </row>
    <row r="4022" spans="2:8" x14ac:dyDescent="0.3">
      <c r="B4022" s="58">
        <f>'DATA HISTORICAL'!$B4667</f>
        <v>39986</v>
      </c>
      <c r="C4022" s="60">
        <f>'DATA HISTORICAL'!$C4667</f>
        <v>656.95</v>
      </c>
      <c r="D4022" s="53">
        <f t="shared" si="124"/>
        <v>-2.0639479260268101E-2</v>
      </c>
      <c r="E4022" s="53">
        <v>-1.4255875837150789E-2</v>
      </c>
      <c r="G4022" s="90">
        <v>4014</v>
      </c>
      <c r="H4022" s="90">
        <f t="shared" ca="1" si="125"/>
        <v>2.5072312040195312E-2</v>
      </c>
    </row>
    <row r="4023" spans="2:8" x14ac:dyDescent="0.3">
      <c r="B4023" s="58">
        <f>'DATA HISTORICAL'!$B4668</f>
        <v>39983</v>
      </c>
      <c r="C4023" s="60">
        <f>'DATA HISTORICAL'!$C4668</f>
        <v>670.65</v>
      </c>
      <c r="D4023" s="53">
        <f t="shared" si="124"/>
        <v>-7.5757938084576558E-3</v>
      </c>
      <c r="E4023" s="53">
        <v>-1.4256572815436278E-2</v>
      </c>
      <c r="G4023" s="90">
        <v>4015</v>
      </c>
      <c r="H4023" s="90">
        <f t="shared" ca="1" si="125"/>
        <v>2.1964266439605463E-2</v>
      </c>
    </row>
    <row r="4024" spans="2:8" x14ac:dyDescent="0.3">
      <c r="B4024" s="58">
        <f>'DATA HISTORICAL'!$B4669</f>
        <v>39982</v>
      </c>
      <c r="C4024" s="60">
        <f>'DATA HISTORICAL'!$C4669</f>
        <v>675.75</v>
      </c>
      <c r="D4024" s="53">
        <f t="shared" si="124"/>
        <v>-5.60396890693763E-2</v>
      </c>
      <c r="E4024" s="53">
        <v>-1.4280807742638017E-2</v>
      </c>
      <c r="G4024" s="90">
        <v>4016</v>
      </c>
      <c r="H4024" s="90">
        <f t="shared" ca="1" si="125"/>
        <v>-1.297122678423485E-2</v>
      </c>
    </row>
    <row r="4025" spans="2:8" x14ac:dyDescent="0.3">
      <c r="B4025" s="58">
        <f>'DATA HISTORICAL'!$B4670</f>
        <v>39981</v>
      </c>
      <c r="C4025" s="60">
        <f>'DATA HISTORICAL'!$C4670</f>
        <v>714.7</v>
      </c>
      <c r="D4025" s="53">
        <f t="shared" si="124"/>
        <v>4.6983011287571918E-3</v>
      </c>
      <c r="E4025" s="53">
        <v>-1.4300706377073282E-2</v>
      </c>
      <c r="G4025" s="90">
        <v>4017</v>
      </c>
      <c r="H4025" s="90">
        <f t="shared" ca="1" si="125"/>
        <v>9.0371793299222625E-3</v>
      </c>
    </row>
    <row r="4026" spans="2:8" x14ac:dyDescent="0.3">
      <c r="B4026" s="58">
        <f>'DATA HISTORICAL'!$B4671</f>
        <v>39980</v>
      </c>
      <c r="C4026" s="60">
        <f>'DATA HISTORICAL'!$C4671</f>
        <v>711.35</v>
      </c>
      <c r="D4026" s="53">
        <f t="shared" si="124"/>
        <v>-2.3617128797780773E-2</v>
      </c>
      <c r="E4026" s="53">
        <v>-1.4309162668393282E-2</v>
      </c>
      <c r="G4026" s="90">
        <v>4018</v>
      </c>
      <c r="H4026" s="90">
        <f t="shared" ca="1" si="125"/>
        <v>-8.7939776198315486E-3</v>
      </c>
    </row>
    <row r="4027" spans="2:8" x14ac:dyDescent="0.3">
      <c r="B4027" s="58">
        <f>'DATA HISTORICAL'!$B4672</f>
        <v>39979</v>
      </c>
      <c r="C4027" s="60">
        <f>'DATA HISTORICAL'!$C4672</f>
        <v>728.35</v>
      </c>
      <c r="D4027" s="53">
        <f t="shared" si="124"/>
        <v>-5.1354147576402418E-3</v>
      </c>
      <c r="E4027" s="53">
        <v>-1.4322604819235403E-2</v>
      </c>
      <c r="G4027" s="90">
        <v>4019</v>
      </c>
      <c r="H4027" s="90">
        <f t="shared" ca="1" si="125"/>
        <v>1.3247839622311044E-2</v>
      </c>
    </row>
    <row r="4028" spans="2:8" x14ac:dyDescent="0.3">
      <c r="B4028" s="58">
        <f>'DATA HISTORICAL'!$B4673</f>
        <v>39976</v>
      </c>
      <c r="C4028" s="60">
        <f>'DATA HISTORICAL'!$C4673</f>
        <v>732.1</v>
      </c>
      <c r="D4028" s="53">
        <f t="shared" si="124"/>
        <v>-6.8294348669082817E-5</v>
      </c>
      <c r="E4028" s="53">
        <v>-1.4329774089492549E-2</v>
      </c>
      <c r="G4028" s="90">
        <v>4020</v>
      </c>
      <c r="H4028" s="90">
        <f t="shared" ca="1" si="125"/>
        <v>2.6040550275926156E-2</v>
      </c>
    </row>
    <row r="4029" spans="2:8" x14ac:dyDescent="0.3">
      <c r="B4029" s="58">
        <f>'DATA HISTORICAL'!$B4674</f>
        <v>39975</v>
      </c>
      <c r="C4029" s="60">
        <f>'DATA HISTORICAL'!$C4674</f>
        <v>732.15</v>
      </c>
      <c r="D4029" s="53">
        <f t="shared" si="124"/>
        <v>-4.1010462724997823E-2</v>
      </c>
      <c r="E4029" s="53">
        <v>-1.4343920370651251E-2</v>
      </c>
      <c r="G4029" s="90">
        <v>4021</v>
      </c>
      <c r="H4029" s="90">
        <f t="shared" ca="1" si="125"/>
        <v>5.9056652919478782E-3</v>
      </c>
    </row>
    <row r="4030" spans="2:8" x14ac:dyDescent="0.3">
      <c r="B4030" s="58">
        <f>'DATA HISTORICAL'!$B4675</f>
        <v>39974</v>
      </c>
      <c r="C4030" s="60">
        <f>'DATA HISTORICAL'!$C4675</f>
        <v>762.8</v>
      </c>
      <c r="D4030" s="53">
        <f t="shared" si="124"/>
        <v>4.1283668108843166E-2</v>
      </c>
      <c r="E4030" s="53">
        <v>-1.4347584435515025E-2</v>
      </c>
      <c r="G4030" s="90">
        <v>4022</v>
      </c>
      <c r="H4030" s="90">
        <f t="shared" ca="1" si="125"/>
        <v>2.4359194236649891E-2</v>
      </c>
    </row>
    <row r="4031" spans="2:8" x14ac:dyDescent="0.3">
      <c r="B4031" s="58">
        <f>'DATA HISTORICAL'!$B4676</f>
        <v>39973</v>
      </c>
      <c r="C4031" s="60">
        <f>'DATA HISTORICAL'!$C4676</f>
        <v>731.95</v>
      </c>
      <c r="D4031" s="53">
        <f t="shared" si="124"/>
        <v>2.0008946823005105E-2</v>
      </c>
      <c r="E4031" s="53">
        <v>-1.435520549782069E-2</v>
      </c>
      <c r="G4031" s="90">
        <v>4023</v>
      </c>
      <c r="H4031" s="90">
        <f t="shared" ca="1" si="125"/>
        <v>2.6111277499686961E-4</v>
      </c>
    </row>
    <row r="4032" spans="2:8" x14ac:dyDescent="0.3">
      <c r="B4032" s="58">
        <f>'DATA HISTORICAL'!$B4677</f>
        <v>39972</v>
      </c>
      <c r="C4032" s="60">
        <f>'DATA HISTORICAL'!$C4677</f>
        <v>717.45</v>
      </c>
      <c r="D4032" s="53">
        <f t="shared" si="124"/>
        <v>-3.3106755457229749E-2</v>
      </c>
      <c r="E4032" s="53">
        <v>-1.4384960883759786E-2</v>
      </c>
      <c r="G4032" s="90">
        <v>4024</v>
      </c>
      <c r="H4032" s="90">
        <f t="shared" ca="1" si="125"/>
        <v>2.1057393599034906E-2</v>
      </c>
    </row>
    <row r="4033" spans="2:8" x14ac:dyDescent="0.3">
      <c r="B4033" s="58">
        <f>'DATA HISTORICAL'!$B4678</f>
        <v>39969</v>
      </c>
      <c r="C4033" s="60">
        <f>'DATA HISTORICAL'!$C4678</f>
        <v>741.6</v>
      </c>
      <c r="D4033" s="53">
        <f t="shared" si="124"/>
        <v>-5.2277168369324736E-2</v>
      </c>
      <c r="E4033" s="53">
        <v>-1.4396294356142742E-2</v>
      </c>
      <c r="G4033" s="90">
        <v>4025</v>
      </c>
      <c r="H4033" s="90">
        <f t="shared" ca="1" si="125"/>
        <v>3.5225154868551337E-2</v>
      </c>
    </row>
    <row r="4034" spans="2:8" x14ac:dyDescent="0.3">
      <c r="B4034" s="58">
        <f>'DATA HISTORICAL'!$B4679</f>
        <v>39968</v>
      </c>
      <c r="C4034" s="60">
        <f>'DATA HISTORICAL'!$C4679</f>
        <v>781.4</v>
      </c>
      <c r="D4034" s="53">
        <f t="shared" si="124"/>
        <v>7.2160705087450913E-2</v>
      </c>
      <c r="E4034" s="53">
        <v>-1.4449499494938203E-2</v>
      </c>
      <c r="G4034" s="90">
        <v>4026</v>
      </c>
      <c r="H4034" s="90">
        <f t="shared" ca="1" si="125"/>
        <v>2.173845417609753E-2</v>
      </c>
    </row>
    <row r="4035" spans="2:8" x14ac:dyDescent="0.3">
      <c r="B4035" s="58">
        <f>'DATA HISTORICAL'!$B4680</f>
        <v>39967</v>
      </c>
      <c r="C4035" s="60">
        <f>'DATA HISTORICAL'!$C4680</f>
        <v>727</v>
      </c>
      <c r="D4035" s="53">
        <f t="shared" si="124"/>
        <v>-1.7318221060302653E-2</v>
      </c>
      <c r="E4035" s="53">
        <v>-1.4479448605777139E-2</v>
      </c>
      <c r="G4035" s="90">
        <v>4027</v>
      </c>
      <c r="H4035" s="90">
        <f t="shared" ca="1" si="125"/>
        <v>-2.5599898134087131E-3</v>
      </c>
    </row>
    <row r="4036" spans="2:8" x14ac:dyDescent="0.3">
      <c r="B4036" s="58">
        <f>'DATA HISTORICAL'!$B4681</f>
        <v>39966</v>
      </c>
      <c r="C4036" s="60">
        <f>'DATA HISTORICAL'!$C4681</f>
        <v>739.7</v>
      </c>
      <c r="D4036" s="53">
        <f t="shared" si="124"/>
        <v>-1.7289179565514828E-2</v>
      </c>
      <c r="E4036" s="53">
        <v>-1.450810500045659E-2</v>
      </c>
      <c r="G4036" s="90">
        <v>4028</v>
      </c>
      <c r="H4036" s="90">
        <f t="shared" ca="1" si="125"/>
        <v>-2.5584163239183175E-3</v>
      </c>
    </row>
    <row r="4037" spans="2:8" x14ac:dyDescent="0.3">
      <c r="B4037" s="58">
        <f>'DATA HISTORICAL'!$B4682</f>
        <v>39965</v>
      </c>
      <c r="C4037" s="60">
        <f>'DATA HISTORICAL'!$C4682</f>
        <v>752.6</v>
      </c>
      <c r="D4037" s="53">
        <f t="shared" si="124"/>
        <v>4.7342899445830172E-2</v>
      </c>
      <c r="E4037" s="53">
        <v>-1.4523096328645213E-2</v>
      </c>
      <c r="G4037" s="90">
        <v>4029</v>
      </c>
      <c r="H4037" s="90">
        <f t="shared" ca="1" si="125"/>
        <v>2.370393323678633E-2</v>
      </c>
    </row>
    <row r="4038" spans="2:8" x14ac:dyDescent="0.3">
      <c r="B4038" s="58">
        <f>'DATA HISTORICAL'!$B4683</f>
        <v>39962</v>
      </c>
      <c r="C4038" s="60">
        <f>'DATA HISTORICAL'!$C4683</f>
        <v>717.8</v>
      </c>
      <c r="D4038" s="53">
        <f t="shared" si="124"/>
        <v>3.7689425876962342E-2</v>
      </c>
      <c r="E4038" s="53">
        <v>-1.4527284290019944E-2</v>
      </c>
      <c r="G4038" s="90">
        <v>4030</v>
      </c>
      <c r="H4038" s="90">
        <f t="shared" ca="1" si="125"/>
        <v>-2.3474328123925237E-2</v>
      </c>
    </row>
    <row r="4039" spans="2:8" x14ac:dyDescent="0.3">
      <c r="B4039" s="58">
        <f>'DATA HISTORICAL'!$B4684</f>
        <v>39961</v>
      </c>
      <c r="C4039" s="60">
        <f>'DATA HISTORICAL'!$C4684</f>
        <v>691.25</v>
      </c>
      <c r="D4039" s="53">
        <f t="shared" si="124"/>
        <v>2.8975029326385139E-3</v>
      </c>
      <c r="E4039" s="53">
        <v>-1.4539963778503326E-2</v>
      </c>
      <c r="G4039" s="90">
        <v>4031</v>
      </c>
      <c r="H4039" s="90">
        <f t="shared" ca="1" si="125"/>
        <v>-1.2602151914094313E-2</v>
      </c>
    </row>
    <row r="4040" spans="2:8" x14ac:dyDescent="0.3">
      <c r="B4040" s="58">
        <f>'DATA HISTORICAL'!$B4685</f>
        <v>39960</v>
      </c>
      <c r="C4040" s="60">
        <f>'DATA HISTORICAL'!$C4685</f>
        <v>689.25</v>
      </c>
      <c r="D4040" s="53">
        <f t="shared" si="124"/>
        <v>-1.4498009063576881E-3</v>
      </c>
      <c r="E4040" s="53">
        <v>-1.4564312643392868E-2</v>
      </c>
      <c r="G4040" s="90">
        <v>4032</v>
      </c>
      <c r="H4040" s="90">
        <f t="shared" ca="1" si="125"/>
        <v>1.7275925735126381E-2</v>
      </c>
    </row>
    <row r="4041" spans="2:8" x14ac:dyDescent="0.3">
      <c r="B4041" s="58">
        <f>'DATA HISTORICAL'!$B4686</f>
        <v>39959</v>
      </c>
      <c r="C4041" s="60">
        <f>'DATA HISTORICAL'!$C4686</f>
        <v>690.25</v>
      </c>
      <c r="D4041" s="53">
        <f t="shared" ref="D4041:D4104" si="126">LN(C4041/C4042)</f>
        <v>2.2415236755427653E-2</v>
      </c>
      <c r="E4041" s="53">
        <v>-1.4618598697927155E-2</v>
      </c>
      <c r="G4041" s="90">
        <v>4033</v>
      </c>
      <c r="H4041" s="90">
        <f t="shared" ref="H4041:H4104" ca="1" si="127">_xlfn.NORM.INV(RAND(),N$10,N$11)</f>
        <v>-2.3056118094808561E-2</v>
      </c>
    </row>
    <row r="4042" spans="2:8" x14ac:dyDescent="0.3">
      <c r="B4042" s="58">
        <f>'DATA HISTORICAL'!$B4687</f>
        <v>39958</v>
      </c>
      <c r="C4042" s="60">
        <f>'DATA HISTORICAL'!$C4687</f>
        <v>674.95</v>
      </c>
      <c r="D4042" s="53">
        <f t="shared" si="126"/>
        <v>2.2474539479872543E-2</v>
      </c>
      <c r="E4042" s="53">
        <v>-1.4638559271660962E-2</v>
      </c>
      <c r="G4042" s="90">
        <v>4034</v>
      </c>
      <c r="H4042" s="90">
        <f t="shared" ca="1" si="127"/>
        <v>-6.3528377788508927E-3</v>
      </c>
    </row>
    <row r="4043" spans="2:8" x14ac:dyDescent="0.3">
      <c r="B4043" s="58">
        <f>'DATA HISTORICAL'!$B4688</f>
        <v>39955</v>
      </c>
      <c r="C4043" s="60">
        <f>'DATA HISTORICAL'!$C4688</f>
        <v>659.95</v>
      </c>
      <c r="D4043" s="53">
        <f t="shared" si="126"/>
        <v>-4.3367430078810935E-2</v>
      </c>
      <c r="E4043" s="53">
        <v>-1.4641103384038351E-2</v>
      </c>
      <c r="G4043" s="90">
        <v>4035</v>
      </c>
      <c r="H4043" s="90">
        <f t="shared" ca="1" si="127"/>
        <v>3.4060986543202165E-2</v>
      </c>
    </row>
    <row r="4044" spans="2:8" x14ac:dyDescent="0.3">
      <c r="B4044" s="58">
        <f>'DATA HISTORICAL'!$B4689</f>
        <v>39954</v>
      </c>
      <c r="C4044" s="60">
        <f>'DATA HISTORICAL'!$C4689</f>
        <v>689.2</v>
      </c>
      <c r="D4044" s="53">
        <f t="shared" si="126"/>
        <v>4.4428679420378571E-2</v>
      </c>
      <c r="E4044" s="53">
        <v>-1.4648652072587707E-2</v>
      </c>
      <c r="G4044" s="90">
        <v>4036</v>
      </c>
      <c r="H4044" s="90">
        <f t="shared" ca="1" si="127"/>
        <v>-7.1297524064466719E-3</v>
      </c>
    </row>
    <row r="4045" spans="2:8" x14ac:dyDescent="0.3">
      <c r="B4045" s="58">
        <f>'DATA HISTORICAL'!$B4690</f>
        <v>39953</v>
      </c>
      <c r="C4045" s="60">
        <f>'DATA HISTORICAL'!$C4690</f>
        <v>659.25</v>
      </c>
      <c r="D4045" s="53">
        <f t="shared" si="126"/>
        <v>2.9869051349791058E-2</v>
      </c>
      <c r="E4045" s="53">
        <v>-1.4650017208482306E-2</v>
      </c>
      <c r="G4045" s="90">
        <v>4037</v>
      </c>
      <c r="H4045" s="90">
        <f t="shared" ca="1" si="127"/>
        <v>-7.8679009588784703E-3</v>
      </c>
    </row>
    <row r="4046" spans="2:8" x14ac:dyDescent="0.3">
      <c r="B4046" s="58">
        <f>'DATA HISTORICAL'!$B4691</f>
        <v>39952</v>
      </c>
      <c r="C4046" s="60">
        <f>'DATA HISTORICAL'!$C4691</f>
        <v>639.85</v>
      </c>
      <c r="D4046" s="53">
        <f t="shared" si="126"/>
        <v>-1.6738089339161311E-2</v>
      </c>
      <c r="E4046" s="53">
        <v>-1.4652059489429051E-2</v>
      </c>
      <c r="G4046" s="90">
        <v>4038</v>
      </c>
      <c r="H4046" s="90">
        <f t="shared" ca="1" si="127"/>
        <v>8.1633102971147998E-3</v>
      </c>
    </row>
    <row r="4047" spans="2:8" x14ac:dyDescent="0.3">
      <c r="B4047" s="58">
        <f>'DATA HISTORICAL'!$B4692</f>
        <v>39951</v>
      </c>
      <c r="C4047" s="60">
        <f>'DATA HISTORICAL'!$C4692</f>
        <v>650.65</v>
      </c>
      <c r="D4047" s="53">
        <f t="shared" si="126"/>
        <v>0.1366430120214179</v>
      </c>
      <c r="E4047" s="53">
        <v>-1.4682701921898663E-2</v>
      </c>
      <c r="G4047" s="90">
        <v>4039</v>
      </c>
      <c r="H4047" s="90">
        <f t="shared" ca="1" si="127"/>
        <v>5.1212120714477661E-3</v>
      </c>
    </row>
    <row r="4048" spans="2:8" x14ac:dyDescent="0.3">
      <c r="B4048" s="58">
        <f>'DATA HISTORICAL'!$B4693</f>
        <v>39948</v>
      </c>
      <c r="C4048" s="60">
        <f>'DATA HISTORICAL'!$C4693</f>
        <v>567.54999999999995</v>
      </c>
      <c r="D4048" s="53">
        <f t="shared" si="126"/>
        <v>-1.1039186925329061E-2</v>
      </c>
      <c r="E4048" s="53">
        <v>-1.4701757741802083E-2</v>
      </c>
      <c r="G4048" s="90">
        <v>4040</v>
      </c>
      <c r="H4048" s="90">
        <f t="shared" ca="1" si="127"/>
        <v>8.7472083971181121E-3</v>
      </c>
    </row>
    <row r="4049" spans="2:8" x14ac:dyDescent="0.3">
      <c r="B4049" s="58">
        <f>'DATA HISTORICAL'!$B4694</f>
        <v>39947</v>
      </c>
      <c r="C4049" s="60">
        <f>'DATA HISTORICAL'!$C4694</f>
        <v>573.85</v>
      </c>
      <c r="D4049" s="53">
        <f t="shared" si="126"/>
        <v>-6.9680344253018585E-4</v>
      </c>
      <c r="E4049" s="53">
        <v>-1.4725560153588406E-2</v>
      </c>
      <c r="G4049" s="90">
        <v>4041</v>
      </c>
      <c r="H4049" s="90">
        <f t="shared" ca="1" si="127"/>
        <v>-1.601835861181523E-2</v>
      </c>
    </row>
    <row r="4050" spans="2:8" x14ac:dyDescent="0.3">
      <c r="B4050" s="58">
        <f>'DATA HISTORICAL'!$B4695</f>
        <v>39946</v>
      </c>
      <c r="C4050" s="60">
        <f>'DATA HISTORICAL'!$C4695</f>
        <v>574.25</v>
      </c>
      <c r="D4050" s="53">
        <f t="shared" si="126"/>
        <v>8.2182662232867364E-3</v>
      </c>
      <c r="E4050" s="53">
        <v>-1.4728854439801599E-2</v>
      </c>
      <c r="G4050" s="90">
        <v>4042</v>
      </c>
      <c r="H4050" s="90">
        <f t="shared" ca="1" si="127"/>
        <v>4.9168728324483421E-3</v>
      </c>
    </row>
    <row r="4051" spans="2:8" x14ac:dyDescent="0.3">
      <c r="B4051" s="58">
        <f>'DATA HISTORICAL'!$B4696</f>
        <v>39945</v>
      </c>
      <c r="C4051" s="60">
        <f>'DATA HISTORICAL'!$C4696</f>
        <v>569.54999999999995</v>
      </c>
      <c r="D4051" s="53">
        <f t="shared" si="126"/>
        <v>1.8965474514300459E-2</v>
      </c>
      <c r="E4051" s="53">
        <v>-1.4733115058948785E-2</v>
      </c>
      <c r="G4051" s="90">
        <v>4043</v>
      </c>
      <c r="H4051" s="90">
        <f t="shared" ca="1" si="127"/>
        <v>1.0005259245636854E-2</v>
      </c>
    </row>
    <row r="4052" spans="2:8" x14ac:dyDescent="0.3">
      <c r="B4052" s="58">
        <f>'DATA HISTORICAL'!$B4697</f>
        <v>39944</v>
      </c>
      <c r="C4052" s="60">
        <f>'DATA HISTORICAL'!$C4697</f>
        <v>558.85</v>
      </c>
      <c r="D4052" s="53">
        <f t="shared" si="126"/>
        <v>0</v>
      </c>
      <c r="E4052" s="53">
        <v>-1.4762594643008865E-2</v>
      </c>
      <c r="G4052" s="90">
        <v>4044</v>
      </c>
      <c r="H4052" s="90">
        <f t="shared" ca="1" si="127"/>
        <v>1.2451715923549662E-2</v>
      </c>
    </row>
    <row r="4053" spans="2:8" x14ac:dyDescent="0.3">
      <c r="B4053" s="58">
        <f>'DATA HISTORICAL'!$B4698</f>
        <v>39941</v>
      </c>
      <c r="C4053" s="60">
        <f>'DATA HISTORICAL'!$C4698</f>
        <v>558.85</v>
      </c>
      <c r="D4053" s="53">
        <f t="shared" si="126"/>
        <v>-1.4304875036559217E-3</v>
      </c>
      <c r="E4053" s="53">
        <v>-1.48014256728571E-2</v>
      </c>
      <c r="G4053" s="90">
        <v>4045</v>
      </c>
      <c r="H4053" s="90">
        <f t="shared" ca="1" si="127"/>
        <v>-1.7632556765568193E-3</v>
      </c>
    </row>
    <row r="4054" spans="2:8" x14ac:dyDescent="0.3">
      <c r="B4054" s="58">
        <f>'DATA HISTORICAL'!$B4699</f>
        <v>39940</v>
      </c>
      <c r="C4054" s="60">
        <f>'DATA HISTORICAL'!$C4699</f>
        <v>559.65</v>
      </c>
      <c r="D4054" s="53">
        <f t="shared" si="126"/>
        <v>-1.4897854680636946E-2</v>
      </c>
      <c r="E4054" s="53">
        <v>-1.4810428247420375E-2</v>
      </c>
      <c r="G4054" s="90">
        <v>4046</v>
      </c>
      <c r="H4054" s="90">
        <f t="shared" ca="1" si="127"/>
        <v>1.8509883024062177E-3</v>
      </c>
    </row>
    <row r="4055" spans="2:8" x14ac:dyDescent="0.3">
      <c r="B4055" s="58">
        <f>'DATA HISTORICAL'!$B4700</f>
        <v>39939</v>
      </c>
      <c r="C4055" s="60">
        <f>'DATA HISTORICAL'!$C4700</f>
        <v>568.04999999999995</v>
      </c>
      <c r="D4055" s="53">
        <f t="shared" si="126"/>
        <v>-3.2985720054226855E-2</v>
      </c>
      <c r="E4055" s="53">
        <v>-1.4872751868788767E-2</v>
      </c>
      <c r="G4055" s="90">
        <v>4047</v>
      </c>
      <c r="H4055" s="90">
        <f t="shared" ca="1" si="127"/>
        <v>4.9075974873423762E-3</v>
      </c>
    </row>
    <row r="4056" spans="2:8" x14ac:dyDescent="0.3">
      <c r="B4056" s="58">
        <f>'DATA HISTORICAL'!$B4701</f>
        <v>39938</v>
      </c>
      <c r="C4056" s="60">
        <f>'DATA HISTORICAL'!$C4701</f>
        <v>587.1</v>
      </c>
      <c r="D4056" s="53">
        <f t="shared" si="126"/>
        <v>-1.0757801432374064E-2</v>
      </c>
      <c r="E4056" s="53">
        <v>-1.488143205040608E-2</v>
      </c>
      <c r="G4056" s="90">
        <v>4048</v>
      </c>
      <c r="H4056" s="90">
        <f t="shared" ca="1" si="127"/>
        <v>-1.4244390973796598E-2</v>
      </c>
    </row>
    <row r="4057" spans="2:8" x14ac:dyDescent="0.3">
      <c r="B4057" s="58">
        <f>'DATA HISTORICAL'!$B4702</f>
        <v>39937</v>
      </c>
      <c r="C4057" s="60">
        <f>'DATA HISTORICAL'!$C4702</f>
        <v>593.45000000000005</v>
      </c>
      <c r="D4057" s="53">
        <f t="shared" si="126"/>
        <v>3.9965788023942628E-2</v>
      </c>
      <c r="E4057" s="53">
        <v>-1.4887316262306105E-2</v>
      </c>
      <c r="G4057" s="90">
        <v>4049</v>
      </c>
      <c r="H4057" s="90">
        <f t="shared" ca="1" si="127"/>
        <v>-2.4390364908894051E-2</v>
      </c>
    </row>
    <row r="4058" spans="2:8" x14ac:dyDescent="0.3">
      <c r="B4058" s="58">
        <f>'DATA HISTORICAL'!$B4703</f>
        <v>39932</v>
      </c>
      <c r="C4058" s="60">
        <f>'DATA HISTORICAL'!$C4703</f>
        <v>570.20000000000005</v>
      </c>
      <c r="D4058" s="53">
        <f t="shared" si="126"/>
        <v>-4.1128913807766823E-3</v>
      </c>
      <c r="E4058" s="53">
        <v>-1.4893017221871876E-2</v>
      </c>
      <c r="G4058" s="90">
        <v>4050</v>
      </c>
      <c r="H4058" s="90">
        <f t="shared" ca="1" si="127"/>
        <v>-7.1221329356284955E-3</v>
      </c>
    </row>
    <row r="4059" spans="2:8" x14ac:dyDescent="0.3">
      <c r="B4059" s="58">
        <f>'DATA HISTORICAL'!$B4704</f>
        <v>39931</v>
      </c>
      <c r="C4059" s="60">
        <f>'DATA HISTORICAL'!$C4704</f>
        <v>572.54999999999995</v>
      </c>
      <c r="D4059" s="53">
        <f t="shared" si="126"/>
        <v>3.49925997865985E-3</v>
      </c>
      <c r="E4059" s="53">
        <v>-1.4908610027388886E-2</v>
      </c>
      <c r="G4059" s="90">
        <v>4051</v>
      </c>
      <c r="H4059" s="90">
        <f t="shared" ca="1" si="127"/>
        <v>-1.2760270746775812E-2</v>
      </c>
    </row>
    <row r="4060" spans="2:8" x14ac:dyDescent="0.3">
      <c r="B4060" s="58">
        <f>'DATA HISTORICAL'!$B4705</f>
        <v>39930</v>
      </c>
      <c r="C4060" s="60">
        <f>'DATA HISTORICAL'!$C4705</f>
        <v>570.54999999999995</v>
      </c>
      <c r="D4060" s="53">
        <f t="shared" si="126"/>
        <v>3.5994946900979223E-3</v>
      </c>
      <c r="E4060" s="53">
        <v>-1.4911624909647416E-2</v>
      </c>
      <c r="G4060" s="90">
        <v>4052</v>
      </c>
      <c r="H4060" s="90">
        <f t="shared" ca="1" si="127"/>
        <v>1.6949605040572677E-2</v>
      </c>
    </row>
    <row r="4061" spans="2:8" x14ac:dyDescent="0.3">
      <c r="B4061" s="58">
        <f>'DATA HISTORICAL'!$B4706</f>
        <v>39927</v>
      </c>
      <c r="C4061" s="60">
        <f>'DATA HISTORICAL'!$C4706</f>
        <v>568.5</v>
      </c>
      <c r="D4061" s="53">
        <f t="shared" si="126"/>
        <v>1.4885973974804005E-2</v>
      </c>
      <c r="E4061" s="53">
        <v>-1.491923202428142E-2</v>
      </c>
      <c r="G4061" s="90">
        <v>4053</v>
      </c>
      <c r="H4061" s="90">
        <f t="shared" ca="1" si="127"/>
        <v>-4.8539105773346561E-3</v>
      </c>
    </row>
    <row r="4062" spans="2:8" x14ac:dyDescent="0.3">
      <c r="B4062" s="58">
        <f>'DATA HISTORICAL'!$B4707</f>
        <v>39926</v>
      </c>
      <c r="C4062" s="60">
        <f>'DATA HISTORICAL'!$C4707</f>
        <v>560.1</v>
      </c>
      <c r="D4062" s="53">
        <f t="shared" si="126"/>
        <v>-1.2508479789264809E-2</v>
      </c>
      <c r="E4062" s="53">
        <v>-1.4929474297592674E-2</v>
      </c>
      <c r="G4062" s="90">
        <v>4054</v>
      </c>
      <c r="H4062" s="90">
        <f t="shared" ca="1" si="127"/>
        <v>3.8997463866260913E-2</v>
      </c>
    </row>
    <row r="4063" spans="2:8" x14ac:dyDescent="0.3">
      <c r="B4063" s="58">
        <f>'DATA HISTORICAL'!$B4708</f>
        <v>39925</v>
      </c>
      <c r="C4063" s="60">
        <f>'DATA HISTORICAL'!$C4708</f>
        <v>567.15</v>
      </c>
      <c r="D4063" s="53">
        <f t="shared" si="126"/>
        <v>1.146738536990479E-3</v>
      </c>
      <c r="E4063" s="53">
        <v>-1.4954348326906976E-2</v>
      </c>
      <c r="G4063" s="90">
        <v>4055</v>
      </c>
      <c r="H4063" s="90">
        <f t="shared" ca="1" si="127"/>
        <v>-1.908092129556695E-2</v>
      </c>
    </row>
    <row r="4064" spans="2:8" x14ac:dyDescent="0.3">
      <c r="B4064" s="58">
        <f>'DATA HISTORICAL'!$B4709</f>
        <v>39924</v>
      </c>
      <c r="C4064" s="60">
        <f>'DATA HISTORICAL'!$C4709</f>
        <v>566.5</v>
      </c>
      <c r="D4064" s="53">
        <f t="shared" si="126"/>
        <v>-8.9623655876513667E-3</v>
      </c>
      <c r="E4064" s="53">
        <v>-1.4961501213418679E-2</v>
      </c>
      <c r="G4064" s="90">
        <v>4056</v>
      </c>
      <c r="H4064" s="90">
        <f t="shared" ca="1" si="127"/>
        <v>1.7912174131062289E-2</v>
      </c>
    </row>
    <row r="4065" spans="2:8" x14ac:dyDescent="0.3">
      <c r="B4065" s="58">
        <f>'DATA HISTORICAL'!$B4710</f>
        <v>39923</v>
      </c>
      <c r="C4065" s="60">
        <f>'DATA HISTORICAL'!$C4710</f>
        <v>571.6</v>
      </c>
      <c r="D4065" s="53">
        <f t="shared" si="126"/>
        <v>9.75703253159412E-3</v>
      </c>
      <c r="E4065" s="53">
        <v>-1.4961772011687004E-2</v>
      </c>
      <c r="G4065" s="90">
        <v>4057</v>
      </c>
      <c r="H4065" s="90">
        <f t="shared" ca="1" si="127"/>
        <v>7.877586350584654E-3</v>
      </c>
    </row>
    <row r="4066" spans="2:8" x14ac:dyDescent="0.3">
      <c r="B4066" s="58">
        <f>'DATA HISTORICAL'!$B4711</f>
        <v>39920</v>
      </c>
      <c r="C4066" s="60">
        <f>'DATA HISTORICAL'!$C4711</f>
        <v>566.04999999999995</v>
      </c>
      <c r="D4066" s="53">
        <f t="shared" si="126"/>
        <v>3.5056618784273887E-2</v>
      </c>
      <c r="E4066" s="53">
        <v>-1.4977331262903947E-2</v>
      </c>
      <c r="G4066" s="90">
        <v>4058</v>
      </c>
      <c r="H4066" s="90">
        <f t="shared" ca="1" si="127"/>
        <v>6.9559655461894493E-3</v>
      </c>
    </row>
    <row r="4067" spans="2:8" x14ac:dyDescent="0.3">
      <c r="B4067" s="58">
        <f>'DATA HISTORICAL'!$B4712</f>
        <v>39919</v>
      </c>
      <c r="C4067" s="60">
        <f>'DATA HISTORICAL'!$C4712</f>
        <v>546.54999999999995</v>
      </c>
      <c r="D4067" s="53">
        <f t="shared" si="126"/>
        <v>-2.6451553488461507E-2</v>
      </c>
      <c r="E4067" s="53">
        <v>-1.4978583527620602E-2</v>
      </c>
      <c r="G4067" s="90">
        <v>4059</v>
      </c>
      <c r="H4067" s="90">
        <f t="shared" ca="1" si="127"/>
        <v>1.5973051059033697E-2</v>
      </c>
    </row>
    <row r="4068" spans="2:8" x14ac:dyDescent="0.3">
      <c r="B4068" s="58">
        <f>'DATA HISTORICAL'!$B4713</f>
        <v>39918</v>
      </c>
      <c r="C4068" s="60">
        <f>'DATA HISTORICAL'!$C4713</f>
        <v>561.20000000000005</v>
      </c>
      <c r="D4068" s="53">
        <f t="shared" si="126"/>
        <v>4.9962447603994514E-2</v>
      </c>
      <c r="E4068" s="53">
        <v>-1.4993798735039667E-2</v>
      </c>
      <c r="G4068" s="90">
        <v>4060</v>
      </c>
      <c r="H4068" s="90">
        <f t="shared" ca="1" si="127"/>
        <v>3.936272884970551E-3</v>
      </c>
    </row>
    <row r="4069" spans="2:8" x14ac:dyDescent="0.3">
      <c r="B4069" s="58">
        <f>'DATA HISTORICAL'!$B4714</f>
        <v>39916</v>
      </c>
      <c r="C4069" s="60">
        <f>'DATA HISTORICAL'!$C4714</f>
        <v>533.85</v>
      </c>
      <c r="D4069" s="53">
        <f t="shared" si="126"/>
        <v>8.3706108313105296E-3</v>
      </c>
      <c r="E4069" s="53">
        <v>-1.4994234970311941E-2</v>
      </c>
      <c r="G4069" s="90">
        <v>4061</v>
      </c>
      <c r="H4069" s="90">
        <f t="shared" ca="1" si="127"/>
        <v>1.8098286217091211E-2</v>
      </c>
    </row>
    <row r="4070" spans="2:8" x14ac:dyDescent="0.3">
      <c r="B4070" s="58">
        <f>'DATA HISTORICAL'!$B4715</f>
        <v>39912</v>
      </c>
      <c r="C4070" s="60">
        <f>'DATA HISTORICAL'!$C4715</f>
        <v>529.4</v>
      </c>
      <c r="D4070" s="53">
        <f t="shared" si="126"/>
        <v>-2.3982859913982892E-2</v>
      </c>
      <c r="E4070" s="53">
        <v>-1.5000104364835816E-2</v>
      </c>
      <c r="G4070" s="90">
        <v>4062</v>
      </c>
      <c r="H4070" s="90">
        <f t="shared" ca="1" si="127"/>
        <v>-9.504902008829471E-3</v>
      </c>
    </row>
    <row r="4071" spans="2:8" x14ac:dyDescent="0.3">
      <c r="B4071" s="58">
        <f>'DATA HISTORICAL'!$B4716</f>
        <v>39911</v>
      </c>
      <c r="C4071" s="60">
        <f>'DATA HISTORICAL'!$C4716</f>
        <v>542.25</v>
      </c>
      <c r="D4071" s="53">
        <f t="shared" si="126"/>
        <v>7.9615306670653974E-3</v>
      </c>
      <c r="E4071" s="53">
        <v>-1.5008261064135168E-2</v>
      </c>
      <c r="G4071" s="90">
        <v>4063</v>
      </c>
      <c r="H4071" s="90">
        <f t="shared" ca="1" si="127"/>
        <v>-3.1533148783013741E-2</v>
      </c>
    </row>
    <row r="4072" spans="2:8" x14ac:dyDescent="0.3">
      <c r="B4072" s="58">
        <f>'DATA HISTORICAL'!$B4717</f>
        <v>39909</v>
      </c>
      <c r="C4072" s="60">
        <f>'DATA HISTORICAL'!$C4717</f>
        <v>537.95000000000005</v>
      </c>
      <c r="D4072" s="53">
        <f t="shared" si="126"/>
        <v>-2.0606009194436659E-2</v>
      </c>
      <c r="E4072" s="53">
        <v>-1.5018757408324583E-2</v>
      </c>
      <c r="G4072" s="90">
        <v>4064</v>
      </c>
      <c r="H4072" s="90">
        <f t="shared" ca="1" si="127"/>
        <v>9.1404766526560436E-3</v>
      </c>
    </row>
    <row r="4073" spans="2:8" x14ac:dyDescent="0.3">
      <c r="B4073" s="58">
        <f>'DATA HISTORICAL'!$B4718</f>
        <v>39905</v>
      </c>
      <c r="C4073" s="60">
        <f>'DATA HISTORICAL'!$C4718</f>
        <v>549.15</v>
      </c>
      <c r="D4073" s="53">
        <f t="shared" si="126"/>
        <v>2.573111942033619E-2</v>
      </c>
      <c r="E4073" s="53">
        <v>-1.5019298119414656E-2</v>
      </c>
      <c r="G4073" s="90">
        <v>4065</v>
      </c>
      <c r="H4073" s="90">
        <f t="shared" ca="1" si="127"/>
        <v>-2.8834704284374417E-3</v>
      </c>
    </row>
    <row r="4074" spans="2:8" x14ac:dyDescent="0.3">
      <c r="B4074" s="58">
        <f>'DATA HISTORICAL'!$B4719</f>
        <v>39904</v>
      </c>
      <c r="C4074" s="60">
        <f>'DATA HISTORICAL'!$C4719</f>
        <v>535.20000000000005</v>
      </c>
      <c r="D4074" s="53">
        <f t="shared" si="126"/>
        <v>-2.9729307390668733E-2</v>
      </c>
      <c r="E4074" s="53">
        <v>-1.5041446527330943E-2</v>
      </c>
      <c r="G4074" s="90">
        <v>4066</v>
      </c>
      <c r="H4074" s="90">
        <f t="shared" ca="1" si="127"/>
        <v>5.1583568246001597E-2</v>
      </c>
    </row>
    <row r="4075" spans="2:8" x14ac:dyDescent="0.3">
      <c r="B4075" s="58">
        <f>'DATA HISTORICAL'!$B4720</f>
        <v>39903</v>
      </c>
      <c r="C4075" s="60">
        <f>'DATA HISTORICAL'!$C4720</f>
        <v>551.35</v>
      </c>
      <c r="D4075" s="53">
        <f t="shared" si="126"/>
        <v>3.7701961354832857E-2</v>
      </c>
      <c r="E4075" s="53">
        <v>-1.5046415871070371E-2</v>
      </c>
      <c r="G4075" s="90">
        <v>4067</v>
      </c>
      <c r="H4075" s="90">
        <f t="shared" ca="1" si="127"/>
        <v>3.8074354765696629E-2</v>
      </c>
    </row>
    <row r="4076" spans="2:8" x14ac:dyDescent="0.3">
      <c r="B4076" s="58">
        <f>'DATA HISTORICAL'!$B4721</f>
        <v>39902</v>
      </c>
      <c r="C4076" s="60">
        <f>'DATA HISTORICAL'!$C4721</f>
        <v>530.95000000000005</v>
      </c>
      <c r="D4076" s="53">
        <f t="shared" si="126"/>
        <v>3.3014226090540026E-3</v>
      </c>
      <c r="E4076" s="53">
        <v>-1.5058943300922259E-2</v>
      </c>
      <c r="G4076" s="90">
        <v>4068</v>
      </c>
      <c r="H4076" s="90">
        <f t="shared" ca="1" si="127"/>
        <v>4.6527326549906621E-3</v>
      </c>
    </row>
    <row r="4077" spans="2:8" x14ac:dyDescent="0.3">
      <c r="B4077" s="58">
        <f>'DATA HISTORICAL'!$B4722</f>
        <v>39899</v>
      </c>
      <c r="C4077" s="60">
        <f>'DATA HISTORICAL'!$C4722</f>
        <v>529.20000000000005</v>
      </c>
      <c r="D4077" s="53">
        <f t="shared" si="126"/>
        <v>1.763377913455887E-2</v>
      </c>
      <c r="E4077" s="53">
        <v>-1.5069468968505712E-2</v>
      </c>
      <c r="G4077" s="90">
        <v>4069</v>
      </c>
      <c r="H4077" s="90">
        <f t="shared" ca="1" si="127"/>
        <v>-5.1981603578282057E-3</v>
      </c>
    </row>
    <row r="4078" spans="2:8" x14ac:dyDescent="0.3">
      <c r="B4078" s="58">
        <f>'DATA HISTORICAL'!$B4723</f>
        <v>39898</v>
      </c>
      <c r="C4078" s="60">
        <f>'DATA HISTORICAL'!$C4723</f>
        <v>519.95000000000005</v>
      </c>
      <c r="D4078" s="53">
        <f t="shared" si="126"/>
        <v>1.3944256153751963E-2</v>
      </c>
      <c r="E4078" s="53">
        <v>-1.5077790794863025E-2</v>
      </c>
      <c r="G4078" s="90">
        <v>4070</v>
      </c>
      <c r="H4078" s="90">
        <f t="shared" ca="1" si="127"/>
        <v>1.2121869306431218E-2</v>
      </c>
    </row>
    <row r="4079" spans="2:8" x14ac:dyDescent="0.3">
      <c r="B4079" s="58">
        <f>'DATA HISTORICAL'!$B4724</f>
        <v>39897</v>
      </c>
      <c r="C4079" s="60">
        <f>'DATA HISTORICAL'!$C4724</f>
        <v>512.75</v>
      </c>
      <c r="D4079" s="53">
        <f t="shared" si="126"/>
        <v>5.852516749179778E-4</v>
      </c>
      <c r="E4079" s="53">
        <v>-1.5099116762488842E-2</v>
      </c>
      <c r="G4079" s="90">
        <v>4071</v>
      </c>
      <c r="H4079" s="90">
        <f t="shared" ca="1" si="127"/>
        <v>-2.5258126817688164E-3</v>
      </c>
    </row>
    <row r="4080" spans="2:8" x14ac:dyDescent="0.3">
      <c r="B4080" s="58">
        <f>'DATA HISTORICAL'!$B4725</f>
        <v>39896</v>
      </c>
      <c r="C4080" s="60">
        <f>'DATA HISTORICAL'!$C4725</f>
        <v>512.45000000000005</v>
      </c>
      <c r="D4080" s="53">
        <f t="shared" si="126"/>
        <v>5.0865804673372603E-3</v>
      </c>
      <c r="E4080" s="53">
        <v>-1.515905149845719E-2</v>
      </c>
      <c r="G4080" s="90">
        <v>4072</v>
      </c>
      <c r="H4080" s="90">
        <f t="shared" ca="1" si="127"/>
        <v>-3.2706441913233882E-3</v>
      </c>
    </row>
    <row r="4081" spans="2:8" x14ac:dyDescent="0.3">
      <c r="B4081" s="58">
        <f>'DATA HISTORICAL'!$B4726</f>
        <v>39895</v>
      </c>
      <c r="C4081" s="60">
        <f>'DATA HISTORICAL'!$C4726</f>
        <v>509.85</v>
      </c>
      <c r="D4081" s="53">
        <f t="shared" si="126"/>
        <v>7.7879379714372518E-2</v>
      </c>
      <c r="E4081" s="53">
        <v>-1.516660312226707E-2</v>
      </c>
      <c r="G4081" s="90">
        <v>4073</v>
      </c>
      <c r="H4081" s="90">
        <f t="shared" ca="1" si="127"/>
        <v>6.7259779088135298E-3</v>
      </c>
    </row>
    <row r="4082" spans="2:8" x14ac:dyDescent="0.3">
      <c r="B4082" s="58">
        <f>'DATA HISTORICAL'!$B4727</f>
        <v>39892</v>
      </c>
      <c r="C4082" s="60">
        <f>'DATA HISTORICAL'!$C4727</f>
        <v>471.65</v>
      </c>
      <c r="D4082" s="53">
        <f t="shared" si="126"/>
        <v>-3.0695975412403306E-3</v>
      </c>
      <c r="E4082" s="53">
        <v>-1.51725694229396E-2</v>
      </c>
      <c r="G4082" s="90">
        <v>4074</v>
      </c>
      <c r="H4082" s="90">
        <f t="shared" ca="1" si="127"/>
        <v>1.71943461777085E-2</v>
      </c>
    </row>
    <row r="4083" spans="2:8" x14ac:dyDescent="0.3">
      <c r="B4083" s="58">
        <f>'DATA HISTORICAL'!$B4728</f>
        <v>39891</v>
      </c>
      <c r="C4083" s="60">
        <f>'DATA HISTORICAL'!$C4728</f>
        <v>473.1</v>
      </c>
      <c r="D4083" s="53">
        <f t="shared" si="126"/>
        <v>1.8883582404287346E-2</v>
      </c>
      <c r="E4083" s="53">
        <v>-1.518720779352805E-2</v>
      </c>
      <c r="G4083" s="90">
        <v>4075</v>
      </c>
      <c r="H4083" s="90">
        <f t="shared" ca="1" si="127"/>
        <v>5.2731418890310426E-3</v>
      </c>
    </row>
    <row r="4084" spans="2:8" x14ac:dyDescent="0.3">
      <c r="B4084" s="58">
        <f>'DATA HISTORICAL'!$B4729</f>
        <v>39890</v>
      </c>
      <c r="C4084" s="60">
        <f>'DATA HISTORICAL'!$C4729</f>
        <v>464.25</v>
      </c>
      <c r="D4084" s="53">
        <f t="shared" si="126"/>
        <v>-3.0024002403606805E-2</v>
      </c>
      <c r="E4084" s="53">
        <v>-1.5196681987599985E-2</v>
      </c>
      <c r="G4084" s="90">
        <v>4076</v>
      </c>
      <c r="H4084" s="90">
        <f t="shared" ca="1" si="127"/>
        <v>-9.1152592047728243E-3</v>
      </c>
    </row>
    <row r="4085" spans="2:8" x14ac:dyDescent="0.3">
      <c r="B4085" s="58">
        <f>'DATA HISTORICAL'!$B4730</f>
        <v>39889</v>
      </c>
      <c r="C4085" s="60">
        <f>'DATA HISTORICAL'!$C4730</f>
        <v>478.4</v>
      </c>
      <c r="D4085" s="53">
        <f t="shared" si="126"/>
        <v>-8.5337181426187216E-3</v>
      </c>
      <c r="E4085" s="53">
        <v>-1.5226368269748696E-2</v>
      </c>
      <c r="G4085" s="90">
        <v>4077</v>
      </c>
      <c r="H4085" s="90">
        <f t="shared" ca="1" si="127"/>
        <v>5.9592009483612771E-3</v>
      </c>
    </row>
    <row r="4086" spans="2:8" x14ac:dyDescent="0.3">
      <c r="B4086" s="58">
        <f>'DATA HISTORICAL'!$B4731</f>
        <v>39888</v>
      </c>
      <c r="C4086" s="60">
        <f>'DATA HISTORICAL'!$C4731</f>
        <v>482.5</v>
      </c>
      <c r="D4086" s="53">
        <f t="shared" si="126"/>
        <v>2.4122826762622972E-2</v>
      </c>
      <c r="E4086" s="53">
        <v>-1.5247317562649859E-2</v>
      </c>
      <c r="G4086" s="90">
        <v>4078</v>
      </c>
      <c r="H4086" s="90">
        <f t="shared" ca="1" si="127"/>
        <v>3.1447412440769582E-2</v>
      </c>
    </row>
    <row r="4087" spans="2:8" x14ac:dyDescent="0.3">
      <c r="B4087" s="58">
        <f>'DATA HISTORICAL'!$B4732</f>
        <v>39885</v>
      </c>
      <c r="C4087" s="60">
        <f>'DATA HISTORICAL'!$C4732</f>
        <v>471</v>
      </c>
      <c r="D4087" s="53">
        <f t="shared" si="126"/>
        <v>3.5440182597974858E-2</v>
      </c>
      <c r="E4087" s="53">
        <v>-1.5264737415907585E-2</v>
      </c>
      <c r="G4087" s="90">
        <v>4079</v>
      </c>
      <c r="H4087" s="90">
        <f t="shared" ca="1" si="127"/>
        <v>-5.9695176906256866E-3</v>
      </c>
    </row>
    <row r="4088" spans="2:8" x14ac:dyDescent="0.3">
      <c r="B4088" s="58">
        <f>'DATA HISTORICAL'!$B4733</f>
        <v>39884</v>
      </c>
      <c r="C4088" s="60">
        <f>'DATA HISTORICAL'!$C4733</f>
        <v>454.6</v>
      </c>
      <c r="D4088" s="53">
        <f t="shared" si="126"/>
        <v>-2.8088383463012897E-2</v>
      </c>
      <c r="E4088" s="53">
        <v>-1.5266909107510994E-2</v>
      </c>
      <c r="G4088" s="90">
        <v>4080</v>
      </c>
      <c r="H4088" s="90">
        <f t="shared" ca="1" si="127"/>
        <v>1.1471836917801514E-2</v>
      </c>
    </row>
    <row r="4089" spans="2:8" x14ac:dyDescent="0.3">
      <c r="B4089" s="58">
        <f>'DATA HISTORICAL'!$B4734</f>
        <v>39881</v>
      </c>
      <c r="C4089" s="60">
        <f>'DATA HISTORICAL'!$C4734</f>
        <v>467.55</v>
      </c>
      <c r="D4089" s="53">
        <f t="shared" si="126"/>
        <v>-6.2089261717191646E-2</v>
      </c>
      <c r="E4089" s="53">
        <v>-1.526986216244448E-2</v>
      </c>
      <c r="G4089" s="90">
        <v>4081</v>
      </c>
      <c r="H4089" s="90">
        <f t="shared" ca="1" si="127"/>
        <v>1.758767485993637E-2</v>
      </c>
    </row>
    <row r="4090" spans="2:8" x14ac:dyDescent="0.3">
      <c r="B4090" s="58">
        <f>'DATA HISTORICAL'!$B4735</f>
        <v>39878</v>
      </c>
      <c r="C4090" s="60">
        <f>'DATA HISTORICAL'!$C4735</f>
        <v>497.5</v>
      </c>
      <c r="D4090" s="53">
        <f t="shared" si="126"/>
        <v>4.1240842693917736E-2</v>
      </c>
      <c r="E4090" s="53">
        <v>-1.5270508772424774E-2</v>
      </c>
      <c r="G4090" s="90">
        <v>4082</v>
      </c>
      <c r="H4090" s="90">
        <f t="shared" ca="1" si="127"/>
        <v>-1.360720784315839E-2</v>
      </c>
    </row>
    <row r="4091" spans="2:8" x14ac:dyDescent="0.3">
      <c r="B4091" s="58">
        <f>'DATA HISTORICAL'!$B4736</f>
        <v>39877</v>
      </c>
      <c r="C4091" s="60">
        <f>'DATA HISTORICAL'!$C4736</f>
        <v>477.4</v>
      </c>
      <c r="D4091" s="53">
        <f t="shared" si="126"/>
        <v>4.4085302847659564E-3</v>
      </c>
      <c r="E4091" s="53">
        <v>-1.5275514303944531E-2</v>
      </c>
      <c r="G4091" s="90">
        <v>4083</v>
      </c>
      <c r="H4091" s="90">
        <f t="shared" ca="1" si="127"/>
        <v>-1.277722592359264E-2</v>
      </c>
    </row>
    <row r="4092" spans="2:8" x14ac:dyDescent="0.3">
      <c r="B4092" s="58">
        <f>'DATA HISTORICAL'!$B4737</f>
        <v>39876</v>
      </c>
      <c r="C4092" s="60">
        <f>'DATA HISTORICAL'!$C4737</f>
        <v>475.3</v>
      </c>
      <c r="D4092" s="53">
        <f t="shared" si="126"/>
        <v>3.7186175770967195E-2</v>
      </c>
      <c r="E4092" s="53">
        <v>-1.5306421282675545E-2</v>
      </c>
      <c r="G4092" s="90">
        <v>4084</v>
      </c>
      <c r="H4092" s="90">
        <f t="shared" ca="1" si="127"/>
        <v>-2.2163171256666343E-2</v>
      </c>
    </row>
    <row r="4093" spans="2:8" x14ac:dyDescent="0.3">
      <c r="B4093" s="58">
        <f>'DATA HISTORICAL'!$B4738</f>
        <v>39875</v>
      </c>
      <c r="C4093" s="60">
        <f>'DATA HISTORICAL'!$C4738</f>
        <v>457.95</v>
      </c>
      <c r="D4093" s="53">
        <f t="shared" si="126"/>
        <v>1.2967214665621066E-2</v>
      </c>
      <c r="E4093" s="53">
        <v>-1.5321454694433388E-2</v>
      </c>
      <c r="G4093" s="90">
        <v>4085</v>
      </c>
      <c r="H4093" s="90">
        <f t="shared" ca="1" si="127"/>
        <v>-2.0343052835197677E-3</v>
      </c>
    </row>
    <row r="4094" spans="2:8" x14ac:dyDescent="0.3">
      <c r="B4094" s="58">
        <f>'DATA HISTORICAL'!$B4739</f>
        <v>39874</v>
      </c>
      <c r="C4094" s="60">
        <f>'DATA HISTORICAL'!$C4739</f>
        <v>452.05</v>
      </c>
      <c r="D4094" s="53">
        <f t="shared" si="126"/>
        <v>-3.9152644846709397E-2</v>
      </c>
      <c r="E4094" s="53">
        <v>-1.5345871592305329E-2</v>
      </c>
      <c r="G4094" s="90">
        <v>4086</v>
      </c>
      <c r="H4094" s="90">
        <f t="shared" ca="1" si="127"/>
        <v>-2.4426776457017619E-2</v>
      </c>
    </row>
    <row r="4095" spans="2:8" x14ac:dyDescent="0.3">
      <c r="B4095" s="58">
        <f>'DATA HISTORICAL'!$B4740</f>
        <v>39871</v>
      </c>
      <c r="C4095" s="60">
        <f>'DATA HISTORICAL'!$C4740</f>
        <v>470.1</v>
      </c>
      <c r="D4095" s="53">
        <f t="shared" si="126"/>
        <v>-1.2472416201335124E-2</v>
      </c>
      <c r="E4095" s="53">
        <v>-1.5346589184510678E-2</v>
      </c>
      <c r="G4095" s="90">
        <v>4087</v>
      </c>
      <c r="H4095" s="90">
        <f t="shared" ca="1" si="127"/>
        <v>-3.7842793952655987E-3</v>
      </c>
    </row>
    <row r="4096" spans="2:8" x14ac:dyDescent="0.3">
      <c r="B4096" s="58">
        <f>'DATA HISTORICAL'!$B4741</f>
        <v>39870</v>
      </c>
      <c r="C4096" s="60">
        <f>'DATA HISTORICAL'!$C4741</f>
        <v>476</v>
      </c>
      <c r="D4096" s="53">
        <f t="shared" si="126"/>
        <v>7.7166944685750555E-2</v>
      </c>
      <c r="E4096" s="53">
        <v>-1.5354930708984421E-2</v>
      </c>
      <c r="G4096" s="90">
        <v>4088</v>
      </c>
      <c r="H4096" s="90">
        <f t="shared" ca="1" si="127"/>
        <v>1.1460939486773319E-2</v>
      </c>
    </row>
    <row r="4097" spans="2:8" x14ac:dyDescent="0.3">
      <c r="B4097" s="58">
        <f>'DATA HISTORICAL'!$B4742</f>
        <v>39869</v>
      </c>
      <c r="C4097" s="60">
        <f>'DATA HISTORICAL'!$C4742</f>
        <v>440.65</v>
      </c>
      <c r="D4097" s="53">
        <f t="shared" si="126"/>
        <v>3.8163743291925803E-2</v>
      </c>
      <c r="E4097" s="53">
        <v>-1.5379915607980405E-2</v>
      </c>
      <c r="G4097" s="90">
        <v>4089</v>
      </c>
      <c r="H4097" s="90">
        <f t="shared" ca="1" si="127"/>
        <v>4.1435684525053175E-2</v>
      </c>
    </row>
    <row r="4098" spans="2:8" x14ac:dyDescent="0.3">
      <c r="B4098" s="58">
        <f>'DATA HISTORICAL'!$B4743</f>
        <v>39868</v>
      </c>
      <c r="C4098" s="60">
        <f>'DATA HISTORICAL'!$C4743</f>
        <v>424.15</v>
      </c>
      <c r="D4098" s="53">
        <f t="shared" si="126"/>
        <v>1.7120855720749274E-2</v>
      </c>
      <c r="E4098" s="53">
        <v>-1.5380266025790091E-2</v>
      </c>
      <c r="G4098" s="90">
        <v>4090</v>
      </c>
      <c r="H4098" s="90">
        <f t="shared" ca="1" si="127"/>
        <v>-8.6673620335263463E-3</v>
      </c>
    </row>
    <row r="4099" spans="2:8" x14ac:dyDescent="0.3">
      <c r="B4099" s="58">
        <f>'DATA HISTORICAL'!$B4744</f>
        <v>39864</v>
      </c>
      <c r="C4099" s="60">
        <f>'DATA HISTORICAL'!$C4744</f>
        <v>416.95</v>
      </c>
      <c r="D4099" s="53">
        <f t="shared" si="126"/>
        <v>-5.2625405508720212E-3</v>
      </c>
      <c r="E4099" s="53">
        <v>-1.5399238222913078E-2</v>
      </c>
      <c r="G4099" s="90">
        <v>4091</v>
      </c>
      <c r="H4099" s="90">
        <f t="shared" ca="1" si="127"/>
        <v>3.9318933521034459E-3</v>
      </c>
    </row>
    <row r="4100" spans="2:8" x14ac:dyDescent="0.3">
      <c r="B4100" s="58">
        <f>'DATA HISTORICAL'!$B4745</f>
        <v>39863</v>
      </c>
      <c r="C4100" s="60">
        <f>'DATA HISTORICAL'!$C4745</f>
        <v>419.15</v>
      </c>
      <c r="D4100" s="53">
        <f t="shared" si="126"/>
        <v>-2.5019373270337136E-3</v>
      </c>
      <c r="E4100" s="53">
        <v>-1.5421412384647275E-2</v>
      </c>
      <c r="G4100" s="90">
        <v>4092</v>
      </c>
      <c r="H4100" s="90">
        <f t="shared" ca="1" si="127"/>
        <v>1.763970472505556E-2</v>
      </c>
    </row>
    <row r="4101" spans="2:8" x14ac:dyDescent="0.3">
      <c r="B4101" s="58">
        <f>'DATA HISTORICAL'!$B4746</f>
        <v>39862</v>
      </c>
      <c r="C4101" s="60">
        <f>'DATA HISTORICAL'!$C4746</f>
        <v>420.2</v>
      </c>
      <c r="D4101" s="53">
        <f t="shared" si="126"/>
        <v>2.493954931186022E-2</v>
      </c>
      <c r="E4101" s="53">
        <v>-1.5438971798725939E-2</v>
      </c>
      <c r="G4101" s="90">
        <v>4093</v>
      </c>
      <c r="H4101" s="90">
        <f t="shared" ca="1" si="127"/>
        <v>2.3089400180874146E-3</v>
      </c>
    </row>
    <row r="4102" spans="2:8" x14ac:dyDescent="0.3">
      <c r="B4102" s="58">
        <f>'DATA HISTORICAL'!$B4747</f>
        <v>39861</v>
      </c>
      <c r="C4102" s="60">
        <f>'DATA HISTORICAL'!$C4747</f>
        <v>409.85</v>
      </c>
      <c r="D4102" s="53">
        <f t="shared" si="126"/>
        <v>-3.0043115074466022E-2</v>
      </c>
      <c r="E4102" s="53">
        <v>-1.5464651996395962E-2</v>
      </c>
      <c r="G4102" s="90">
        <v>4094</v>
      </c>
      <c r="H4102" s="90">
        <f t="shared" ca="1" si="127"/>
        <v>1.3257190615217063E-2</v>
      </c>
    </row>
    <row r="4103" spans="2:8" x14ac:dyDescent="0.3">
      <c r="B4103" s="58">
        <f>'DATA HISTORICAL'!$B4748</f>
        <v>39860</v>
      </c>
      <c r="C4103" s="60">
        <f>'DATA HISTORICAL'!$C4748</f>
        <v>422.35</v>
      </c>
      <c r="D4103" s="53">
        <f t="shared" si="126"/>
        <v>3.9143635770305238E-3</v>
      </c>
      <c r="E4103" s="53">
        <v>-1.5473424544851256E-2</v>
      </c>
      <c r="G4103" s="90">
        <v>4095</v>
      </c>
      <c r="H4103" s="90">
        <f t="shared" ca="1" si="127"/>
        <v>1.0231960141277009E-2</v>
      </c>
    </row>
    <row r="4104" spans="2:8" x14ac:dyDescent="0.3">
      <c r="B4104" s="58">
        <f>'DATA HISTORICAL'!$B4749</f>
        <v>39857</v>
      </c>
      <c r="C4104" s="60">
        <f>'DATA HISTORICAL'!$C4749</f>
        <v>420.7</v>
      </c>
      <c r="D4104" s="53">
        <f t="shared" si="126"/>
        <v>2.0775289387082608E-2</v>
      </c>
      <c r="E4104" s="53">
        <v>-1.5481244410682285E-2</v>
      </c>
      <c r="G4104" s="90">
        <v>4096</v>
      </c>
      <c r="H4104" s="90">
        <f t="shared" ca="1" si="127"/>
        <v>-1.246524252254497E-2</v>
      </c>
    </row>
    <row r="4105" spans="2:8" x14ac:dyDescent="0.3">
      <c r="B4105" s="58">
        <f>'DATA HISTORICAL'!$B4750</f>
        <v>39856</v>
      </c>
      <c r="C4105" s="60">
        <f>'DATA HISTORICAL'!$C4750</f>
        <v>412.05</v>
      </c>
      <c r="D4105" s="53">
        <f t="shared" ref="D4105:D4168" si="128">LN(C4105/C4106)</f>
        <v>-2.0537562059206895E-2</v>
      </c>
      <c r="E4105" s="53">
        <v>-1.5502103760208417E-2</v>
      </c>
      <c r="G4105" s="90">
        <v>4097</v>
      </c>
      <c r="H4105" s="90">
        <f t="shared" ref="H4105:H4168" ca="1" si="129">_xlfn.NORM.INV(RAND(),N$10,N$11)</f>
        <v>-1.6006399883363324E-2</v>
      </c>
    </row>
    <row r="4106" spans="2:8" x14ac:dyDescent="0.3">
      <c r="B4106" s="58">
        <f>'DATA HISTORICAL'!$B4751</f>
        <v>39855</v>
      </c>
      <c r="C4106" s="60">
        <f>'DATA HISTORICAL'!$C4751</f>
        <v>420.6</v>
      </c>
      <c r="D4106" s="53">
        <f t="shared" si="128"/>
        <v>4.0500353156102927E-3</v>
      </c>
      <c r="E4106" s="53">
        <v>-1.5507335069013559E-2</v>
      </c>
      <c r="G4106" s="90">
        <v>4098</v>
      </c>
      <c r="H4106" s="90">
        <f t="shared" ca="1" si="129"/>
        <v>6.6025167031931419E-3</v>
      </c>
    </row>
    <row r="4107" spans="2:8" x14ac:dyDescent="0.3">
      <c r="B4107" s="58">
        <f>'DATA HISTORICAL'!$B4752</f>
        <v>39854</v>
      </c>
      <c r="C4107" s="60">
        <f>'DATA HISTORICAL'!$C4752</f>
        <v>418.9</v>
      </c>
      <c r="D4107" s="53">
        <f t="shared" si="128"/>
        <v>1.4063576944474906E-2</v>
      </c>
      <c r="E4107" s="53">
        <v>-1.5523010394399572E-2</v>
      </c>
      <c r="G4107" s="90">
        <v>4099</v>
      </c>
      <c r="H4107" s="90">
        <f t="shared" ca="1" si="129"/>
        <v>-8.1776194862802076E-3</v>
      </c>
    </row>
    <row r="4108" spans="2:8" x14ac:dyDescent="0.3">
      <c r="B4108" s="58">
        <f>'DATA HISTORICAL'!$B4753</f>
        <v>39853</v>
      </c>
      <c r="C4108" s="60">
        <f>'DATA HISTORICAL'!$C4753</f>
        <v>413.05</v>
      </c>
      <c r="D4108" s="53">
        <f t="shared" si="128"/>
        <v>-7.2367943379246019E-3</v>
      </c>
      <c r="E4108" s="53">
        <v>-1.5542676620171291E-2</v>
      </c>
      <c r="G4108" s="90">
        <v>4100</v>
      </c>
      <c r="H4108" s="90">
        <f t="shared" ca="1" si="129"/>
        <v>-1.4473041511140726E-2</v>
      </c>
    </row>
    <row r="4109" spans="2:8" x14ac:dyDescent="0.3">
      <c r="B4109" s="58">
        <f>'DATA HISTORICAL'!$B4754</f>
        <v>39850</v>
      </c>
      <c r="C4109" s="60">
        <f>'DATA HISTORICAL'!$C4754</f>
        <v>416.05</v>
      </c>
      <c r="D4109" s="53">
        <f t="shared" si="128"/>
        <v>9.5394070016671054E-3</v>
      </c>
      <c r="E4109" s="53">
        <v>-1.5561081000812205E-2</v>
      </c>
      <c r="G4109" s="90">
        <v>4101</v>
      </c>
      <c r="H4109" s="90">
        <f t="shared" ca="1" si="129"/>
        <v>-9.0859060063832944E-3</v>
      </c>
    </row>
    <row r="4110" spans="2:8" x14ac:dyDescent="0.3">
      <c r="B4110" s="58">
        <f>'DATA HISTORICAL'!$B4755</f>
        <v>39849</v>
      </c>
      <c r="C4110" s="60">
        <f>'DATA HISTORICAL'!$C4755</f>
        <v>412.1</v>
      </c>
      <c r="D4110" s="53">
        <f t="shared" si="128"/>
        <v>-1.6971758225812592E-3</v>
      </c>
      <c r="E4110" s="53">
        <v>-1.5641792418297169E-2</v>
      </c>
      <c r="G4110" s="90">
        <v>4102</v>
      </c>
      <c r="H4110" s="90">
        <f t="shared" ca="1" si="129"/>
        <v>2.6872528024683102E-2</v>
      </c>
    </row>
    <row r="4111" spans="2:8" x14ac:dyDescent="0.3">
      <c r="B4111" s="58">
        <f>'DATA HISTORICAL'!$B4756</f>
        <v>39848</v>
      </c>
      <c r="C4111" s="60">
        <f>'DATA HISTORICAL'!$C4756</f>
        <v>412.8</v>
      </c>
      <c r="D4111" s="53">
        <f t="shared" si="128"/>
        <v>-3.6330608937299065E-4</v>
      </c>
      <c r="E4111" s="53">
        <v>-1.5711743047168002E-2</v>
      </c>
      <c r="G4111" s="90">
        <v>4103</v>
      </c>
      <c r="H4111" s="90">
        <f t="shared" ca="1" si="129"/>
        <v>3.5817193529948367E-2</v>
      </c>
    </row>
    <row r="4112" spans="2:8" x14ac:dyDescent="0.3">
      <c r="B4112" s="58">
        <f>'DATA HISTORICAL'!$B4757</f>
        <v>39847</v>
      </c>
      <c r="C4112" s="60">
        <f>'DATA HISTORICAL'!$C4757</f>
        <v>412.95</v>
      </c>
      <c r="D4112" s="53">
        <f t="shared" si="128"/>
        <v>6.1162058860296291E-2</v>
      </c>
      <c r="E4112" s="53">
        <v>-1.5732152311858757E-2</v>
      </c>
      <c r="G4112" s="90">
        <v>4104</v>
      </c>
      <c r="H4112" s="90">
        <f t="shared" ca="1" si="129"/>
        <v>-2.1222417013672442E-2</v>
      </c>
    </row>
    <row r="4113" spans="2:8" x14ac:dyDescent="0.3">
      <c r="B4113" s="58">
        <f>'DATA HISTORICAL'!$B4758</f>
        <v>39846</v>
      </c>
      <c r="C4113" s="60">
        <f>'DATA HISTORICAL'!$C4758</f>
        <v>388.45</v>
      </c>
      <c r="D4113" s="53">
        <f t="shared" si="128"/>
        <v>-1.9123479259991749E-2</v>
      </c>
      <c r="E4113" s="53">
        <v>-1.576507610503074E-2</v>
      </c>
      <c r="G4113" s="90">
        <v>4105</v>
      </c>
      <c r="H4113" s="90">
        <f t="shared" ca="1" si="129"/>
        <v>2.3823583481440262E-2</v>
      </c>
    </row>
    <row r="4114" spans="2:8" x14ac:dyDescent="0.3">
      <c r="B4114" s="58">
        <f>'DATA HISTORICAL'!$B4759</f>
        <v>39843</v>
      </c>
      <c r="C4114" s="60">
        <f>'DATA HISTORICAL'!$C4759</f>
        <v>395.95</v>
      </c>
      <c r="D4114" s="53">
        <f t="shared" si="128"/>
        <v>-4.7472391195257382E-2</v>
      </c>
      <c r="E4114" s="53">
        <v>-1.5769180829508508E-2</v>
      </c>
      <c r="G4114" s="90">
        <v>4106</v>
      </c>
      <c r="H4114" s="90">
        <f t="shared" ca="1" si="129"/>
        <v>3.922650293466343E-3</v>
      </c>
    </row>
    <row r="4115" spans="2:8" x14ac:dyDescent="0.3">
      <c r="B4115" s="58">
        <f>'DATA HISTORICAL'!$B4760</f>
        <v>39842</v>
      </c>
      <c r="C4115" s="60">
        <f>'DATA HISTORICAL'!$C4760</f>
        <v>415.2</v>
      </c>
      <c r="D4115" s="53">
        <f t="shared" si="128"/>
        <v>7.3729710924423661E-3</v>
      </c>
      <c r="E4115" s="53">
        <v>-1.5789507030075652E-2</v>
      </c>
      <c r="G4115" s="90">
        <v>4107</v>
      </c>
      <c r="H4115" s="90">
        <f t="shared" ca="1" si="129"/>
        <v>-9.1295685604364657E-3</v>
      </c>
    </row>
    <row r="4116" spans="2:8" x14ac:dyDescent="0.3">
      <c r="B4116" s="58">
        <f>'DATA HISTORICAL'!$B4761</f>
        <v>39841</v>
      </c>
      <c r="C4116" s="60">
        <f>'DATA HISTORICAL'!$C4761</f>
        <v>412.15</v>
      </c>
      <c r="D4116" s="53">
        <f t="shared" si="128"/>
        <v>5.2679800773870737E-2</v>
      </c>
      <c r="E4116" s="53">
        <v>-1.5829587982184968E-2</v>
      </c>
      <c r="G4116" s="90">
        <v>4108</v>
      </c>
      <c r="H4116" s="90">
        <f t="shared" ca="1" si="129"/>
        <v>1.4550898045781278E-3</v>
      </c>
    </row>
    <row r="4117" spans="2:8" x14ac:dyDescent="0.3">
      <c r="B4117" s="58">
        <f>'DATA HISTORICAL'!$B4762</f>
        <v>39840</v>
      </c>
      <c r="C4117" s="60">
        <f>'DATA HISTORICAL'!$C4762</f>
        <v>391</v>
      </c>
      <c r="D4117" s="53">
        <f t="shared" si="128"/>
        <v>-1.2201473183099601E-2</v>
      </c>
      <c r="E4117" s="53">
        <v>-1.5831656401694167E-2</v>
      </c>
      <c r="G4117" s="90">
        <v>4109</v>
      </c>
      <c r="H4117" s="90">
        <f t="shared" ca="1" si="129"/>
        <v>-6.0419681594916031E-3</v>
      </c>
    </row>
    <row r="4118" spans="2:8" x14ac:dyDescent="0.3">
      <c r="B4118" s="58">
        <f>'DATA HISTORICAL'!$B4763</f>
        <v>39836</v>
      </c>
      <c r="C4118" s="60">
        <f>'DATA HISTORICAL'!$C4763</f>
        <v>395.8</v>
      </c>
      <c r="D4118" s="53">
        <f t="shared" si="128"/>
        <v>1.758679200676375E-2</v>
      </c>
      <c r="E4118" s="53">
        <v>-1.5833111631078131E-2</v>
      </c>
      <c r="G4118" s="90">
        <v>4110</v>
      </c>
      <c r="H4118" s="90">
        <f t="shared" ca="1" si="129"/>
        <v>4.6033658011373785E-3</v>
      </c>
    </row>
    <row r="4119" spans="2:8" x14ac:dyDescent="0.3">
      <c r="B4119" s="58">
        <f>'DATA HISTORICAL'!$B4764</f>
        <v>39835</v>
      </c>
      <c r="C4119" s="60">
        <f>'DATA HISTORICAL'!$C4764</f>
        <v>388.9</v>
      </c>
      <c r="D4119" s="53">
        <f t="shared" si="128"/>
        <v>-2.0549711829619633E-3</v>
      </c>
      <c r="E4119" s="53">
        <v>-1.5845947458999223E-2</v>
      </c>
      <c r="G4119" s="90">
        <v>4111</v>
      </c>
      <c r="H4119" s="90">
        <f t="shared" ca="1" si="129"/>
        <v>1.440970218878249E-2</v>
      </c>
    </row>
    <row r="4120" spans="2:8" x14ac:dyDescent="0.3">
      <c r="B4120" s="58">
        <f>'DATA HISTORICAL'!$B4765</f>
        <v>39834</v>
      </c>
      <c r="C4120" s="60">
        <f>'DATA HISTORICAL'!$C4765</f>
        <v>389.7</v>
      </c>
      <c r="D4120" s="53">
        <f t="shared" si="128"/>
        <v>1.9264116918803963E-3</v>
      </c>
      <c r="E4120" s="53">
        <v>-1.5849366865174765E-2</v>
      </c>
      <c r="G4120" s="90">
        <v>4112</v>
      </c>
      <c r="H4120" s="90">
        <f t="shared" ca="1" si="129"/>
        <v>1.7643260471951607E-2</v>
      </c>
    </row>
    <row r="4121" spans="2:8" x14ac:dyDescent="0.3">
      <c r="B4121" s="58">
        <f>'DATA HISTORICAL'!$B4766</f>
        <v>39833</v>
      </c>
      <c r="C4121" s="60">
        <f>'DATA HISTORICAL'!$C4766</f>
        <v>388.95</v>
      </c>
      <c r="D4121" s="53">
        <f t="shared" si="128"/>
        <v>2.1439137264331498E-2</v>
      </c>
      <c r="E4121" s="53">
        <v>-1.5874505059284425E-2</v>
      </c>
      <c r="G4121" s="90">
        <v>4113</v>
      </c>
      <c r="H4121" s="90">
        <f t="shared" ca="1" si="129"/>
        <v>-8.7963223426639724E-3</v>
      </c>
    </row>
    <row r="4122" spans="2:8" x14ac:dyDescent="0.3">
      <c r="B4122" s="58">
        <f>'DATA HISTORICAL'!$B4767</f>
        <v>39832</v>
      </c>
      <c r="C4122" s="60">
        <f>'DATA HISTORICAL'!$C4767</f>
        <v>380.7</v>
      </c>
      <c r="D4122" s="53">
        <f t="shared" si="128"/>
        <v>2.6753442285722854E-2</v>
      </c>
      <c r="E4122" s="53">
        <v>-1.5899106366876654E-2</v>
      </c>
      <c r="G4122" s="90">
        <v>4114</v>
      </c>
      <c r="H4122" s="90">
        <f t="shared" ca="1" si="129"/>
        <v>-1.963712166133174E-2</v>
      </c>
    </row>
    <row r="4123" spans="2:8" x14ac:dyDescent="0.3">
      <c r="B4123" s="58">
        <f>'DATA HISTORICAL'!$B4768</f>
        <v>39829</v>
      </c>
      <c r="C4123" s="60">
        <f>'DATA HISTORICAL'!$C4768</f>
        <v>370.65</v>
      </c>
      <c r="D4123" s="53">
        <f t="shared" si="128"/>
        <v>3.2493090918087671E-2</v>
      </c>
      <c r="E4123" s="53">
        <v>-1.5953859543530371E-2</v>
      </c>
      <c r="G4123" s="90">
        <v>4115</v>
      </c>
      <c r="H4123" s="90">
        <f t="shared" ca="1" si="129"/>
        <v>2.5287203946747678E-2</v>
      </c>
    </row>
    <row r="4124" spans="2:8" x14ac:dyDescent="0.3">
      <c r="B4124" s="58">
        <f>'DATA HISTORICAL'!$B4769</f>
        <v>39828</v>
      </c>
      <c r="C4124" s="60">
        <f>'DATA HISTORICAL'!$C4769</f>
        <v>358.8</v>
      </c>
      <c r="D4124" s="53">
        <f t="shared" si="128"/>
        <v>-2.0881193638620458E-3</v>
      </c>
      <c r="E4124" s="53">
        <v>-1.5957144335667521E-2</v>
      </c>
      <c r="G4124" s="90">
        <v>4116</v>
      </c>
      <c r="H4124" s="90">
        <f t="shared" ca="1" si="129"/>
        <v>-2.1398190650772683E-2</v>
      </c>
    </row>
    <row r="4125" spans="2:8" x14ac:dyDescent="0.3">
      <c r="B4125" s="58">
        <f>'DATA HISTORICAL'!$B4770</f>
        <v>39827</v>
      </c>
      <c r="C4125" s="60">
        <f>'DATA HISTORICAL'!$C4770</f>
        <v>359.55</v>
      </c>
      <c r="D4125" s="53">
        <f t="shared" si="128"/>
        <v>-1.5454978517615601E-2</v>
      </c>
      <c r="E4125" s="53">
        <v>-1.5959016696476508E-2</v>
      </c>
      <c r="G4125" s="90">
        <v>4117</v>
      </c>
      <c r="H4125" s="90">
        <f t="shared" ca="1" si="129"/>
        <v>-2.9727385208369182E-2</v>
      </c>
    </row>
    <row r="4126" spans="2:8" x14ac:dyDescent="0.3">
      <c r="B4126" s="58">
        <f>'DATA HISTORICAL'!$B4771</f>
        <v>39826</v>
      </c>
      <c r="C4126" s="60">
        <f>'DATA HISTORICAL'!$C4771</f>
        <v>365.15</v>
      </c>
      <c r="D4126" s="53">
        <f t="shared" si="128"/>
        <v>-3.8151033717965174E-2</v>
      </c>
      <c r="E4126" s="53">
        <v>-1.5966138479763914E-2</v>
      </c>
      <c r="G4126" s="90">
        <v>4118</v>
      </c>
      <c r="H4126" s="90">
        <f t="shared" ca="1" si="129"/>
        <v>2.0418249733831551E-2</v>
      </c>
    </row>
    <row r="4127" spans="2:8" x14ac:dyDescent="0.3">
      <c r="B4127" s="58">
        <f>'DATA HISTORICAL'!$B4772</f>
        <v>39825</v>
      </c>
      <c r="C4127" s="60">
        <f>'DATA HISTORICAL'!$C4772</f>
        <v>379.35</v>
      </c>
      <c r="D4127" s="53">
        <f t="shared" si="128"/>
        <v>-4.4847097622434537E-2</v>
      </c>
      <c r="E4127" s="53">
        <v>-1.5975516007024997E-2</v>
      </c>
      <c r="G4127" s="90">
        <v>4119</v>
      </c>
      <c r="H4127" s="90">
        <f t="shared" ca="1" si="129"/>
        <v>3.7195041690399593E-4</v>
      </c>
    </row>
    <row r="4128" spans="2:8" x14ac:dyDescent="0.3">
      <c r="B4128" s="58">
        <f>'DATA HISTORICAL'!$B4773</f>
        <v>39822</v>
      </c>
      <c r="C4128" s="60">
        <f>'DATA HISTORICAL'!$C4773</f>
        <v>396.75</v>
      </c>
      <c r="D4128" s="53">
        <f t="shared" si="128"/>
        <v>-3.1386313820670607E-2</v>
      </c>
      <c r="E4128" s="53">
        <v>-1.5993303737612409E-2</v>
      </c>
      <c r="G4128" s="90">
        <v>4120</v>
      </c>
      <c r="H4128" s="90">
        <f t="shared" ca="1" si="129"/>
        <v>7.533709829309997E-3</v>
      </c>
    </row>
    <row r="4129" spans="2:8" x14ac:dyDescent="0.3">
      <c r="B4129" s="58">
        <f>'DATA HISTORICAL'!$B4774</f>
        <v>39820</v>
      </c>
      <c r="C4129" s="60">
        <f>'DATA HISTORICAL'!$C4774</f>
        <v>409.4</v>
      </c>
      <c r="D4129" s="53">
        <f t="shared" si="128"/>
        <v>-4.7230337529354266E-2</v>
      </c>
      <c r="E4129" s="53">
        <v>-1.5996126618303564E-2</v>
      </c>
      <c r="G4129" s="90">
        <v>4121</v>
      </c>
      <c r="H4129" s="90">
        <f t="shared" ca="1" si="129"/>
        <v>-8.1314969284118806E-4</v>
      </c>
    </row>
    <row r="4130" spans="2:8" x14ac:dyDescent="0.3">
      <c r="B4130" s="58">
        <f>'DATA HISTORICAL'!$B4775</f>
        <v>39819</v>
      </c>
      <c r="C4130" s="60">
        <f>'DATA HISTORICAL'!$C4775</f>
        <v>429.2</v>
      </c>
      <c r="D4130" s="53">
        <f t="shared" si="128"/>
        <v>0.10906936277621682</v>
      </c>
      <c r="E4130" s="53">
        <v>-1.5997680496038637E-2</v>
      </c>
      <c r="G4130" s="90">
        <v>4122</v>
      </c>
      <c r="H4130" s="90">
        <f t="shared" ca="1" si="129"/>
        <v>6.4447184072188614E-3</v>
      </c>
    </row>
    <row r="4131" spans="2:8" x14ac:dyDescent="0.3">
      <c r="B4131" s="58">
        <f>'DATA HISTORICAL'!$B4776</f>
        <v>39818</v>
      </c>
      <c r="C4131" s="60">
        <f>'DATA HISTORICAL'!$C4776</f>
        <v>384.85</v>
      </c>
      <c r="D4131" s="53">
        <f t="shared" si="128"/>
        <v>-3.7606216919091103E-3</v>
      </c>
      <c r="E4131" s="53">
        <v>-1.5997703570455591E-2</v>
      </c>
      <c r="G4131" s="90">
        <v>4123</v>
      </c>
      <c r="H4131" s="90">
        <f t="shared" ca="1" si="129"/>
        <v>-3.1717372883250453E-2</v>
      </c>
    </row>
    <row r="4132" spans="2:8" x14ac:dyDescent="0.3">
      <c r="B4132" s="58">
        <f>'DATA HISTORICAL'!$B4777</f>
        <v>39815</v>
      </c>
      <c r="C4132" s="60">
        <f>'DATA HISTORICAL'!$C4777</f>
        <v>386.3</v>
      </c>
      <c r="D4132" s="53">
        <f t="shared" si="128"/>
        <v>-2.3536517535472968E-2</v>
      </c>
      <c r="E4132" s="53">
        <v>-1.5999983345212097E-2</v>
      </c>
      <c r="G4132" s="90">
        <v>4124</v>
      </c>
      <c r="H4132" s="90">
        <f t="shared" ca="1" si="129"/>
        <v>1.8310269133815289E-2</v>
      </c>
    </row>
    <row r="4133" spans="2:8" x14ac:dyDescent="0.3">
      <c r="B4133" s="58">
        <f>'DATA HISTORICAL'!$B4778</f>
        <v>39814</v>
      </c>
      <c r="C4133" s="60">
        <f>'DATA HISTORICAL'!$C4778</f>
        <v>395.5</v>
      </c>
      <c r="D4133" s="53">
        <f t="shared" si="128"/>
        <v>2.5609594204324293E-2</v>
      </c>
      <c r="E4133" s="53">
        <v>-1.6022234921772328E-2</v>
      </c>
      <c r="G4133" s="90">
        <v>4125</v>
      </c>
      <c r="H4133" s="90">
        <f t="shared" ca="1" si="129"/>
        <v>3.0262149016528104E-2</v>
      </c>
    </row>
    <row r="4134" spans="2:8" x14ac:dyDescent="0.3">
      <c r="B4134" s="58">
        <f>'DATA HISTORICAL'!$B4779</f>
        <v>39813</v>
      </c>
      <c r="C4134" s="60">
        <f>'DATA HISTORICAL'!$C4779</f>
        <v>385.5</v>
      </c>
      <c r="D4134" s="53">
        <f t="shared" si="128"/>
        <v>5.7232206168746835E-3</v>
      </c>
      <c r="E4134" s="53">
        <v>-1.6031289379934158E-2</v>
      </c>
      <c r="G4134" s="90">
        <v>4126</v>
      </c>
      <c r="H4134" s="90">
        <f t="shared" ca="1" si="129"/>
        <v>-2.0523679304144227E-2</v>
      </c>
    </row>
    <row r="4135" spans="2:8" x14ac:dyDescent="0.3">
      <c r="B4135" s="58">
        <f>'DATA HISTORICAL'!$B4780</f>
        <v>39812</v>
      </c>
      <c r="C4135" s="60">
        <f>'DATA HISTORICAL'!$C4780</f>
        <v>383.3</v>
      </c>
      <c r="D4135" s="53">
        <f t="shared" si="128"/>
        <v>2.5230847681613319E-2</v>
      </c>
      <c r="E4135" s="53">
        <v>-1.6034217022712433E-2</v>
      </c>
      <c r="G4135" s="90">
        <v>4127</v>
      </c>
      <c r="H4135" s="90">
        <f t="shared" ca="1" si="129"/>
        <v>1.1845343081918223E-2</v>
      </c>
    </row>
    <row r="4136" spans="2:8" x14ac:dyDescent="0.3">
      <c r="B4136" s="58">
        <f>'DATA HISTORICAL'!$B4781</f>
        <v>39811</v>
      </c>
      <c r="C4136" s="60">
        <f>'DATA HISTORICAL'!$C4781</f>
        <v>373.75</v>
      </c>
      <c r="D4136" s="53">
        <f t="shared" si="128"/>
        <v>3.5263336516427587E-2</v>
      </c>
      <c r="E4136" s="53">
        <v>-1.6041459075851028E-2</v>
      </c>
      <c r="G4136" s="90">
        <v>4128</v>
      </c>
      <c r="H4136" s="90">
        <f t="shared" ca="1" si="129"/>
        <v>9.1905286091339255E-3</v>
      </c>
    </row>
    <row r="4137" spans="2:8" x14ac:dyDescent="0.3">
      <c r="B4137" s="58">
        <f>'DATA HISTORICAL'!$B4782</f>
        <v>39808</v>
      </c>
      <c r="C4137" s="60">
        <f>'DATA HISTORICAL'!$C4782</f>
        <v>360.8</v>
      </c>
      <c r="D4137" s="53">
        <f t="shared" si="128"/>
        <v>7.0927214801873688E-3</v>
      </c>
      <c r="E4137" s="53">
        <v>-1.6078123539430923E-2</v>
      </c>
      <c r="G4137" s="90">
        <v>4129</v>
      </c>
      <c r="H4137" s="90">
        <f t="shared" ca="1" si="129"/>
        <v>-2.5383038888727961E-3</v>
      </c>
    </row>
    <row r="4138" spans="2:8" x14ac:dyDescent="0.3">
      <c r="B4138" s="58">
        <f>'DATA HISTORICAL'!$B4783</f>
        <v>39806</v>
      </c>
      <c r="C4138" s="60">
        <f>'DATA HISTORICAL'!$C4783</f>
        <v>358.25</v>
      </c>
      <c r="D4138" s="53">
        <f t="shared" si="128"/>
        <v>-5.5811359059995702E-4</v>
      </c>
      <c r="E4138" s="53">
        <v>-1.6127478525740362E-2</v>
      </c>
      <c r="G4138" s="90">
        <v>4130</v>
      </c>
      <c r="H4138" s="90">
        <f t="shared" ca="1" si="129"/>
        <v>2.1400445044551512E-2</v>
      </c>
    </row>
    <row r="4139" spans="2:8" x14ac:dyDescent="0.3">
      <c r="B4139" s="58">
        <f>'DATA HISTORICAL'!$B4784</f>
        <v>39805</v>
      </c>
      <c r="C4139" s="60">
        <f>'DATA HISTORICAL'!$C4784</f>
        <v>358.45</v>
      </c>
      <c r="D4139" s="53">
        <f t="shared" si="128"/>
        <v>-3.6201654685959509E-3</v>
      </c>
      <c r="E4139" s="53">
        <v>-1.6142801103552235E-2</v>
      </c>
      <c r="G4139" s="90">
        <v>4131</v>
      </c>
      <c r="H4139" s="90">
        <f t="shared" ca="1" si="129"/>
        <v>2.3412011453547592E-2</v>
      </c>
    </row>
    <row r="4140" spans="2:8" x14ac:dyDescent="0.3">
      <c r="B4140" s="58">
        <f>'DATA HISTORICAL'!$B4785</f>
        <v>39804</v>
      </c>
      <c r="C4140" s="60">
        <f>'DATA HISTORICAL'!$C4785</f>
        <v>359.75</v>
      </c>
      <c r="D4140" s="53">
        <f t="shared" si="128"/>
        <v>-1.1112655678946466E-3</v>
      </c>
      <c r="E4140" s="53">
        <v>-1.6144280604322981E-2</v>
      </c>
      <c r="G4140" s="90">
        <v>4132</v>
      </c>
      <c r="H4140" s="90">
        <f t="shared" ca="1" si="129"/>
        <v>6.7825751782867125E-3</v>
      </c>
    </row>
    <row r="4141" spans="2:8" x14ac:dyDescent="0.3">
      <c r="B4141" s="58">
        <f>'DATA HISTORICAL'!$B4786</f>
        <v>39801</v>
      </c>
      <c r="C4141" s="60">
        <f>'DATA HISTORICAL'!$C4786</f>
        <v>360.15</v>
      </c>
      <c r="D4141" s="53">
        <f t="shared" si="128"/>
        <v>3.4768131818103416E-3</v>
      </c>
      <c r="E4141" s="53">
        <v>-1.6157103217099081E-2</v>
      </c>
      <c r="G4141" s="90">
        <v>4133</v>
      </c>
      <c r="H4141" s="90">
        <f t="shared" ca="1" si="129"/>
        <v>-1.3113282870135343E-2</v>
      </c>
    </row>
    <row r="4142" spans="2:8" x14ac:dyDescent="0.3">
      <c r="B4142" s="58">
        <f>'DATA HISTORICAL'!$B4787</f>
        <v>39800</v>
      </c>
      <c r="C4142" s="60">
        <f>'DATA HISTORICAL'!$C4787</f>
        <v>358.9</v>
      </c>
      <c r="D4142" s="53">
        <f t="shared" si="128"/>
        <v>-2.3271273912725012E-2</v>
      </c>
      <c r="E4142" s="53">
        <v>-1.615811762928079E-2</v>
      </c>
      <c r="G4142" s="90">
        <v>4134</v>
      </c>
      <c r="H4142" s="90">
        <f t="shared" ca="1" si="129"/>
        <v>-1.1575947515957884E-2</v>
      </c>
    </row>
    <row r="4143" spans="2:8" x14ac:dyDescent="0.3">
      <c r="B4143" s="58">
        <f>'DATA HISTORICAL'!$B4788</f>
        <v>39799</v>
      </c>
      <c r="C4143" s="60">
        <f>'DATA HISTORICAL'!$C4788</f>
        <v>367.35</v>
      </c>
      <c r="D4143" s="53">
        <f t="shared" si="128"/>
        <v>-6.9176267721217282E-3</v>
      </c>
      <c r="E4143" s="53">
        <v>-1.6159502631889151E-2</v>
      </c>
      <c r="G4143" s="90">
        <v>4135</v>
      </c>
      <c r="H4143" s="90">
        <f t="shared" ca="1" si="129"/>
        <v>2.158143059305519E-2</v>
      </c>
    </row>
    <row r="4144" spans="2:8" x14ac:dyDescent="0.3">
      <c r="B4144" s="58">
        <f>'DATA HISTORICAL'!$B4789</f>
        <v>39798</v>
      </c>
      <c r="C4144" s="60">
        <f>'DATA HISTORICAL'!$C4789</f>
        <v>369.9</v>
      </c>
      <c r="D4144" s="53">
        <f t="shared" si="128"/>
        <v>6.2755845031403759E-2</v>
      </c>
      <c r="E4144" s="53">
        <v>-1.6195210484139928E-2</v>
      </c>
      <c r="G4144" s="90">
        <v>4136</v>
      </c>
      <c r="H4144" s="90">
        <f t="shared" ca="1" si="129"/>
        <v>-4.8721833929672088E-2</v>
      </c>
    </row>
    <row r="4145" spans="2:8" x14ac:dyDescent="0.3">
      <c r="B4145" s="58">
        <f>'DATA HISTORICAL'!$B4790</f>
        <v>39797</v>
      </c>
      <c r="C4145" s="60">
        <f>'DATA HISTORICAL'!$C4790</f>
        <v>347.4</v>
      </c>
      <c r="D4145" s="53">
        <f t="shared" si="128"/>
        <v>2.1384188185356756E-2</v>
      </c>
      <c r="E4145" s="53">
        <v>-1.6199111990420671E-2</v>
      </c>
      <c r="G4145" s="90">
        <v>4137</v>
      </c>
      <c r="H4145" s="90">
        <f t="shared" ca="1" si="129"/>
        <v>3.025618087810928E-2</v>
      </c>
    </row>
    <row r="4146" spans="2:8" x14ac:dyDescent="0.3">
      <c r="B4146" s="58">
        <f>'DATA HISTORICAL'!$B4791</f>
        <v>39794</v>
      </c>
      <c r="C4146" s="60">
        <f>'DATA HISTORICAL'!$C4791</f>
        <v>340.05</v>
      </c>
      <c r="D4146" s="53">
        <f t="shared" si="128"/>
        <v>-3.2295976397848356E-3</v>
      </c>
      <c r="E4146" s="53">
        <v>-1.6249816854822585E-2</v>
      </c>
      <c r="G4146" s="90">
        <v>4138</v>
      </c>
      <c r="H4146" s="90">
        <f t="shared" ca="1" si="129"/>
        <v>1.5989163422285759E-3</v>
      </c>
    </row>
    <row r="4147" spans="2:8" x14ac:dyDescent="0.3">
      <c r="B4147" s="58">
        <f>'DATA HISTORICAL'!$B4792</f>
        <v>39793</v>
      </c>
      <c r="C4147" s="60">
        <f>'DATA HISTORICAL'!$C4792</f>
        <v>341.15</v>
      </c>
      <c r="D4147" s="53">
        <f t="shared" si="128"/>
        <v>3.8089885683159554E-2</v>
      </c>
      <c r="E4147" s="53">
        <v>-1.6318664110758704E-2</v>
      </c>
      <c r="G4147" s="90">
        <v>4139</v>
      </c>
      <c r="H4147" s="90">
        <f t="shared" ca="1" si="129"/>
        <v>2.6940847455043004E-2</v>
      </c>
    </row>
    <row r="4148" spans="2:8" x14ac:dyDescent="0.3">
      <c r="B4148" s="58">
        <f>'DATA HISTORICAL'!$B4793</f>
        <v>39792</v>
      </c>
      <c r="C4148" s="60">
        <f>'DATA HISTORICAL'!$C4793</f>
        <v>328.4</v>
      </c>
      <c r="D4148" s="53">
        <f t="shared" si="128"/>
        <v>9.3287257742232316E-2</v>
      </c>
      <c r="E4148" s="53">
        <v>-1.6341484547160164E-2</v>
      </c>
      <c r="G4148" s="90">
        <v>4140</v>
      </c>
      <c r="H4148" s="90">
        <f t="shared" ca="1" si="129"/>
        <v>-4.8150093894938021E-4</v>
      </c>
    </row>
    <row r="4149" spans="2:8" x14ac:dyDescent="0.3">
      <c r="B4149" s="58">
        <f>'DATA HISTORICAL'!$B4794</f>
        <v>39790</v>
      </c>
      <c r="C4149" s="60">
        <f>'DATA HISTORICAL'!$C4794</f>
        <v>299.14999999999998</v>
      </c>
      <c r="D4149" s="53">
        <f t="shared" si="128"/>
        <v>3.1236625513591222E-2</v>
      </c>
      <c r="E4149" s="53">
        <v>-1.6361297049989482E-2</v>
      </c>
      <c r="G4149" s="90">
        <v>4141</v>
      </c>
      <c r="H4149" s="90">
        <f t="shared" ca="1" si="129"/>
        <v>-2.2272839528794167E-2</v>
      </c>
    </row>
    <row r="4150" spans="2:8" x14ac:dyDescent="0.3">
      <c r="B4150" s="58">
        <f>'DATA HISTORICAL'!$B4795</f>
        <v>39787</v>
      </c>
      <c r="C4150" s="60">
        <f>'DATA HISTORICAL'!$C4795</f>
        <v>289.95</v>
      </c>
      <c r="D4150" s="53">
        <f t="shared" si="128"/>
        <v>3.4918891153199932E-2</v>
      </c>
      <c r="E4150" s="53">
        <v>-1.6378752794412733E-2</v>
      </c>
      <c r="G4150" s="90">
        <v>4142</v>
      </c>
      <c r="H4150" s="90">
        <f t="shared" ca="1" si="129"/>
        <v>-4.7446912737483887E-2</v>
      </c>
    </row>
    <row r="4151" spans="2:8" x14ac:dyDescent="0.3">
      <c r="B4151" s="58">
        <f>'DATA HISTORICAL'!$B4796</f>
        <v>39786</v>
      </c>
      <c r="C4151" s="60">
        <f>'DATA HISTORICAL'!$C4796</f>
        <v>280</v>
      </c>
      <c r="D4151" s="53">
        <f t="shared" si="128"/>
        <v>1.2578782206860185E-2</v>
      </c>
      <c r="E4151" s="53">
        <v>-1.6410046340289891E-2</v>
      </c>
      <c r="G4151" s="90">
        <v>4143</v>
      </c>
      <c r="H4151" s="90">
        <f t="shared" ca="1" si="129"/>
        <v>2.7124043839944573E-2</v>
      </c>
    </row>
    <row r="4152" spans="2:8" x14ac:dyDescent="0.3">
      <c r="B4152" s="58">
        <f>'DATA HISTORICAL'!$B4797</f>
        <v>39785</v>
      </c>
      <c r="C4152" s="60">
        <f>'DATA HISTORICAL'!$C4797</f>
        <v>276.5</v>
      </c>
      <c r="D4152" s="53">
        <f t="shared" si="128"/>
        <v>4.3991569281534096E-2</v>
      </c>
      <c r="E4152" s="53">
        <v>-1.6422783273619793E-2</v>
      </c>
      <c r="G4152" s="90">
        <v>4144</v>
      </c>
      <c r="H4152" s="90">
        <f t="shared" ca="1" si="129"/>
        <v>3.1556561540754348E-2</v>
      </c>
    </row>
    <row r="4153" spans="2:8" x14ac:dyDescent="0.3">
      <c r="B4153" s="58">
        <f>'DATA HISTORICAL'!$B4798</f>
        <v>39784</v>
      </c>
      <c r="C4153" s="60">
        <f>'DATA HISTORICAL'!$C4798</f>
        <v>264.60000000000002</v>
      </c>
      <c r="D4153" s="53">
        <f t="shared" si="128"/>
        <v>-2.1867986636580527E-2</v>
      </c>
      <c r="E4153" s="53">
        <v>-1.6430890144030055E-2</v>
      </c>
      <c r="G4153" s="90">
        <v>4145</v>
      </c>
      <c r="H4153" s="90">
        <f t="shared" ca="1" si="129"/>
        <v>-1.4413963472289366E-2</v>
      </c>
    </row>
    <row r="4154" spans="2:8" x14ac:dyDescent="0.3">
      <c r="B4154" s="58">
        <f>'DATA HISTORICAL'!$B4799</f>
        <v>39783</v>
      </c>
      <c r="C4154" s="60">
        <f>'DATA HISTORICAL'!$C4799</f>
        <v>270.45</v>
      </c>
      <c r="D4154" s="53">
        <f t="shared" si="128"/>
        <v>5.375858715596764E-3</v>
      </c>
      <c r="E4154" s="53">
        <v>-1.6432153842895331E-2</v>
      </c>
      <c r="G4154" s="90">
        <v>4146</v>
      </c>
      <c r="H4154" s="90">
        <f t="shared" ca="1" si="129"/>
        <v>-2.4875461325057201E-2</v>
      </c>
    </row>
    <row r="4155" spans="2:8" x14ac:dyDescent="0.3">
      <c r="B4155" s="58">
        <f>'DATA HISTORICAL'!$B4800</f>
        <v>39780</v>
      </c>
      <c r="C4155" s="60">
        <f>'DATA HISTORICAL'!$C4800</f>
        <v>269</v>
      </c>
      <c r="D4155" s="53">
        <f t="shared" si="128"/>
        <v>-4.0792254301067449E-2</v>
      </c>
      <c r="E4155" s="53">
        <v>-1.6433250374499012E-2</v>
      </c>
      <c r="G4155" s="90">
        <v>4147</v>
      </c>
      <c r="H4155" s="90">
        <f t="shared" ca="1" si="129"/>
        <v>-2.3927398872059203E-3</v>
      </c>
    </row>
    <row r="4156" spans="2:8" x14ac:dyDescent="0.3">
      <c r="B4156" s="58">
        <f>'DATA HISTORICAL'!$B4801</f>
        <v>39778</v>
      </c>
      <c r="C4156" s="60">
        <f>'DATA HISTORICAL'!$C4801</f>
        <v>280.2</v>
      </c>
      <c r="D4156" s="53">
        <f t="shared" si="128"/>
        <v>7.9061747145414821E-2</v>
      </c>
      <c r="E4156" s="53">
        <v>-1.6438008017449178E-2</v>
      </c>
      <c r="G4156" s="90">
        <v>4148</v>
      </c>
      <c r="H4156" s="90">
        <f t="shared" ca="1" si="129"/>
        <v>-1.5316608538824489E-3</v>
      </c>
    </row>
    <row r="4157" spans="2:8" x14ac:dyDescent="0.3">
      <c r="B4157" s="58">
        <f>'DATA HISTORICAL'!$B4802</f>
        <v>39777</v>
      </c>
      <c r="C4157" s="60">
        <f>'DATA HISTORICAL'!$C4802</f>
        <v>258.89999999999998</v>
      </c>
      <c r="D4157" s="53">
        <f t="shared" si="128"/>
        <v>-2.498461227218857E-2</v>
      </c>
      <c r="E4157" s="53">
        <v>-1.6461582217117948E-2</v>
      </c>
      <c r="G4157" s="90">
        <v>4149</v>
      </c>
      <c r="H4157" s="90">
        <f t="shared" ca="1" si="129"/>
        <v>-1.6862022813806311E-2</v>
      </c>
    </row>
    <row r="4158" spans="2:8" x14ac:dyDescent="0.3">
      <c r="B4158" s="58">
        <f>'DATA HISTORICAL'!$B4803</f>
        <v>39776</v>
      </c>
      <c r="C4158" s="60">
        <f>'DATA HISTORICAL'!$C4803</f>
        <v>265.45</v>
      </c>
      <c r="D4158" s="53">
        <f t="shared" si="128"/>
        <v>-8.8281995292769047E-2</v>
      </c>
      <c r="E4158" s="53">
        <v>-1.6466397152763396E-2</v>
      </c>
      <c r="G4158" s="90">
        <v>4150</v>
      </c>
      <c r="H4158" s="90">
        <f t="shared" ca="1" si="129"/>
        <v>-1.3890834507735331E-2</v>
      </c>
    </row>
    <row r="4159" spans="2:8" x14ac:dyDescent="0.3">
      <c r="B4159" s="58">
        <f>'DATA HISTORICAL'!$B4804</f>
        <v>39773</v>
      </c>
      <c r="C4159" s="60">
        <f>'DATA HISTORICAL'!$C4804</f>
        <v>289.95</v>
      </c>
      <c r="D4159" s="53">
        <f t="shared" si="128"/>
        <v>-8.5083901241496368E-2</v>
      </c>
      <c r="E4159" s="53">
        <v>-1.6475815838789348E-2</v>
      </c>
      <c r="G4159" s="90">
        <v>4151</v>
      </c>
      <c r="H4159" s="90">
        <f t="shared" ca="1" si="129"/>
        <v>9.7013537809222204E-4</v>
      </c>
    </row>
    <row r="4160" spans="2:8" x14ac:dyDescent="0.3">
      <c r="B4160" s="58">
        <f>'DATA HISTORICAL'!$B4805</f>
        <v>39772</v>
      </c>
      <c r="C4160" s="60">
        <f>'DATA HISTORICAL'!$C4805</f>
        <v>315.7</v>
      </c>
      <c r="D4160" s="53">
        <f t="shared" si="128"/>
        <v>1.7252824109611289E-2</v>
      </c>
      <c r="E4160" s="53">
        <v>-1.6513598411863492E-2</v>
      </c>
      <c r="G4160" s="90">
        <v>4152</v>
      </c>
      <c r="H4160" s="90">
        <f t="shared" ca="1" si="129"/>
        <v>1.7556972998772489E-2</v>
      </c>
    </row>
    <row r="4161" spans="2:8" x14ac:dyDescent="0.3">
      <c r="B4161" s="58">
        <f>'DATA HISTORICAL'!$B4806</f>
        <v>39771</v>
      </c>
      <c r="C4161" s="60">
        <f>'DATA HISTORICAL'!$C4806</f>
        <v>310.3</v>
      </c>
      <c r="D4161" s="53">
        <f t="shared" si="128"/>
        <v>-4.3358253419390529E-2</v>
      </c>
      <c r="E4161" s="53">
        <v>-1.659372908035987E-2</v>
      </c>
      <c r="G4161" s="90">
        <v>4153</v>
      </c>
      <c r="H4161" s="90">
        <f t="shared" ca="1" si="129"/>
        <v>1.5871630009964333E-2</v>
      </c>
    </row>
    <row r="4162" spans="2:8" x14ac:dyDescent="0.3">
      <c r="B4162" s="58">
        <f>'DATA HISTORICAL'!$B4807</f>
        <v>39770</v>
      </c>
      <c r="C4162" s="60">
        <f>'DATA HISTORICAL'!$C4807</f>
        <v>324.05</v>
      </c>
      <c r="D4162" s="53">
        <f t="shared" si="128"/>
        <v>-5.9995564929825546E-3</v>
      </c>
      <c r="E4162" s="53">
        <v>-1.6602008317985778E-2</v>
      </c>
      <c r="G4162" s="90">
        <v>4154</v>
      </c>
      <c r="H4162" s="90">
        <f t="shared" ca="1" si="129"/>
        <v>-1.4220795987220737E-2</v>
      </c>
    </row>
    <row r="4163" spans="2:8" x14ac:dyDescent="0.3">
      <c r="B4163" s="58">
        <f>'DATA HISTORICAL'!$B4808</f>
        <v>39769</v>
      </c>
      <c r="C4163" s="60">
        <f>'DATA HISTORICAL'!$C4808</f>
        <v>326</v>
      </c>
      <c r="D4163" s="53">
        <f t="shared" si="128"/>
        <v>9.5547036024782126E-3</v>
      </c>
      <c r="E4163" s="53">
        <v>-1.6605547614775399E-2</v>
      </c>
      <c r="G4163" s="90">
        <v>4155</v>
      </c>
      <c r="H4163" s="90">
        <f t="shared" ca="1" si="129"/>
        <v>4.2646750107302412E-3</v>
      </c>
    </row>
    <row r="4164" spans="2:8" x14ac:dyDescent="0.3">
      <c r="B4164" s="58">
        <f>'DATA HISTORICAL'!$B4809</f>
        <v>39766</v>
      </c>
      <c r="C4164" s="60">
        <f>'DATA HISTORICAL'!$C4809</f>
        <v>322.89999999999998</v>
      </c>
      <c r="D4164" s="53">
        <f t="shared" si="128"/>
        <v>-6.4315904226477802E-2</v>
      </c>
      <c r="E4164" s="53">
        <v>-1.6623212871554306E-2</v>
      </c>
      <c r="G4164" s="90">
        <v>4156</v>
      </c>
      <c r="H4164" s="90">
        <f t="shared" ca="1" si="129"/>
        <v>3.0085031123316012E-2</v>
      </c>
    </row>
    <row r="4165" spans="2:8" x14ac:dyDescent="0.3">
      <c r="B4165" s="58">
        <f>'DATA HISTORICAL'!$B4810</f>
        <v>39764</v>
      </c>
      <c r="C4165" s="60">
        <f>'DATA HISTORICAL'!$C4810</f>
        <v>344.35</v>
      </c>
      <c r="D4165" s="53">
        <f t="shared" si="128"/>
        <v>-1.2409971676312312E-2</v>
      </c>
      <c r="E4165" s="53">
        <v>-1.6649649503892455E-2</v>
      </c>
      <c r="G4165" s="90">
        <v>4157</v>
      </c>
      <c r="H4165" s="90">
        <f t="shared" ca="1" si="129"/>
        <v>6.3932385704875347E-3</v>
      </c>
    </row>
    <row r="4166" spans="2:8" x14ac:dyDescent="0.3">
      <c r="B4166" s="58">
        <f>'DATA HISTORICAL'!$B4811</f>
        <v>39763</v>
      </c>
      <c r="C4166" s="60">
        <f>'DATA HISTORICAL'!$C4811</f>
        <v>348.65</v>
      </c>
      <c r="D4166" s="53">
        <f t="shared" si="128"/>
        <v>-4.2930804345069429E-3</v>
      </c>
      <c r="E4166" s="53">
        <v>-1.6651304223682516E-2</v>
      </c>
      <c r="G4166" s="90">
        <v>4158</v>
      </c>
      <c r="H4166" s="90">
        <f t="shared" ca="1" si="129"/>
        <v>-6.3244335336318904E-3</v>
      </c>
    </row>
    <row r="4167" spans="2:8" x14ac:dyDescent="0.3">
      <c r="B4167" s="58">
        <f>'DATA HISTORICAL'!$B4812</f>
        <v>39762</v>
      </c>
      <c r="C4167" s="60">
        <f>'DATA HISTORICAL'!$C4812</f>
        <v>350.15</v>
      </c>
      <c r="D4167" s="53">
        <f t="shared" si="128"/>
        <v>1.5719903201461335E-3</v>
      </c>
      <c r="E4167" s="53">
        <v>-1.6670614747319405E-2</v>
      </c>
      <c r="G4167" s="90">
        <v>4159</v>
      </c>
      <c r="H4167" s="90">
        <f t="shared" ca="1" si="129"/>
        <v>-7.0309888383317089E-3</v>
      </c>
    </row>
    <row r="4168" spans="2:8" x14ac:dyDescent="0.3">
      <c r="B4168" s="58">
        <f>'DATA HISTORICAL'!$B4813</f>
        <v>39759</v>
      </c>
      <c r="C4168" s="60">
        <f>'DATA HISTORICAL'!$C4813</f>
        <v>349.6</v>
      </c>
      <c r="D4168" s="53">
        <f t="shared" si="128"/>
        <v>1.1218296853801537E-2</v>
      </c>
      <c r="E4168" s="53">
        <v>-1.6677402416384678E-2</v>
      </c>
      <c r="G4168" s="90">
        <v>4160</v>
      </c>
      <c r="H4168" s="90">
        <f t="shared" ca="1" si="129"/>
        <v>-3.3640938760004036E-3</v>
      </c>
    </row>
    <row r="4169" spans="2:8" x14ac:dyDescent="0.3">
      <c r="B4169" s="58">
        <f>'DATA HISTORICAL'!$B4814</f>
        <v>39758</v>
      </c>
      <c r="C4169" s="60">
        <f>'DATA HISTORICAL'!$C4814</f>
        <v>345.7</v>
      </c>
      <c r="D4169" s="53">
        <f t="shared" ref="D4169:D4232" si="130">LN(C4169/C4170)</f>
        <v>-3.3564015206483548E-2</v>
      </c>
      <c r="E4169" s="53">
        <v>-1.6678241930679898E-2</v>
      </c>
      <c r="G4169" s="90">
        <v>4161</v>
      </c>
      <c r="H4169" s="90">
        <f t="shared" ref="H4169:H4232" ca="1" si="131">_xlfn.NORM.INV(RAND(),N$10,N$11)</f>
        <v>1.8537119382280434E-2</v>
      </c>
    </row>
    <row r="4170" spans="2:8" x14ac:dyDescent="0.3">
      <c r="B4170" s="58">
        <f>'DATA HISTORICAL'!$B4815</f>
        <v>39757</v>
      </c>
      <c r="C4170" s="60">
        <f>'DATA HISTORICAL'!$C4815</f>
        <v>357.5</v>
      </c>
      <c r="D4170" s="53">
        <f t="shared" si="130"/>
        <v>-4.3113074285237404E-2</v>
      </c>
      <c r="E4170" s="53">
        <v>-1.6744024556991213E-2</v>
      </c>
      <c r="G4170" s="90">
        <v>4162</v>
      </c>
      <c r="H4170" s="90">
        <f t="shared" ca="1" si="131"/>
        <v>9.0719479392910897E-3</v>
      </c>
    </row>
    <row r="4171" spans="2:8" x14ac:dyDescent="0.3">
      <c r="B4171" s="58">
        <f>'DATA HISTORICAL'!$B4816</f>
        <v>39756</v>
      </c>
      <c r="C4171" s="60">
        <f>'DATA HISTORICAL'!$C4816</f>
        <v>373.25</v>
      </c>
      <c r="D4171" s="53">
        <f t="shared" si="130"/>
        <v>4.8582550089772712E-2</v>
      </c>
      <c r="E4171" s="53">
        <v>-1.6759923739029507E-2</v>
      </c>
      <c r="G4171" s="90">
        <v>4163</v>
      </c>
      <c r="H4171" s="90">
        <f t="shared" ca="1" si="131"/>
        <v>-1.1686006031569326E-2</v>
      </c>
    </row>
    <row r="4172" spans="2:8" x14ac:dyDescent="0.3">
      <c r="B4172" s="58">
        <f>'DATA HISTORICAL'!$B4817</f>
        <v>39755</v>
      </c>
      <c r="C4172" s="60">
        <f>'DATA HISTORICAL'!$C4817</f>
        <v>355.55</v>
      </c>
      <c r="D4172" s="53">
        <f t="shared" si="130"/>
        <v>1.4072617014244187E-3</v>
      </c>
      <c r="E4172" s="53">
        <v>-1.6761919464424423E-2</v>
      </c>
      <c r="G4172" s="90">
        <v>4164</v>
      </c>
      <c r="H4172" s="90">
        <f t="shared" ca="1" si="131"/>
        <v>1.3827703857055545E-2</v>
      </c>
    </row>
    <row r="4173" spans="2:8" x14ac:dyDescent="0.3">
      <c r="B4173" s="58">
        <f>'DATA HISTORICAL'!$B4818</f>
        <v>39752</v>
      </c>
      <c r="C4173" s="60">
        <f>'DATA HISTORICAL'!$C4818</f>
        <v>355.05</v>
      </c>
      <c r="D4173" s="53">
        <f t="shared" si="130"/>
        <v>4.9360669081739666E-2</v>
      </c>
      <c r="E4173" s="53">
        <v>-1.6803316482104733E-2</v>
      </c>
      <c r="G4173" s="90">
        <v>4165</v>
      </c>
      <c r="H4173" s="90">
        <f t="shared" ca="1" si="131"/>
        <v>-5.2470570363058978E-3</v>
      </c>
    </row>
    <row r="4174" spans="2:8" x14ac:dyDescent="0.3">
      <c r="B4174" s="58">
        <f>'DATA HISTORICAL'!$B4819</f>
        <v>39750</v>
      </c>
      <c r="C4174" s="60">
        <f>'DATA HISTORICAL'!$C4819</f>
        <v>337.95</v>
      </c>
      <c r="D4174" s="53">
        <f t="shared" si="130"/>
        <v>-2.7866709458483779E-2</v>
      </c>
      <c r="E4174" s="53">
        <v>-1.6812159933126836E-2</v>
      </c>
      <c r="G4174" s="90">
        <v>4166</v>
      </c>
      <c r="H4174" s="90">
        <f t="shared" ca="1" si="131"/>
        <v>1.4023923393186474E-2</v>
      </c>
    </row>
    <row r="4175" spans="2:8" x14ac:dyDescent="0.3">
      <c r="B4175" s="58">
        <f>'DATA HISTORICAL'!$B4820</f>
        <v>39749</v>
      </c>
      <c r="C4175" s="60">
        <f>'DATA HISTORICAL'!$C4820</f>
        <v>347.5</v>
      </c>
      <c r="D4175" s="53">
        <f t="shared" si="130"/>
        <v>6.8325057525369298E-2</v>
      </c>
      <c r="E4175" s="53">
        <v>-1.6813202750067511E-2</v>
      </c>
      <c r="G4175" s="90">
        <v>4167</v>
      </c>
      <c r="H4175" s="90">
        <f t="shared" ca="1" si="131"/>
        <v>8.6666253697294787E-3</v>
      </c>
    </row>
    <row r="4176" spans="2:8" x14ac:dyDescent="0.3">
      <c r="B4176" s="58">
        <f>'DATA HISTORICAL'!$B4821</f>
        <v>39748</v>
      </c>
      <c r="C4176" s="60">
        <f>'DATA HISTORICAL'!$C4821</f>
        <v>324.55</v>
      </c>
      <c r="D4176" s="53">
        <f t="shared" si="130"/>
        <v>-2.6453351579340464E-2</v>
      </c>
      <c r="E4176" s="53">
        <v>-1.6819316057590475E-2</v>
      </c>
      <c r="G4176" s="90">
        <v>4168</v>
      </c>
      <c r="H4176" s="90">
        <f t="shared" ca="1" si="131"/>
        <v>1.9904189484856876E-2</v>
      </c>
    </row>
    <row r="4177" spans="2:8" x14ac:dyDescent="0.3">
      <c r="B4177" s="58">
        <f>'DATA HISTORICAL'!$B4822</f>
        <v>39745</v>
      </c>
      <c r="C4177" s="60">
        <f>'DATA HISTORICAL'!$C4822</f>
        <v>333.25</v>
      </c>
      <c r="D4177" s="53">
        <f t="shared" si="130"/>
        <v>-4.8611532133087734E-2</v>
      </c>
      <c r="E4177" s="53">
        <v>-1.6848510277563334E-2</v>
      </c>
      <c r="G4177" s="90">
        <v>4169</v>
      </c>
      <c r="H4177" s="90">
        <f t="shared" ca="1" si="131"/>
        <v>3.688152604105988E-3</v>
      </c>
    </row>
    <row r="4178" spans="2:8" x14ac:dyDescent="0.3">
      <c r="B4178" s="58">
        <f>'DATA HISTORICAL'!$B4823</f>
        <v>39744</v>
      </c>
      <c r="C4178" s="60">
        <f>'DATA HISTORICAL'!$C4823</f>
        <v>349.85</v>
      </c>
      <c r="D4178" s="53">
        <f t="shared" si="130"/>
        <v>-4.7052200588138275E-3</v>
      </c>
      <c r="E4178" s="53">
        <v>-1.6872997259142104E-2</v>
      </c>
      <c r="G4178" s="90">
        <v>4170</v>
      </c>
      <c r="H4178" s="90">
        <f t="shared" ca="1" si="131"/>
        <v>8.2965498460308221E-3</v>
      </c>
    </row>
    <row r="4179" spans="2:8" x14ac:dyDescent="0.3">
      <c r="B4179" s="58">
        <f>'DATA HISTORICAL'!$B4824</f>
        <v>39743</v>
      </c>
      <c r="C4179" s="60">
        <f>'DATA HISTORICAL'!$C4824</f>
        <v>351.5</v>
      </c>
      <c r="D4179" s="53">
        <f t="shared" si="130"/>
        <v>-6.1644936195204968E-2</v>
      </c>
      <c r="E4179" s="53">
        <v>-1.6898934373701203E-2</v>
      </c>
      <c r="G4179" s="90">
        <v>4171</v>
      </c>
      <c r="H4179" s="90">
        <f t="shared" ca="1" si="131"/>
        <v>2.1893502743286251E-2</v>
      </c>
    </row>
    <row r="4180" spans="2:8" x14ac:dyDescent="0.3">
      <c r="B4180" s="58">
        <f>'DATA HISTORICAL'!$B4825</f>
        <v>39742</v>
      </c>
      <c r="C4180" s="60">
        <f>'DATA HISTORICAL'!$C4825</f>
        <v>373.85</v>
      </c>
      <c r="D4180" s="53">
        <f t="shared" si="130"/>
        <v>2.2314807865929546E-2</v>
      </c>
      <c r="E4180" s="53">
        <v>-1.6903408232357565E-2</v>
      </c>
      <c r="G4180" s="90">
        <v>4172</v>
      </c>
      <c r="H4180" s="90">
        <f t="shared" ca="1" si="131"/>
        <v>1.484132497205564E-2</v>
      </c>
    </row>
    <row r="4181" spans="2:8" x14ac:dyDescent="0.3">
      <c r="B4181" s="58">
        <f>'DATA HISTORICAL'!$B4826</f>
        <v>39741</v>
      </c>
      <c r="C4181" s="60">
        <f>'DATA HISTORICAL'!$C4826</f>
        <v>365.6</v>
      </c>
      <c r="D4181" s="53">
        <f t="shared" si="130"/>
        <v>-2.2849638738418946E-2</v>
      </c>
      <c r="E4181" s="53">
        <v>-1.6909240379268317E-2</v>
      </c>
      <c r="G4181" s="90">
        <v>4173</v>
      </c>
      <c r="H4181" s="90">
        <f t="shared" ca="1" si="131"/>
        <v>4.6434030458517668E-3</v>
      </c>
    </row>
    <row r="4182" spans="2:8" x14ac:dyDescent="0.3">
      <c r="B4182" s="58">
        <f>'DATA HISTORICAL'!$B4827</f>
        <v>39738</v>
      </c>
      <c r="C4182" s="60">
        <f>'DATA HISTORICAL'!$C4827</f>
        <v>374.05</v>
      </c>
      <c r="D4182" s="53">
        <f t="shared" si="130"/>
        <v>-5.3609817835997442E-2</v>
      </c>
      <c r="E4182" s="53">
        <v>-1.6942099405365847E-2</v>
      </c>
      <c r="G4182" s="90">
        <v>4174</v>
      </c>
      <c r="H4182" s="90">
        <f t="shared" ca="1" si="131"/>
        <v>3.4741436137546624E-3</v>
      </c>
    </row>
    <row r="4183" spans="2:8" x14ac:dyDescent="0.3">
      <c r="B4183" s="58">
        <f>'DATA HISTORICAL'!$B4828</f>
        <v>39737</v>
      </c>
      <c r="C4183" s="60">
        <f>'DATA HISTORICAL'!$C4828</f>
        <v>394.65</v>
      </c>
      <c r="D4183" s="53">
        <f t="shared" si="130"/>
        <v>-7.6087875432678531E-2</v>
      </c>
      <c r="E4183" s="53">
        <v>-1.6960355304501174E-2</v>
      </c>
      <c r="G4183" s="90">
        <v>4175</v>
      </c>
      <c r="H4183" s="90">
        <f t="shared" ca="1" si="131"/>
        <v>-8.0727516726477721E-4</v>
      </c>
    </row>
    <row r="4184" spans="2:8" x14ac:dyDescent="0.3">
      <c r="B4184" s="58">
        <f>'DATA HISTORICAL'!$B4829</f>
        <v>39736</v>
      </c>
      <c r="C4184" s="60">
        <f>'DATA HISTORICAL'!$C4829</f>
        <v>425.85</v>
      </c>
      <c r="D4184" s="53">
        <f t="shared" si="130"/>
        <v>-3.9143940668502075E-2</v>
      </c>
      <c r="E4184" s="53">
        <v>-1.6986492236773249E-2</v>
      </c>
      <c r="G4184" s="90">
        <v>4176</v>
      </c>
      <c r="H4184" s="90">
        <f t="shared" ca="1" si="131"/>
        <v>2.4177559392732618E-3</v>
      </c>
    </row>
    <row r="4185" spans="2:8" x14ac:dyDescent="0.3">
      <c r="B4185" s="58">
        <f>'DATA HISTORICAL'!$B4830</f>
        <v>39735</v>
      </c>
      <c r="C4185" s="60">
        <f>'DATA HISTORICAL'!$C4830</f>
        <v>442.85</v>
      </c>
      <c r="D4185" s="53">
        <f t="shared" si="130"/>
        <v>-2.2992084245198594E-2</v>
      </c>
      <c r="E4185" s="53">
        <v>-1.6989277992148298E-2</v>
      </c>
      <c r="G4185" s="90">
        <v>4177</v>
      </c>
      <c r="H4185" s="90">
        <f t="shared" ca="1" si="131"/>
        <v>-4.5402838459877998E-2</v>
      </c>
    </row>
    <row r="4186" spans="2:8" x14ac:dyDescent="0.3">
      <c r="B4186" s="58">
        <f>'DATA HISTORICAL'!$B4831</f>
        <v>39734</v>
      </c>
      <c r="C4186" s="60">
        <f>'DATA HISTORICAL'!$C4831</f>
        <v>453.15</v>
      </c>
      <c r="D4186" s="53">
        <f t="shared" si="130"/>
        <v>1.2658396871923465E-2</v>
      </c>
      <c r="E4186" s="53">
        <v>-1.6994777173059729E-2</v>
      </c>
      <c r="G4186" s="90">
        <v>4178</v>
      </c>
      <c r="H4186" s="90">
        <f t="shared" ca="1" si="131"/>
        <v>1.4932059902598511E-2</v>
      </c>
    </row>
    <row r="4187" spans="2:8" x14ac:dyDescent="0.3">
      <c r="B4187" s="58">
        <f>'DATA HISTORICAL'!$B4832</f>
        <v>39731</v>
      </c>
      <c r="C4187" s="60">
        <f>'DATA HISTORICAL'!$C4832</f>
        <v>447.45</v>
      </c>
      <c r="D4187" s="53">
        <f t="shared" si="130"/>
        <v>-9.2777489986431982E-2</v>
      </c>
      <c r="E4187" s="53">
        <v>-1.7001675577628588E-2</v>
      </c>
      <c r="G4187" s="90">
        <v>4179</v>
      </c>
      <c r="H4187" s="90">
        <f t="shared" ca="1" si="131"/>
        <v>3.9824013936193472E-3</v>
      </c>
    </row>
    <row r="4188" spans="2:8" x14ac:dyDescent="0.3">
      <c r="B4188" s="58">
        <f>'DATA HISTORICAL'!$B4833</f>
        <v>39729</v>
      </c>
      <c r="C4188" s="60">
        <f>'DATA HISTORICAL'!$C4833</f>
        <v>490.95</v>
      </c>
      <c r="D4188" s="53">
        <f t="shared" si="130"/>
        <v>6.5007110386928857E-2</v>
      </c>
      <c r="E4188" s="53">
        <v>-1.7014534228406004E-2</v>
      </c>
      <c r="G4188" s="90">
        <v>4180</v>
      </c>
      <c r="H4188" s="90">
        <f t="shared" ca="1" si="131"/>
        <v>2.2769379190416827E-4</v>
      </c>
    </row>
    <row r="4189" spans="2:8" x14ac:dyDescent="0.3">
      <c r="B4189" s="58">
        <f>'DATA HISTORICAL'!$B4834</f>
        <v>39728</v>
      </c>
      <c r="C4189" s="60">
        <f>'DATA HISTORICAL'!$C4834</f>
        <v>460.05</v>
      </c>
      <c r="D4189" s="53">
        <f t="shared" si="130"/>
        <v>-3.3557326947888592E-2</v>
      </c>
      <c r="E4189" s="53">
        <v>-1.7017460285709964E-2</v>
      </c>
      <c r="G4189" s="90">
        <v>4181</v>
      </c>
      <c r="H4189" s="90">
        <f t="shared" ca="1" si="131"/>
        <v>3.8290142319713514E-3</v>
      </c>
    </row>
    <row r="4190" spans="2:8" x14ac:dyDescent="0.3">
      <c r="B4190" s="58">
        <f>'DATA HISTORICAL'!$B4835</f>
        <v>39727</v>
      </c>
      <c r="C4190" s="60">
        <f>'DATA HISTORICAL'!$C4835</f>
        <v>475.75</v>
      </c>
      <c r="D4190" s="53">
        <f t="shared" si="130"/>
        <v>-8.2376374485481241E-2</v>
      </c>
      <c r="E4190" s="53">
        <v>-1.7025604253518619E-2</v>
      </c>
      <c r="G4190" s="90">
        <v>4182</v>
      </c>
      <c r="H4190" s="90">
        <f t="shared" ca="1" si="131"/>
        <v>3.7474592916010331E-2</v>
      </c>
    </row>
    <row r="4191" spans="2:8" x14ac:dyDescent="0.3">
      <c r="B4191" s="58">
        <f>'DATA HISTORICAL'!$B4836</f>
        <v>39724</v>
      </c>
      <c r="C4191" s="60">
        <f>'DATA HISTORICAL'!$C4836</f>
        <v>516.6</v>
      </c>
      <c r="D4191" s="53">
        <f t="shared" si="130"/>
        <v>-8.0011994793411645E-3</v>
      </c>
      <c r="E4191" s="53">
        <v>-1.7040465849533486E-2</v>
      </c>
      <c r="G4191" s="90">
        <v>4183</v>
      </c>
      <c r="H4191" s="90">
        <f t="shared" ca="1" si="131"/>
        <v>1.8700146206743134E-2</v>
      </c>
    </row>
    <row r="4192" spans="2:8" x14ac:dyDescent="0.3">
      <c r="B4192" s="58">
        <f>'DATA HISTORICAL'!$B4837</f>
        <v>39722</v>
      </c>
      <c r="C4192" s="60">
        <f>'DATA HISTORICAL'!$C4837</f>
        <v>520.75</v>
      </c>
      <c r="D4192" s="53">
        <f t="shared" si="130"/>
        <v>-1.5245650219406373E-2</v>
      </c>
      <c r="E4192" s="53">
        <v>-1.7062544756815488E-2</v>
      </c>
      <c r="G4192" s="90">
        <v>4184</v>
      </c>
      <c r="H4192" s="90">
        <f t="shared" ca="1" si="131"/>
        <v>3.3497002498163495E-2</v>
      </c>
    </row>
    <row r="4193" spans="2:8" x14ac:dyDescent="0.3">
      <c r="B4193" s="58">
        <f>'DATA HISTORICAL'!$B4838</f>
        <v>39721</v>
      </c>
      <c r="C4193" s="60">
        <f>'DATA HISTORICAL'!$C4838</f>
        <v>528.75</v>
      </c>
      <c r="D4193" s="53">
        <f t="shared" si="130"/>
        <v>2.5960555570343862E-2</v>
      </c>
      <c r="E4193" s="53">
        <v>-1.7071117850373321E-2</v>
      </c>
      <c r="G4193" s="90">
        <v>4185</v>
      </c>
      <c r="H4193" s="90">
        <f t="shared" ca="1" si="131"/>
        <v>1.154670980977514E-2</v>
      </c>
    </row>
    <row r="4194" spans="2:8" x14ac:dyDescent="0.3">
      <c r="B4194" s="58">
        <f>'DATA HISTORICAL'!$B4839</f>
        <v>39720</v>
      </c>
      <c r="C4194" s="60">
        <f>'DATA HISTORICAL'!$C4839</f>
        <v>515.20000000000005</v>
      </c>
      <c r="D4194" s="53">
        <f t="shared" si="130"/>
        <v>-5.6138872545176799E-2</v>
      </c>
      <c r="E4194" s="53">
        <v>-1.7089783800427062E-2</v>
      </c>
      <c r="G4194" s="90">
        <v>4186</v>
      </c>
      <c r="H4194" s="90">
        <f t="shared" ca="1" si="131"/>
        <v>2.06164939147069E-2</v>
      </c>
    </row>
    <row r="4195" spans="2:8" x14ac:dyDescent="0.3">
      <c r="B4195" s="58">
        <f>'DATA HISTORICAL'!$B4840</f>
        <v>39717</v>
      </c>
      <c r="C4195" s="60">
        <f>'DATA HISTORICAL'!$C4840</f>
        <v>544.95000000000005</v>
      </c>
      <c r="D4195" s="53">
        <f t="shared" si="130"/>
        <v>-1.0405351275632227E-2</v>
      </c>
      <c r="E4195" s="53">
        <v>-1.7099315367269871E-2</v>
      </c>
      <c r="G4195" s="90">
        <v>4187</v>
      </c>
      <c r="H4195" s="90">
        <f t="shared" ca="1" si="131"/>
        <v>1.1217200509016784E-2</v>
      </c>
    </row>
    <row r="4196" spans="2:8" x14ac:dyDescent="0.3">
      <c r="B4196" s="58">
        <f>'DATA HISTORICAL'!$B4841</f>
        <v>39716</v>
      </c>
      <c r="C4196" s="60">
        <f>'DATA HISTORICAL'!$C4841</f>
        <v>550.65</v>
      </c>
      <c r="D4196" s="53">
        <f t="shared" si="130"/>
        <v>-1.8143885953620939E-3</v>
      </c>
      <c r="E4196" s="53">
        <v>-1.7151861787115655E-2</v>
      </c>
      <c r="G4196" s="90">
        <v>4188</v>
      </c>
      <c r="H4196" s="90">
        <f t="shared" ca="1" si="131"/>
        <v>-7.7066302035428006E-3</v>
      </c>
    </row>
    <row r="4197" spans="2:8" x14ac:dyDescent="0.3">
      <c r="B4197" s="58">
        <f>'DATA HISTORICAL'!$B4842</f>
        <v>39715</v>
      </c>
      <c r="C4197" s="60">
        <f>'DATA HISTORICAL'!$C4842</f>
        <v>551.65</v>
      </c>
      <c r="D4197" s="53">
        <f t="shared" si="130"/>
        <v>-2.8679322970365576E-2</v>
      </c>
      <c r="E4197" s="53">
        <v>-1.7203083837034207E-2</v>
      </c>
      <c r="G4197" s="90">
        <v>4189</v>
      </c>
      <c r="H4197" s="90">
        <f t="shared" ca="1" si="131"/>
        <v>-3.2470208801386275E-3</v>
      </c>
    </row>
    <row r="4198" spans="2:8" x14ac:dyDescent="0.3">
      <c r="B4198" s="58">
        <f>'DATA HISTORICAL'!$B4843</f>
        <v>39714</v>
      </c>
      <c r="C4198" s="60">
        <f>'DATA HISTORICAL'!$C4843</f>
        <v>567.70000000000005</v>
      </c>
      <c r="D4198" s="53">
        <f t="shared" si="130"/>
        <v>1.5085919257080062E-2</v>
      </c>
      <c r="E4198" s="53">
        <v>-1.721414357791777E-2</v>
      </c>
      <c r="G4198" s="90">
        <v>4190</v>
      </c>
      <c r="H4198" s="90">
        <f t="shared" ca="1" si="131"/>
        <v>-2.1813175584503453E-2</v>
      </c>
    </row>
    <row r="4199" spans="2:8" x14ac:dyDescent="0.3">
      <c r="B4199" s="58">
        <f>'DATA HISTORICAL'!$B4844</f>
        <v>39713</v>
      </c>
      <c r="C4199" s="60">
        <f>'DATA HISTORICAL'!$C4844</f>
        <v>559.20000000000005</v>
      </c>
      <c r="D4199" s="53">
        <f t="shared" si="130"/>
        <v>-7.74886976848698E-3</v>
      </c>
      <c r="E4199" s="53">
        <v>-1.7225726275860723E-2</v>
      </c>
      <c r="G4199" s="90">
        <v>4191</v>
      </c>
      <c r="H4199" s="90">
        <f t="shared" ca="1" si="131"/>
        <v>1.2530316166018469E-2</v>
      </c>
    </row>
    <row r="4200" spans="2:8" x14ac:dyDescent="0.3">
      <c r="B4200" s="58">
        <f>'DATA HISTORICAL'!$B4845</f>
        <v>39710</v>
      </c>
      <c r="C4200" s="60">
        <f>'DATA HISTORICAL'!$C4845</f>
        <v>563.54999999999995</v>
      </c>
      <c r="D4200" s="53">
        <f t="shared" si="130"/>
        <v>5.0121899617285567E-2</v>
      </c>
      <c r="E4200" s="53">
        <v>-1.7230335238352754E-2</v>
      </c>
      <c r="G4200" s="90">
        <v>4192</v>
      </c>
      <c r="H4200" s="90">
        <f t="shared" ca="1" si="131"/>
        <v>4.618005962379667E-2</v>
      </c>
    </row>
    <row r="4201" spans="2:8" x14ac:dyDescent="0.3">
      <c r="B4201" s="58">
        <f>'DATA HISTORICAL'!$B4846</f>
        <v>39709</v>
      </c>
      <c r="C4201" s="60">
        <f>'DATA HISTORICAL'!$C4846</f>
        <v>536</v>
      </c>
      <c r="D4201" s="53">
        <f t="shared" si="130"/>
        <v>9.6546656112197916E-3</v>
      </c>
      <c r="E4201" s="53">
        <v>-1.7240122685568748E-2</v>
      </c>
      <c r="G4201" s="90">
        <v>4193</v>
      </c>
      <c r="H4201" s="90">
        <f t="shared" ca="1" si="131"/>
        <v>1.6477501027021141E-3</v>
      </c>
    </row>
    <row r="4202" spans="2:8" x14ac:dyDescent="0.3">
      <c r="B4202" s="58">
        <f>'DATA HISTORICAL'!$B4847</f>
        <v>39708</v>
      </c>
      <c r="C4202" s="60">
        <f>'DATA HISTORICAL'!$C4847</f>
        <v>530.85</v>
      </c>
      <c r="D4202" s="53">
        <f t="shared" si="130"/>
        <v>-1.9955902822163984E-2</v>
      </c>
      <c r="E4202" s="53">
        <v>-1.7255663101922798E-2</v>
      </c>
      <c r="G4202" s="90">
        <v>4194</v>
      </c>
      <c r="H4202" s="90">
        <f t="shared" ca="1" si="131"/>
        <v>1.5934614482302677E-2</v>
      </c>
    </row>
    <row r="4203" spans="2:8" x14ac:dyDescent="0.3">
      <c r="B4203" s="58">
        <f>'DATA HISTORICAL'!$B4848</f>
        <v>39707</v>
      </c>
      <c r="C4203" s="60">
        <f>'DATA HISTORICAL'!$C4848</f>
        <v>541.54999999999995</v>
      </c>
      <c r="D4203" s="53">
        <f t="shared" si="130"/>
        <v>-1.7526871328685328E-3</v>
      </c>
      <c r="E4203" s="53">
        <v>-1.7268177865910554E-2</v>
      </c>
      <c r="G4203" s="90">
        <v>4195</v>
      </c>
      <c r="H4203" s="90">
        <f t="shared" ca="1" si="131"/>
        <v>2.7703514015101318E-2</v>
      </c>
    </row>
    <row r="4204" spans="2:8" x14ac:dyDescent="0.3">
      <c r="B4204" s="58">
        <f>'DATA HISTORICAL'!$B4849</f>
        <v>39706</v>
      </c>
      <c r="C4204" s="60">
        <f>'DATA HISTORICAL'!$C4849</f>
        <v>542.5</v>
      </c>
      <c r="D4204" s="53">
        <f t="shared" si="130"/>
        <v>-4.0991565395757844E-2</v>
      </c>
      <c r="E4204" s="53">
        <v>-1.7269507124693349E-2</v>
      </c>
      <c r="G4204" s="90">
        <v>4196</v>
      </c>
      <c r="H4204" s="90">
        <f t="shared" ca="1" si="131"/>
        <v>3.1737855073032756E-2</v>
      </c>
    </row>
    <row r="4205" spans="2:8" x14ac:dyDescent="0.3">
      <c r="B4205" s="58">
        <f>'DATA HISTORICAL'!$B4850</f>
        <v>39703</v>
      </c>
      <c r="C4205" s="60">
        <f>'DATA HISTORICAL'!$C4850</f>
        <v>565.20000000000005</v>
      </c>
      <c r="D4205" s="53">
        <f t="shared" si="130"/>
        <v>-3.7248739059260273E-2</v>
      </c>
      <c r="E4205" s="53">
        <v>-1.7278106778549657E-2</v>
      </c>
      <c r="G4205" s="90">
        <v>4197</v>
      </c>
      <c r="H4205" s="90">
        <f t="shared" ca="1" si="131"/>
        <v>-7.8079775951416909E-3</v>
      </c>
    </row>
    <row r="4206" spans="2:8" x14ac:dyDescent="0.3">
      <c r="B4206" s="58">
        <f>'DATA HISTORICAL'!$B4851</f>
        <v>39702</v>
      </c>
      <c r="C4206" s="60">
        <f>'DATA HISTORICAL'!$C4851</f>
        <v>586.65</v>
      </c>
      <c r="D4206" s="53">
        <f t="shared" si="130"/>
        <v>-7.2184084819960671E-3</v>
      </c>
      <c r="E4206" s="53">
        <v>-1.7301695197168288E-2</v>
      </c>
      <c r="G4206" s="90">
        <v>4198</v>
      </c>
      <c r="H4206" s="90">
        <f t="shared" ca="1" si="131"/>
        <v>-1.858166135836159E-2</v>
      </c>
    </row>
    <row r="4207" spans="2:8" x14ac:dyDescent="0.3">
      <c r="B4207" s="58">
        <f>'DATA HISTORICAL'!$B4852</f>
        <v>39701</v>
      </c>
      <c r="C4207" s="60">
        <f>'DATA HISTORICAL'!$C4852</f>
        <v>590.9</v>
      </c>
      <c r="D4207" s="53">
        <f t="shared" si="130"/>
        <v>1.4060135332356538E-2</v>
      </c>
      <c r="E4207" s="53">
        <v>-1.7308289165641123E-2</v>
      </c>
      <c r="G4207" s="90">
        <v>4199</v>
      </c>
      <c r="H4207" s="90">
        <f t="shared" ca="1" si="131"/>
        <v>-6.2945141901572365E-4</v>
      </c>
    </row>
    <row r="4208" spans="2:8" x14ac:dyDescent="0.3">
      <c r="B4208" s="58">
        <f>'DATA HISTORICAL'!$B4853</f>
        <v>39700</v>
      </c>
      <c r="C4208" s="60">
        <f>'DATA HISTORICAL'!$C4853</f>
        <v>582.65</v>
      </c>
      <c r="D4208" s="53">
        <f t="shared" si="130"/>
        <v>1.1162152878345032E-3</v>
      </c>
      <c r="E4208" s="53">
        <v>-1.7311103597860953E-2</v>
      </c>
      <c r="G4208" s="90">
        <v>4200</v>
      </c>
      <c r="H4208" s="90">
        <f t="shared" ca="1" si="131"/>
        <v>1.0818342819467114E-2</v>
      </c>
    </row>
    <row r="4209" spans="2:8" x14ac:dyDescent="0.3">
      <c r="B4209" s="58">
        <f>'DATA HISTORICAL'!$B4854</f>
        <v>39699</v>
      </c>
      <c r="C4209" s="60">
        <f>'DATA HISTORICAL'!$C4854</f>
        <v>582</v>
      </c>
      <c r="D4209" s="53">
        <f t="shared" si="130"/>
        <v>-1.1021513592233472E-2</v>
      </c>
      <c r="E4209" s="53">
        <v>-1.7319808147060911E-2</v>
      </c>
      <c r="G4209" s="90">
        <v>4201</v>
      </c>
      <c r="H4209" s="90">
        <f t="shared" ca="1" si="131"/>
        <v>-1.1160070573087485E-2</v>
      </c>
    </row>
    <row r="4210" spans="2:8" x14ac:dyDescent="0.3">
      <c r="B4210" s="58">
        <f>'DATA HISTORICAL'!$B4855</f>
        <v>39696</v>
      </c>
      <c r="C4210" s="60">
        <f>'DATA HISTORICAL'!$C4855</f>
        <v>588.45000000000005</v>
      </c>
      <c r="D4210" s="53">
        <f t="shared" si="130"/>
        <v>-2.6744269074913087E-2</v>
      </c>
      <c r="E4210" s="53">
        <v>-1.7367769427695995E-2</v>
      </c>
      <c r="G4210" s="90">
        <v>4202</v>
      </c>
      <c r="H4210" s="90">
        <f t="shared" ca="1" si="131"/>
        <v>1.2613036143185388E-3</v>
      </c>
    </row>
    <row r="4211" spans="2:8" x14ac:dyDescent="0.3">
      <c r="B4211" s="58">
        <f>'DATA HISTORICAL'!$B4856</f>
        <v>39695</v>
      </c>
      <c r="C4211" s="60">
        <f>'DATA HISTORICAL'!$C4856</f>
        <v>604.4</v>
      </c>
      <c r="D4211" s="53">
        <f t="shared" si="130"/>
        <v>-1.0778892363946921E-2</v>
      </c>
      <c r="E4211" s="53">
        <v>-1.7374919235056057E-2</v>
      </c>
      <c r="G4211" s="90">
        <v>4203</v>
      </c>
      <c r="H4211" s="90">
        <f t="shared" ca="1" si="131"/>
        <v>2.1598406560958582E-2</v>
      </c>
    </row>
    <row r="4212" spans="2:8" x14ac:dyDescent="0.3">
      <c r="B4212" s="58">
        <f>'DATA HISTORICAL'!$B4857</f>
        <v>39693</v>
      </c>
      <c r="C4212" s="60">
        <f>'DATA HISTORICAL'!$C4857</f>
        <v>610.95000000000005</v>
      </c>
      <c r="D4212" s="53">
        <f t="shared" si="130"/>
        <v>1.9920483492114661E-2</v>
      </c>
      <c r="E4212" s="53">
        <v>-1.737833243103187E-2</v>
      </c>
      <c r="G4212" s="90">
        <v>4204</v>
      </c>
      <c r="H4212" s="90">
        <f t="shared" ca="1" si="131"/>
        <v>1.3967555733140919E-2</v>
      </c>
    </row>
    <row r="4213" spans="2:8" x14ac:dyDescent="0.3">
      <c r="B4213" s="58">
        <f>'DATA HISTORICAL'!$B4858</f>
        <v>39692</v>
      </c>
      <c r="C4213" s="60">
        <f>'DATA HISTORICAL'!$C4858</f>
        <v>598.9</v>
      </c>
      <c r="D4213" s="53">
        <f t="shared" si="130"/>
        <v>1.3194023074030711E-2</v>
      </c>
      <c r="E4213" s="53">
        <v>-1.7383979208873048E-2</v>
      </c>
      <c r="G4213" s="90">
        <v>4205</v>
      </c>
      <c r="H4213" s="90">
        <f t="shared" ca="1" si="131"/>
        <v>2.7305854567346535E-2</v>
      </c>
    </row>
    <row r="4214" spans="2:8" x14ac:dyDescent="0.3">
      <c r="B4214" s="58">
        <f>'DATA HISTORICAL'!$B4859</f>
        <v>39689</v>
      </c>
      <c r="C4214" s="60">
        <f>'DATA HISTORICAL'!$C4859</f>
        <v>591.04999999999995</v>
      </c>
      <c r="D4214" s="53">
        <f t="shared" si="130"/>
        <v>9.6906572707043757E-3</v>
      </c>
      <c r="E4214" s="53">
        <v>-1.7384913968778944E-2</v>
      </c>
      <c r="G4214" s="90">
        <v>4206</v>
      </c>
      <c r="H4214" s="90">
        <f t="shared" ca="1" si="131"/>
        <v>-1.0216252338639764E-2</v>
      </c>
    </row>
    <row r="4215" spans="2:8" x14ac:dyDescent="0.3">
      <c r="B4215" s="58">
        <f>'DATA HISTORICAL'!$B4860</f>
        <v>39688</v>
      </c>
      <c r="C4215" s="60">
        <f>'DATA HISTORICAL'!$C4860</f>
        <v>585.35</v>
      </c>
      <c r="D4215" s="53">
        <f t="shared" si="130"/>
        <v>-2.0042106739353915E-2</v>
      </c>
      <c r="E4215" s="53">
        <v>-1.7392052001969471E-2</v>
      </c>
      <c r="G4215" s="90">
        <v>4207</v>
      </c>
      <c r="H4215" s="90">
        <f t="shared" ca="1" si="131"/>
        <v>1.2056596304331094E-2</v>
      </c>
    </row>
    <row r="4216" spans="2:8" x14ac:dyDescent="0.3">
      <c r="B4216" s="58">
        <f>'DATA HISTORICAL'!$B4861</f>
        <v>39687</v>
      </c>
      <c r="C4216" s="60">
        <f>'DATA HISTORICAL'!$C4861</f>
        <v>597.20000000000005</v>
      </c>
      <c r="D4216" s="53">
        <f t="shared" si="130"/>
        <v>9.5058549653635801E-3</v>
      </c>
      <c r="E4216" s="53">
        <v>-1.7403526080528156E-2</v>
      </c>
      <c r="G4216" s="90">
        <v>4208</v>
      </c>
      <c r="H4216" s="90">
        <f t="shared" ca="1" si="131"/>
        <v>2.2615714660441922E-2</v>
      </c>
    </row>
    <row r="4217" spans="2:8" x14ac:dyDescent="0.3">
      <c r="B4217" s="58">
        <f>'DATA HISTORICAL'!$B4862</f>
        <v>39686</v>
      </c>
      <c r="C4217" s="60">
        <f>'DATA HISTORICAL'!$C4862</f>
        <v>591.54999999999995</v>
      </c>
      <c r="D4217" s="53">
        <f t="shared" si="130"/>
        <v>-1.8577948258377106E-3</v>
      </c>
      <c r="E4217" s="53">
        <v>-1.7404097618929588E-2</v>
      </c>
      <c r="G4217" s="90">
        <v>4209</v>
      </c>
      <c r="H4217" s="90">
        <f t="shared" ca="1" si="131"/>
        <v>-1.497878747471507E-2</v>
      </c>
    </row>
    <row r="4218" spans="2:8" x14ac:dyDescent="0.3">
      <c r="B4218" s="58">
        <f>'DATA HISTORICAL'!$B4863</f>
        <v>39685</v>
      </c>
      <c r="C4218" s="60">
        <f>'DATA HISTORICAL'!$C4863</f>
        <v>592.65</v>
      </c>
      <c r="D4218" s="53">
        <f t="shared" si="130"/>
        <v>1.051659255799514E-2</v>
      </c>
      <c r="E4218" s="53">
        <v>-1.7440149352645283E-2</v>
      </c>
      <c r="G4218" s="90">
        <v>4210</v>
      </c>
      <c r="H4218" s="90">
        <f t="shared" ca="1" si="131"/>
        <v>2.0379346408797391E-2</v>
      </c>
    </row>
    <row r="4219" spans="2:8" x14ac:dyDescent="0.3">
      <c r="B4219" s="58">
        <f>'DATA HISTORICAL'!$B4864</f>
        <v>39682</v>
      </c>
      <c r="C4219" s="60">
        <f>'DATA HISTORICAL'!$C4864</f>
        <v>586.45000000000005</v>
      </c>
      <c r="D4219" s="53">
        <f t="shared" si="130"/>
        <v>-9.1658114323884769E-3</v>
      </c>
      <c r="E4219" s="53">
        <v>-1.7466576789564859E-2</v>
      </c>
      <c r="G4219" s="90">
        <v>4211</v>
      </c>
      <c r="H4219" s="90">
        <f t="shared" ca="1" si="131"/>
        <v>1.6629575782112192E-2</v>
      </c>
    </row>
    <row r="4220" spans="2:8" x14ac:dyDescent="0.3">
      <c r="B4220" s="58">
        <f>'DATA HISTORICAL'!$B4865</f>
        <v>39681</v>
      </c>
      <c r="C4220" s="60">
        <f>'DATA HISTORICAL'!$C4865</f>
        <v>591.85</v>
      </c>
      <c r="D4220" s="53">
        <f t="shared" si="130"/>
        <v>-2.4204152702898243E-2</v>
      </c>
      <c r="E4220" s="53">
        <v>-1.7482355526395248E-2</v>
      </c>
      <c r="G4220" s="90">
        <v>4212</v>
      </c>
      <c r="H4220" s="90">
        <f t="shared" ca="1" si="131"/>
        <v>3.9756353897731994E-2</v>
      </c>
    </row>
    <row r="4221" spans="2:8" x14ac:dyDescent="0.3">
      <c r="B4221" s="58">
        <f>'DATA HISTORICAL'!$B4866</f>
        <v>39680</v>
      </c>
      <c r="C4221" s="60">
        <f>'DATA HISTORICAL'!$C4866</f>
        <v>606.35</v>
      </c>
      <c r="D4221" s="53">
        <f t="shared" si="130"/>
        <v>-8.6210969521063902E-3</v>
      </c>
      <c r="E4221" s="53">
        <v>-1.7551057100910275E-2</v>
      </c>
      <c r="G4221" s="90">
        <v>4213</v>
      </c>
      <c r="H4221" s="90">
        <f t="shared" ca="1" si="131"/>
        <v>1.9192886393388692E-2</v>
      </c>
    </row>
    <row r="4222" spans="2:8" x14ac:dyDescent="0.3">
      <c r="B4222" s="58">
        <f>'DATA HISTORICAL'!$B4867</f>
        <v>39679</v>
      </c>
      <c r="C4222" s="60">
        <f>'DATA HISTORICAL'!$C4867</f>
        <v>611.6</v>
      </c>
      <c r="D4222" s="53">
        <f t="shared" si="130"/>
        <v>-3.2647759981391774E-3</v>
      </c>
      <c r="E4222" s="53">
        <v>-1.7559817173350444E-2</v>
      </c>
      <c r="G4222" s="90">
        <v>4214</v>
      </c>
      <c r="H4222" s="90">
        <f t="shared" ca="1" si="131"/>
        <v>1.4114702058037151E-2</v>
      </c>
    </row>
    <row r="4223" spans="2:8" x14ac:dyDescent="0.3">
      <c r="B4223" s="58">
        <f>'DATA HISTORICAL'!$B4868</f>
        <v>39678</v>
      </c>
      <c r="C4223" s="60">
        <f>'DATA HISTORICAL'!$C4868</f>
        <v>613.6</v>
      </c>
      <c r="D4223" s="53">
        <f t="shared" si="130"/>
        <v>-9.2465578909686971E-3</v>
      </c>
      <c r="E4223" s="53">
        <v>-1.7560245355653051E-2</v>
      </c>
      <c r="G4223" s="90">
        <v>4215</v>
      </c>
      <c r="H4223" s="90">
        <f t="shared" ca="1" si="131"/>
        <v>-8.1256322868719262E-3</v>
      </c>
    </row>
    <row r="4224" spans="2:8" x14ac:dyDescent="0.3">
      <c r="B4224" s="58">
        <f>'DATA HISTORICAL'!$B4869</f>
        <v>39674</v>
      </c>
      <c r="C4224" s="60">
        <f>'DATA HISTORICAL'!$C4869</f>
        <v>619.29999999999995</v>
      </c>
      <c r="D4224" s="53">
        <f t="shared" si="130"/>
        <v>-2.613694599834801E-2</v>
      </c>
      <c r="E4224" s="53">
        <v>-1.75760904652436E-2</v>
      </c>
      <c r="G4224" s="90">
        <v>4216</v>
      </c>
      <c r="H4224" s="90">
        <f t="shared" ca="1" si="131"/>
        <v>1.2988382956147428E-3</v>
      </c>
    </row>
    <row r="4225" spans="2:8" x14ac:dyDescent="0.3">
      <c r="B4225" s="58">
        <f>'DATA HISTORICAL'!$B4870</f>
        <v>39673</v>
      </c>
      <c r="C4225" s="60">
        <f>'DATA HISTORICAL'!$C4870</f>
        <v>635.70000000000005</v>
      </c>
      <c r="D4225" s="53">
        <f t="shared" si="130"/>
        <v>-7.8622537268067125E-4</v>
      </c>
      <c r="E4225" s="53">
        <v>-1.7576568409929216E-2</v>
      </c>
      <c r="G4225" s="90">
        <v>4217</v>
      </c>
      <c r="H4225" s="90">
        <f t="shared" ca="1" si="131"/>
        <v>1.1958334636450234E-2</v>
      </c>
    </row>
    <row r="4226" spans="2:8" x14ac:dyDescent="0.3">
      <c r="B4226" s="58">
        <f>'DATA HISTORICAL'!$B4871</f>
        <v>39672</v>
      </c>
      <c r="C4226" s="60">
        <f>'DATA HISTORICAL'!$C4871</f>
        <v>636.20000000000005</v>
      </c>
      <c r="D4226" s="53">
        <f t="shared" si="130"/>
        <v>-5.4863371410481514E-3</v>
      </c>
      <c r="E4226" s="53">
        <v>-1.7638127131123473E-2</v>
      </c>
      <c r="G4226" s="90">
        <v>4218</v>
      </c>
      <c r="H4226" s="90">
        <f t="shared" ca="1" si="131"/>
        <v>4.2058535842798761E-3</v>
      </c>
    </row>
    <row r="4227" spans="2:8" x14ac:dyDescent="0.3">
      <c r="B4227" s="58">
        <f>'DATA HISTORICAL'!$B4872</f>
        <v>39671</v>
      </c>
      <c r="C4227" s="60">
        <f>'DATA HISTORICAL'!$C4872</f>
        <v>639.70000000000005</v>
      </c>
      <c r="D4227" s="53">
        <f t="shared" si="130"/>
        <v>8.0832301999186444E-3</v>
      </c>
      <c r="E4227" s="53">
        <v>-1.7809296400964736E-2</v>
      </c>
      <c r="G4227" s="90">
        <v>4219</v>
      </c>
      <c r="H4227" s="90">
        <f t="shared" ca="1" si="131"/>
        <v>2.7377748902730229E-3</v>
      </c>
    </row>
    <row r="4228" spans="2:8" x14ac:dyDescent="0.3">
      <c r="B4228" s="58">
        <f>'DATA HISTORICAL'!$B4873</f>
        <v>39668</v>
      </c>
      <c r="C4228" s="60">
        <f>'DATA HISTORICAL'!$C4873</f>
        <v>634.54999999999995</v>
      </c>
      <c r="D4228" s="53">
        <f t="shared" si="130"/>
        <v>-1.4173230719062317E-3</v>
      </c>
      <c r="E4228" s="53">
        <v>-1.783134164648182E-2</v>
      </c>
      <c r="G4228" s="90">
        <v>4220</v>
      </c>
      <c r="H4228" s="90">
        <f t="shared" ca="1" si="131"/>
        <v>4.8766921571134041E-3</v>
      </c>
    </row>
    <row r="4229" spans="2:8" x14ac:dyDescent="0.3">
      <c r="B4229" s="58">
        <f>'DATA HISTORICAL'!$B4874</f>
        <v>39667</v>
      </c>
      <c r="C4229" s="60">
        <f>'DATA HISTORICAL'!$C4874</f>
        <v>635.45000000000005</v>
      </c>
      <c r="D4229" s="53">
        <f t="shared" si="130"/>
        <v>4.3370331752408545E-3</v>
      </c>
      <c r="E4229" s="53">
        <v>-1.7838758746052449E-2</v>
      </c>
      <c r="G4229" s="90">
        <v>4221</v>
      </c>
      <c r="H4229" s="90">
        <f t="shared" ca="1" si="131"/>
        <v>-5.0902623966516377E-3</v>
      </c>
    </row>
    <row r="4230" spans="2:8" x14ac:dyDescent="0.3">
      <c r="B4230" s="58">
        <f>'DATA HISTORICAL'!$B4875</f>
        <v>39666</v>
      </c>
      <c r="C4230" s="60">
        <f>'DATA HISTORICAL'!$C4875</f>
        <v>632.70000000000005</v>
      </c>
      <c r="D4230" s="53">
        <f t="shared" si="130"/>
        <v>3.3019025632914249E-2</v>
      </c>
      <c r="E4230" s="53">
        <v>-1.7853754873640281E-2</v>
      </c>
      <c r="G4230" s="90">
        <v>4222</v>
      </c>
      <c r="H4230" s="90">
        <f t="shared" ca="1" si="131"/>
        <v>-2.5342821693048728E-2</v>
      </c>
    </row>
    <row r="4231" spans="2:8" x14ac:dyDescent="0.3">
      <c r="B4231" s="58">
        <f>'DATA HISTORICAL'!$B4876</f>
        <v>39665</v>
      </c>
      <c r="C4231" s="60">
        <f>'DATA HISTORICAL'!$C4876</f>
        <v>612.15</v>
      </c>
      <c r="D4231" s="53">
        <f t="shared" si="130"/>
        <v>6.5045061234513729E-2</v>
      </c>
      <c r="E4231" s="53">
        <v>-1.7854214322341501E-2</v>
      </c>
      <c r="G4231" s="90">
        <v>4223</v>
      </c>
      <c r="H4231" s="90">
        <f t="shared" ca="1" si="131"/>
        <v>-5.0052144903054161E-3</v>
      </c>
    </row>
    <row r="4232" spans="2:8" x14ac:dyDescent="0.3">
      <c r="B4232" s="58">
        <f>'DATA HISTORICAL'!$B4877</f>
        <v>39664</v>
      </c>
      <c r="C4232" s="60">
        <f>'DATA HISTORICAL'!$C4877</f>
        <v>573.6</v>
      </c>
      <c r="D4232" s="53">
        <f t="shared" si="130"/>
        <v>1.2366951458835262E-2</v>
      </c>
      <c r="E4232" s="53">
        <v>-1.7898748343101699E-2</v>
      </c>
      <c r="G4232" s="90">
        <v>4224</v>
      </c>
      <c r="H4232" s="90">
        <f t="shared" ca="1" si="131"/>
        <v>2.4426443093181732E-2</v>
      </c>
    </row>
    <row r="4233" spans="2:8" x14ac:dyDescent="0.3">
      <c r="B4233" s="58">
        <f>'DATA HISTORICAL'!$B4878</f>
        <v>39661</v>
      </c>
      <c r="C4233" s="60">
        <f>'DATA HISTORICAL'!$C4878</f>
        <v>566.54999999999995</v>
      </c>
      <c r="D4233" s="53">
        <f t="shared" ref="D4233:D4296" si="132">LN(C4233/C4234)</f>
        <v>-1.8363580039838311E-2</v>
      </c>
      <c r="E4233" s="53">
        <v>-1.7958386561318394E-2</v>
      </c>
      <c r="G4233" s="90">
        <v>4225</v>
      </c>
      <c r="H4233" s="90">
        <f t="shared" ref="H4233:H4296" ca="1" si="133">_xlfn.NORM.INV(RAND(),N$10,N$11)</f>
        <v>4.8815703308664757E-3</v>
      </c>
    </row>
    <row r="4234" spans="2:8" x14ac:dyDescent="0.3">
      <c r="B4234" s="58">
        <f>'DATA HISTORICAL'!$B4879</f>
        <v>39660</v>
      </c>
      <c r="C4234" s="60">
        <f>'DATA HISTORICAL'!$C4879</f>
        <v>577.04999999999995</v>
      </c>
      <c r="D4234" s="53">
        <f t="shared" si="132"/>
        <v>3.1421726946813229E-2</v>
      </c>
      <c r="E4234" s="53">
        <v>-1.7977277739897032E-2</v>
      </c>
      <c r="G4234" s="90">
        <v>4226</v>
      </c>
      <c r="H4234" s="90">
        <f t="shared" ca="1" si="133"/>
        <v>-2.0531879212190848E-2</v>
      </c>
    </row>
    <row r="4235" spans="2:8" x14ac:dyDescent="0.3">
      <c r="B4235" s="58">
        <f>'DATA HISTORICAL'!$B4880</f>
        <v>39659</v>
      </c>
      <c r="C4235" s="60">
        <f>'DATA HISTORICAL'!$C4880</f>
        <v>559.20000000000005</v>
      </c>
      <c r="D4235" s="53">
        <f t="shared" si="132"/>
        <v>2.7190364570454567E-2</v>
      </c>
      <c r="E4235" s="53">
        <v>-1.8012701624214159E-2</v>
      </c>
      <c r="G4235" s="90">
        <v>4227</v>
      </c>
      <c r="H4235" s="90">
        <f t="shared" ca="1" si="133"/>
        <v>9.047127393033462E-3</v>
      </c>
    </row>
    <row r="4236" spans="2:8" x14ac:dyDescent="0.3">
      <c r="B4236" s="58">
        <f>'DATA HISTORICAL'!$B4881</f>
        <v>39658</v>
      </c>
      <c r="C4236" s="60">
        <f>'DATA HISTORICAL'!$C4881</f>
        <v>544.20000000000005</v>
      </c>
      <c r="D4236" s="53">
        <f t="shared" si="132"/>
        <v>-3.2273987558660004E-2</v>
      </c>
      <c r="E4236" s="53">
        <v>-1.8022962933103279E-2</v>
      </c>
      <c r="G4236" s="90">
        <v>4228</v>
      </c>
      <c r="H4236" s="90">
        <f t="shared" ca="1" si="133"/>
        <v>2.6546528155159618E-2</v>
      </c>
    </row>
    <row r="4237" spans="2:8" x14ac:dyDescent="0.3">
      <c r="B4237" s="58">
        <f>'DATA HISTORICAL'!$B4882</f>
        <v>39657</v>
      </c>
      <c r="C4237" s="60">
        <f>'DATA HISTORICAL'!$C4882</f>
        <v>562.04999999999995</v>
      </c>
      <c r="D4237" s="53">
        <f t="shared" si="132"/>
        <v>2.0037509429135091E-2</v>
      </c>
      <c r="E4237" s="53">
        <v>-1.8033712491810641E-2</v>
      </c>
      <c r="G4237" s="90">
        <v>4229</v>
      </c>
      <c r="H4237" s="90">
        <f t="shared" ca="1" si="133"/>
        <v>2.1161936527325814E-2</v>
      </c>
    </row>
    <row r="4238" spans="2:8" x14ac:dyDescent="0.3">
      <c r="B4238" s="58">
        <f>'DATA HISTORICAL'!$B4883</f>
        <v>39654</v>
      </c>
      <c r="C4238" s="60">
        <f>'DATA HISTORICAL'!$C4883</f>
        <v>550.9</v>
      </c>
      <c r="D4238" s="53">
        <f t="shared" si="132"/>
        <v>1.453606981576123E-2</v>
      </c>
      <c r="E4238" s="53">
        <v>-1.8046114516102711E-2</v>
      </c>
      <c r="G4238" s="90">
        <v>4230</v>
      </c>
      <c r="H4238" s="90">
        <f t="shared" ca="1" si="133"/>
        <v>4.0741076444664105E-2</v>
      </c>
    </row>
    <row r="4239" spans="2:8" x14ac:dyDescent="0.3">
      <c r="B4239" s="58">
        <f>'DATA HISTORICAL'!$B4884</f>
        <v>39653</v>
      </c>
      <c r="C4239" s="60">
        <f>'DATA HISTORICAL'!$C4884</f>
        <v>542.95000000000005</v>
      </c>
      <c r="D4239" s="53">
        <f t="shared" si="132"/>
        <v>-5.2733457701575857E-2</v>
      </c>
      <c r="E4239" s="53">
        <v>-1.8047602312044143E-2</v>
      </c>
      <c r="G4239" s="90">
        <v>4231</v>
      </c>
      <c r="H4239" s="90">
        <f t="shared" ca="1" si="133"/>
        <v>-4.9741582653938217E-3</v>
      </c>
    </row>
    <row r="4240" spans="2:8" x14ac:dyDescent="0.3">
      <c r="B4240" s="58">
        <f>'DATA HISTORICAL'!$B4885</f>
        <v>39652</v>
      </c>
      <c r="C4240" s="60">
        <f>'DATA HISTORICAL'!$C4885</f>
        <v>572.35</v>
      </c>
      <c r="D4240" s="53">
        <f t="shared" si="132"/>
        <v>5.7533614615310709E-2</v>
      </c>
      <c r="E4240" s="53">
        <v>-1.8052620116733781E-2</v>
      </c>
      <c r="G4240" s="90">
        <v>4232</v>
      </c>
      <c r="H4240" s="90">
        <f t="shared" ca="1" si="133"/>
        <v>1.4630752260610122E-3</v>
      </c>
    </row>
    <row r="4241" spans="2:8" x14ac:dyDescent="0.3">
      <c r="B4241" s="58">
        <f>'DATA HISTORICAL'!$B4886</f>
        <v>39651</v>
      </c>
      <c r="C4241" s="60">
        <f>'DATA HISTORICAL'!$C4886</f>
        <v>540.35</v>
      </c>
      <c r="D4241" s="53">
        <f t="shared" si="132"/>
        <v>3.4295811527315159E-3</v>
      </c>
      <c r="E4241" s="53">
        <v>-1.8068116059815054E-2</v>
      </c>
      <c r="G4241" s="90">
        <v>4233</v>
      </c>
      <c r="H4241" s="90">
        <f t="shared" ca="1" si="133"/>
        <v>2.3029001163055389E-2</v>
      </c>
    </row>
    <row r="4242" spans="2:8" x14ac:dyDescent="0.3">
      <c r="B4242" s="58">
        <f>'DATA HISTORICAL'!$B4887</f>
        <v>39650</v>
      </c>
      <c r="C4242" s="60">
        <f>'DATA HISTORICAL'!$C4887</f>
        <v>538.5</v>
      </c>
      <c r="D4242" s="53">
        <f t="shared" si="132"/>
        <v>-1.8552881017460925E-3</v>
      </c>
      <c r="E4242" s="53">
        <v>-1.807081541889425E-2</v>
      </c>
      <c r="G4242" s="90">
        <v>4234</v>
      </c>
      <c r="H4242" s="90">
        <f t="shared" ca="1" si="133"/>
        <v>2.8487061296343145E-3</v>
      </c>
    </row>
    <row r="4243" spans="2:8" x14ac:dyDescent="0.3">
      <c r="B4243" s="58">
        <f>'DATA HISTORICAL'!$B4888</f>
        <v>39647</v>
      </c>
      <c r="C4243" s="60">
        <f>'DATA HISTORICAL'!$C4888</f>
        <v>539.5</v>
      </c>
      <c r="D4243" s="53">
        <f t="shared" si="132"/>
        <v>3.7968485469541235E-2</v>
      </c>
      <c r="E4243" s="53">
        <v>-1.8075598302913252E-2</v>
      </c>
      <c r="G4243" s="90">
        <v>4235</v>
      </c>
      <c r="H4243" s="90">
        <f t="shared" ca="1" si="133"/>
        <v>6.2779998176885378E-4</v>
      </c>
    </row>
    <row r="4244" spans="2:8" x14ac:dyDescent="0.3">
      <c r="B4244" s="58">
        <f>'DATA HISTORICAL'!$B4889</f>
        <v>39646</v>
      </c>
      <c r="C4244" s="60">
        <f>'DATA HISTORICAL'!$C4889</f>
        <v>519.4</v>
      </c>
      <c r="D4244" s="53">
        <f t="shared" si="132"/>
        <v>-2.152259060520138E-2</v>
      </c>
      <c r="E4244" s="53">
        <v>-1.8129932323229143E-2</v>
      </c>
      <c r="G4244" s="90">
        <v>4236</v>
      </c>
      <c r="H4244" s="90">
        <f t="shared" ca="1" si="133"/>
        <v>-2.2962263145182817E-2</v>
      </c>
    </row>
    <row r="4245" spans="2:8" x14ac:dyDescent="0.3">
      <c r="B4245" s="58">
        <f>'DATA HISTORICAL'!$B4890</f>
        <v>39645</v>
      </c>
      <c r="C4245" s="60">
        <f>'DATA HISTORICAL'!$C4890</f>
        <v>530.70000000000005</v>
      </c>
      <c r="D4245" s="53">
        <f t="shared" si="132"/>
        <v>2.1693005441712522E-3</v>
      </c>
      <c r="E4245" s="53">
        <v>-1.8139377701658958E-2</v>
      </c>
      <c r="G4245" s="90">
        <v>4237</v>
      </c>
      <c r="H4245" s="90">
        <f t="shared" ca="1" si="133"/>
        <v>1.1817678958073848E-2</v>
      </c>
    </row>
    <row r="4246" spans="2:8" x14ac:dyDescent="0.3">
      <c r="B4246" s="58">
        <f>'DATA HISTORICAL'!$B4891</f>
        <v>39644</v>
      </c>
      <c r="C4246" s="60">
        <f>'DATA HISTORICAL'!$C4891</f>
        <v>529.54999999999995</v>
      </c>
      <c r="D4246" s="53">
        <f t="shared" si="132"/>
        <v>-2.3238412149968087E-2</v>
      </c>
      <c r="E4246" s="53">
        <v>-1.8168618843655816E-2</v>
      </c>
      <c r="G4246" s="90">
        <v>4238</v>
      </c>
      <c r="H4246" s="90">
        <f t="shared" ca="1" si="133"/>
        <v>1.1991765338638105E-3</v>
      </c>
    </row>
    <row r="4247" spans="2:8" x14ac:dyDescent="0.3">
      <c r="B4247" s="58">
        <f>'DATA HISTORICAL'!$B4892</f>
        <v>39643</v>
      </c>
      <c r="C4247" s="60">
        <f>'DATA HISTORICAL'!$C4892</f>
        <v>542</v>
      </c>
      <c r="D4247" s="53">
        <f t="shared" si="132"/>
        <v>-1.8463187850352787E-2</v>
      </c>
      <c r="E4247" s="53">
        <v>-1.8197886066199046E-2</v>
      </c>
      <c r="G4247" s="90">
        <v>4239</v>
      </c>
      <c r="H4247" s="90">
        <f t="shared" ca="1" si="133"/>
        <v>-6.2884961875752507E-3</v>
      </c>
    </row>
    <row r="4248" spans="2:8" x14ac:dyDescent="0.3">
      <c r="B4248" s="58">
        <f>'DATA HISTORICAL'!$B4893</f>
        <v>39640</v>
      </c>
      <c r="C4248" s="60">
        <f>'DATA HISTORICAL'!$C4893</f>
        <v>552.1</v>
      </c>
      <c r="D4248" s="53">
        <f t="shared" si="132"/>
        <v>9.0567404853058225E-5</v>
      </c>
      <c r="E4248" s="53">
        <v>-1.8214578084261069E-2</v>
      </c>
      <c r="G4248" s="90">
        <v>4240</v>
      </c>
      <c r="H4248" s="90">
        <f t="shared" ca="1" si="133"/>
        <v>-2.8630430914053E-3</v>
      </c>
    </row>
    <row r="4249" spans="2:8" x14ac:dyDescent="0.3">
      <c r="B4249" s="58">
        <f>'DATA HISTORICAL'!$B4894</f>
        <v>39639</v>
      </c>
      <c r="C4249" s="60">
        <f>'DATA HISTORICAL'!$C4894</f>
        <v>552.04999999999995</v>
      </c>
      <c r="D4249" s="53">
        <f t="shared" si="132"/>
        <v>-2.4867113193283302E-2</v>
      </c>
      <c r="E4249" s="53">
        <v>-1.822507274229223E-2</v>
      </c>
      <c r="G4249" s="90">
        <v>4241</v>
      </c>
      <c r="H4249" s="90">
        <f t="shared" ca="1" si="133"/>
        <v>1.0057352135733437E-2</v>
      </c>
    </row>
    <row r="4250" spans="2:8" x14ac:dyDescent="0.3">
      <c r="B4250" s="58">
        <f>'DATA HISTORICAL'!$B4895</f>
        <v>39638</v>
      </c>
      <c r="C4250" s="60">
        <f>'DATA HISTORICAL'!$C4895</f>
        <v>565.95000000000005</v>
      </c>
      <c r="D4250" s="53">
        <f t="shared" si="132"/>
        <v>1.9177325885834342E-2</v>
      </c>
      <c r="E4250" s="53">
        <v>-1.8241548157575754E-2</v>
      </c>
      <c r="G4250" s="90">
        <v>4242</v>
      </c>
      <c r="H4250" s="90">
        <f t="shared" ca="1" si="133"/>
        <v>7.3303952696285642E-3</v>
      </c>
    </row>
    <row r="4251" spans="2:8" x14ac:dyDescent="0.3">
      <c r="B4251" s="58">
        <f>'DATA HISTORICAL'!$B4896</f>
        <v>39637</v>
      </c>
      <c r="C4251" s="60">
        <f>'DATA HISTORICAL'!$C4896</f>
        <v>555.20000000000005</v>
      </c>
      <c r="D4251" s="53">
        <f t="shared" si="132"/>
        <v>3.4280592885308136E-3</v>
      </c>
      <c r="E4251" s="53">
        <v>-1.8279259907817327E-2</v>
      </c>
      <c r="G4251" s="90">
        <v>4243</v>
      </c>
      <c r="H4251" s="90">
        <f t="shared" ca="1" si="133"/>
        <v>-1.5461915427973101E-2</v>
      </c>
    </row>
    <row r="4252" spans="2:8" x14ac:dyDescent="0.3">
      <c r="B4252" s="58">
        <f>'DATA HISTORICAL'!$B4897</f>
        <v>39636</v>
      </c>
      <c r="C4252" s="60">
        <f>'DATA HISTORICAL'!$C4897</f>
        <v>553.29999999999995</v>
      </c>
      <c r="D4252" s="53">
        <f t="shared" si="132"/>
        <v>2.8785560695124085E-2</v>
      </c>
      <c r="E4252" s="53">
        <v>-1.8349138668196655E-2</v>
      </c>
      <c r="G4252" s="90">
        <v>4244</v>
      </c>
      <c r="H4252" s="90">
        <f t="shared" ca="1" si="133"/>
        <v>-1.9130536472194232E-2</v>
      </c>
    </row>
    <row r="4253" spans="2:8" x14ac:dyDescent="0.3">
      <c r="B4253" s="58">
        <f>'DATA HISTORICAL'!$B4898</f>
        <v>39633</v>
      </c>
      <c r="C4253" s="60">
        <f>'DATA HISTORICAL'!$C4898</f>
        <v>537.6</v>
      </c>
      <c r="D4253" s="53">
        <f t="shared" si="132"/>
        <v>1.1411591426937259E-2</v>
      </c>
      <c r="E4253" s="53">
        <v>-1.8350163688427859E-2</v>
      </c>
      <c r="G4253" s="90">
        <v>4245</v>
      </c>
      <c r="H4253" s="90">
        <f t="shared" ca="1" si="133"/>
        <v>2.7055882052852601E-2</v>
      </c>
    </row>
    <row r="4254" spans="2:8" x14ac:dyDescent="0.3">
      <c r="B4254" s="58">
        <f>'DATA HISTORICAL'!$B4899</f>
        <v>39632</v>
      </c>
      <c r="C4254" s="60">
        <f>'DATA HISTORICAL'!$C4899</f>
        <v>531.5</v>
      </c>
      <c r="D4254" s="53">
        <f t="shared" si="132"/>
        <v>-1.2991443992887345E-2</v>
      </c>
      <c r="E4254" s="53">
        <v>-1.8370243283776701E-2</v>
      </c>
      <c r="G4254" s="90">
        <v>4246</v>
      </c>
      <c r="H4254" s="90">
        <f t="shared" ca="1" si="133"/>
        <v>-1.3157424332422708E-2</v>
      </c>
    </row>
    <row r="4255" spans="2:8" x14ac:dyDescent="0.3">
      <c r="B4255" s="58">
        <f>'DATA HISTORICAL'!$B4900</f>
        <v>39631</v>
      </c>
      <c r="C4255" s="60">
        <f>'DATA HISTORICAL'!$C4900</f>
        <v>538.45000000000005</v>
      </c>
      <c r="D4255" s="53">
        <f t="shared" si="132"/>
        <v>3.0643985509861398E-2</v>
      </c>
      <c r="E4255" s="53">
        <v>-1.8376264173703093E-2</v>
      </c>
      <c r="G4255" s="90">
        <v>4247</v>
      </c>
      <c r="H4255" s="90">
        <f t="shared" ca="1" si="133"/>
        <v>1.350438307941499E-2</v>
      </c>
    </row>
    <row r="4256" spans="2:8" x14ac:dyDescent="0.3">
      <c r="B4256" s="58">
        <f>'DATA HISTORICAL'!$B4901</f>
        <v>39630</v>
      </c>
      <c r="C4256" s="60">
        <f>'DATA HISTORICAL'!$C4901</f>
        <v>522.20000000000005</v>
      </c>
      <c r="D4256" s="53">
        <f t="shared" si="132"/>
        <v>-4.3560485778737265E-2</v>
      </c>
      <c r="E4256" s="53">
        <v>-1.8382870600533535E-2</v>
      </c>
      <c r="G4256" s="90">
        <v>4248</v>
      </c>
      <c r="H4256" s="90">
        <f t="shared" ca="1" si="133"/>
        <v>1.0651540961824094E-2</v>
      </c>
    </row>
    <row r="4257" spans="2:8" x14ac:dyDescent="0.3">
      <c r="B4257" s="58">
        <f>'DATA HISTORICAL'!$B4902</f>
        <v>39629</v>
      </c>
      <c r="C4257" s="60">
        <f>'DATA HISTORICAL'!$C4902</f>
        <v>545.45000000000005</v>
      </c>
      <c r="D4257" s="53">
        <f t="shared" si="132"/>
        <v>-4.2093529712835878E-2</v>
      </c>
      <c r="E4257" s="53">
        <v>-1.8386285151912797E-2</v>
      </c>
      <c r="G4257" s="90">
        <v>4249</v>
      </c>
      <c r="H4257" s="90">
        <f t="shared" ca="1" si="133"/>
        <v>2.4146020114639752E-3</v>
      </c>
    </row>
    <row r="4258" spans="2:8" x14ac:dyDescent="0.3">
      <c r="B4258" s="58">
        <f>'DATA HISTORICAL'!$B4903</f>
        <v>39626</v>
      </c>
      <c r="C4258" s="60">
        <f>'DATA HISTORICAL'!$C4903</f>
        <v>568.9</v>
      </c>
      <c r="D4258" s="53">
        <f t="shared" si="132"/>
        <v>-3.7772878900622947E-2</v>
      </c>
      <c r="E4258" s="53">
        <v>-1.8401073891443059E-2</v>
      </c>
      <c r="G4258" s="90">
        <v>4250</v>
      </c>
      <c r="H4258" s="90">
        <f t="shared" ca="1" si="133"/>
        <v>1.3886650130969253E-2</v>
      </c>
    </row>
    <row r="4259" spans="2:8" x14ac:dyDescent="0.3">
      <c r="B4259" s="58">
        <f>'DATA HISTORICAL'!$B4904</f>
        <v>39625</v>
      </c>
      <c r="C4259" s="60">
        <f>'DATA HISTORICAL'!$C4904</f>
        <v>590.79999999999995</v>
      </c>
      <c r="D4259" s="53">
        <f t="shared" si="132"/>
        <v>3.478911187782497E-2</v>
      </c>
      <c r="E4259" s="53">
        <v>-1.840844061453847E-2</v>
      </c>
      <c r="G4259" s="90">
        <v>4251</v>
      </c>
      <c r="H4259" s="90">
        <f t="shared" ca="1" si="133"/>
        <v>1.7077971874708428E-2</v>
      </c>
    </row>
    <row r="4260" spans="2:8" x14ac:dyDescent="0.3">
      <c r="B4260" s="58">
        <f>'DATA HISTORICAL'!$B4905</f>
        <v>39624</v>
      </c>
      <c r="C4260" s="60">
        <f>'DATA HISTORICAL'!$C4905</f>
        <v>570.6</v>
      </c>
      <c r="D4260" s="53">
        <f t="shared" si="132"/>
        <v>1.5453528425488142E-2</v>
      </c>
      <c r="E4260" s="53">
        <v>-1.8409539486801563E-2</v>
      </c>
      <c r="G4260" s="90">
        <v>4252</v>
      </c>
      <c r="H4260" s="90">
        <f t="shared" ca="1" si="133"/>
        <v>7.0616424967231556E-3</v>
      </c>
    </row>
    <row r="4261" spans="2:8" x14ac:dyDescent="0.3">
      <c r="B4261" s="58">
        <f>'DATA HISTORICAL'!$B4906</f>
        <v>39623</v>
      </c>
      <c r="C4261" s="60">
        <f>'DATA HISTORICAL'!$C4906</f>
        <v>561.85</v>
      </c>
      <c r="D4261" s="53">
        <f t="shared" si="132"/>
        <v>-2.2526249460856275E-2</v>
      </c>
      <c r="E4261" s="53">
        <v>-1.8455585566715681E-2</v>
      </c>
      <c r="G4261" s="90">
        <v>4253</v>
      </c>
      <c r="H4261" s="90">
        <f t="shared" ca="1" si="133"/>
        <v>1.4830217379445511E-3</v>
      </c>
    </row>
    <row r="4262" spans="2:8" x14ac:dyDescent="0.3">
      <c r="B4262" s="58">
        <f>'DATA HISTORICAL'!$B4907</f>
        <v>39622</v>
      </c>
      <c r="C4262" s="60">
        <f>'DATA HISTORICAL'!$C4907</f>
        <v>574.65</v>
      </c>
      <c r="D4262" s="53">
        <f t="shared" si="132"/>
        <v>-3.0674097819689914E-2</v>
      </c>
      <c r="E4262" s="53">
        <v>-1.8499494339123998E-2</v>
      </c>
      <c r="G4262" s="90">
        <v>4254</v>
      </c>
      <c r="H4262" s="90">
        <f t="shared" ca="1" si="133"/>
        <v>-3.4147212424613617E-3</v>
      </c>
    </row>
    <row r="4263" spans="2:8" x14ac:dyDescent="0.3">
      <c r="B4263" s="58">
        <f>'DATA HISTORICAL'!$B4908</f>
        <v>39619</v>
      </c>
      <c r="C4263" s="60">
        <f>'DATA HISTORICAL'!$C4908</f>
        <v>592.54999999999995</v>
      </c>
      <c r="D4263" s="53">
        <f t="shared" si="132"/>
        <v>-5.7786386773395523E-2</v>
      </c>
      <c r="E4263" s="53">
        <v>-1.8527543844546475E-2</v>
      </c>
      <c r="G4263" s="90">
        <v>4255</v>
      </c>
      <c r="H4263" s="90">
        <f t="shared" ca="1" si="133"/>
        <v>5.9869085971712616E-2</v>
      </c>
    </row>
    <row r="4264" spans="2:8" x14ac:dyDescent="0.3">
      <c r="B4264" s="58">
        <f>'DATA HISTORICAL'!$B4909</f>
        <v>39618</v>
      </c>
      <c r="C4264" s="60">
        <f>'DATA HISTORICAL'!$C4909</f>
        <v>627.79999999999995</v>
      </c>
      <c r="D4264" s="53">
        <f t="shared" si="132"/>
        <v>-7.0632411422214105E-3</v>
      </c>
      <c r="E4264" s="53">
        <v>-1.8540126532743895E-2</v>
      </c>
      <c r="G4264" s="90">
        <v>4256</v>
      </c>
      <c r="H4264" s="90">
        <f t="shared" ca="1" si="133"/>
        <v>1.6199014256013954E-2</v>
      </c>
    </row>
    <row r="4265" spans="2:8" x14ac:dyDescent="0.3">
      <c r="B4265" s="58">
        <f>'DATA HISTORICAL'!$B4910</f>
        <v>39617</v>
      </c>
      <c r="C4265" s="60">
        <f>'DATA HISTORICAL'!$C4910</f>
        <v>632.25</v>
      </c>
      <c r="D4265" s="53">
        <f t="shared" si="132"/>
        <v>2.8510354308390845E-3</v>
      </c>
      <c r="E4265" s="53">
        <v>-1.8598971849592597E-2</v>
      </c>
      <c r="G4265" s="90">
        <v>4257</v>
      </c>
      <c r="H4265" s="90">
        <f t="shared" ca="1" si="133"/>
        <v>7.4748675965259645E-3</v>
      </c>
    </row>
    <row r="4266" spans="2:8" x14ac:dyDescent="0.3">
      <c r="B4266" s="58">
        <f>'DATA HISTORICAL'!$B4911</f>
        <v>39616</v>
      </c>
      <c r="C4266" s="60">
        <f>'DATA HISTORICAL'!$C4911</f>
        <v>630.45000000000005</v>
      </c>
      <c r="D4266" s="53">
        <f t="shared" si="132"/>
        <v>1.8490141373919699E-2</v>
      </c>
      <c r="E4266" s="53">
        <v>-1.8602697205127652E-2</v>
      </c>
      <c r="G4266" s="90">
        <v>4258</v>
      </c>
      <c r="H4266" s="90">
        <f t="shared" ca="1" si="133"/>
        <v>1.1387309032122032E-2</v>
      </c>
    </row>
    <row r="4267" spans="2:8" x14ac:dyDescent="0.3">
      <c r="B4267" s="58">
        <f>'DATA HISTORICAL'!$B4912</f>
        <v>39615</v>
      </c>
      <c r="C4267" s="60">
        <f>'DATA HISTORICAL'!$C4912</f>
        <v>618.9</v>
      </c>
      <c r="D4267" s="53">
        <f t="shared" si="132"/>
        <v>-3.0629656683383893E-2</v>
      </c>
      <c r="E4267" s="53">
        <v>-1.8615304859587862E-2</v>
      </c>
      <c r="G4267" s="90">
        <v>4259</v>
      </c>
      <c r="H4267" s="90">
        <f t="shared" ca="1" si="133"/>
        <v>4.6807661178237935E-3</v>
      </c>
    </row>
    <row r="4268" spans="2:8" x14ac:dyDescent="0.3">
      <c r="B4268" s="58">
        <f>'DATA HISTORICAL'!$B4913</f>
        <v>39612</v>
      </c>
      <c r="C4268" s="60">
        <f>'DATA HISTORICAL'!$C4913</f>
        <v>638.15</v>
      </c>
      <c r="D4268" s="53">
        <f t="shared" si="132"/>
        <v>-3.1291584634882651E-3</v>
      </c>
      <c r="E4268" s="53">
        <v>-1.8653540736493401E-2</v>
      </c>
      <c r="G4268" s="90">
        <v>4260</v>
      </c>
      <c r="H4268" s="90">
        <f t="shared" ca="1" si="133"/>
        <v>-2.2178935117626785E-3</v>
      </c>
    </row>
    <row r="4269" spans="2:8" x14ac:dyDescent="0.3">
      <c r="B4269" s="58">
        <f>'DATA HISTORICAL'!$B4914</f>
        <v>39611</v>
      </c>
      <c r="C4269" s="60">
        <f>'DATA HISTORICAL'!$C4914</f>
        <v>640.15</v>
      </c>
      <c r="D4269" s="53">
        <f t="shared" si="132"/>
        <v>-1.326933028482091E-3</v>
      </c>
      <c r="E4269" s="53">
        <v>-1.866595262002553E-2</v>
      </c>
      <c r="G4269" s="90">
        <v>4261</v>
      </c>
      <c r="H4269" s="90">
        <f t="shared" ca="1" si="133"/>
        <v>-1.2050312675540544E-2</v>
      </c>
    </row>
    <row r="4270" spans="2:8" x14ac:dyDescent="0.3">
      <c r="B4270" s="58">
        <f>'DATA HISTORICAL'!$B4915</f>
        <v>39610</v>
      </c>
      <c r="C4270" s="60">
        <f>'DATA HISTORICAL'!$C4915</f>
        <v>641</v>
      </c>
      <c r="D4270" s="53">
        <f t="shared" si="132"/>
        <v>4.4501402152027754E-2</v>
      </c>
      <c r="E4270" s="53">
        <v>-1.8695693868070389E-2</v>
      </c>
      <c r="G4270" s="90">
        <v>4262</v>
      </c>
      <c r="H4270" s="90">
        <f t="shared" ca="1" si="133"/>
        <v>4.5227286578244846E-2</v>
      </c>
    </row>
    <row r="4271" spans="2:8" x14ac:dyDescent="0.3">
      <c r="B4271" s="58">
        <f>'DATA HISTORICAL'!$B4916</f>
        <v>39609</v>
      </c>
      <c r="C4271" s="60">
        <f>'DATA HISTORICAL'!$C4916</f>
        <v>613.1</v>
      </c>
      <c r="D4271" s="53">
        <f t="shared" si="132"/>
        <v>-1.3527402422878301E-2</v>
      </c>
      <c r="E4271" s="53">
        <v>-1.8709565130395109E-2</v>
      </c>
      <c r="G4271" s="90">
        <v>4263</v>
      </c>
      <c r="H4271" s="90">
        <f t="shared" ca="1" si="133"/>
        <v>8.4768808853413046E-3</v>
      </c>
    </row>
    <row r="4272" spans="2:8" x14ac:dyDescent="0.3">
      <c r="B4272" s="58">
        <f>'DATA HISTORICAL'!$B4917</f>
        <v>39608</v>
      </c>
      <c r="C4272" s="60">
        <f>'DATA HISTORICAL'!$C4917</f>
        <v>621.45000000000005</v>
      </c>
      <c r="D4272" s="53">
        <f t="shared" si="132"/>
        <v>-3.0193664145268324E-2</v>
      </c>
      <c r="E4272" s="53">
        <v>-1.8710451553264566E-2</v>
      </c>
      <c r="G4272" s="90">
        <v>4264</v>
      </c>
      <c r="H4272" s="90">
        <f t="shared" ca="1" si="133"/>
        <v>2.6961213110641466E-2</v>
      </c>
    </row>
    <row r="4273" spans="2:8" x14ac:dyDescent="0.3">
      <c r="B4273" s="58">
        <f>'DATA HISTORICAL'!$B4918</f>
        <v>39605</v>
      </c>
      <c r="C4273" s="60">
        <f>'DATA HISTORICAL'!$C4918</f>
        <v>640.5</v>
      </c>
      <c r="D4273" s="53">
        <f t="shared" si="132"/>
        <v>3.1320696948512916E-2</v>
      </c>
      <c r="E4273" s="53">
        <v>-1.8720449977718635E-2</v>
      </c>
      <c r="G4273" s="90">
        <v>4265</v>
      </c>
      <c r="H4273" s="90">
        <f t="shared" ca="1" si="133"/>
        <v>-2.7771549871910935E-2</v>
      </c>
    </row>
    <row r="4274" spans="2:8" x14ac:dyDescent="0.3">
      <c r="B4274" s="58">
        <f>'DATA HISTORICAL'!$B4919</f>
        <v>39604</v>
      </c>
      <c r="C4274" s="60">
        <f>'DATA HISTORICAL'!$C4919</f>
        <v>620.75</v>
      </c>
      <c r="D4274" s="53">
        <f t="shared" si="132"/>
        <v>-7.8626849227879103E-3</v>
      </c>
      <c r="E4274" s="53">
        <v>-1.8735655445933846E-2</v>
      </c>
      <c r="G4274" s="90">
        <v>4266</v>
      </c>
      <c r="H4274" s="90">
        <f t="shared" ca="1" si="133"/>
        <v>-4.1990018736127822E-2</v>
      </c>
    </row>
    <row r="4275" spans="2:8" x14ac:dyDescent="0.3">
      <c r="B4275" s="58">
        <f>'DATA HISTORICAL'!$B4920</f>
        <v>39603</v>
      </c>
      <c r="C4275" s="60">
        <f>'DATA HISTORICAL'!$C4920</f>
        <v>625.65</v>
      </c>
      <c r="D4275" s="53">
        <f t="shared" si="132"/>
        <v>-2.867467040872897E-2</v>
      </c>
      <c r="E4275" s="53">
        <v>-1.8770102681990603E-2</v>
      </c>
      <c r="G4275" s="90">
        <v>4267</v>
      </c>
      <c r="H4275" s="90">
        <f t="shared" ca="1" si="133"/>
        <v>8.3392569968352911E-4</v>
      </c>
    </row>
    <row r="4276" spans="2:8" x14ac:dyDescent="0.3">
      <c r="B4276" s="58">
        <f>'DATA HISTORICAL'!$B4921</f>
        <v>39602</v>
      </c>
      <c r="C4276" s="60">
        <f>'DATA HISTORICAL'!$C4921</f>
        <v>643.85</v>
      </c>
      <c r="D4276" s="53">
        <f t="shared" si="132"/>
        <v>6.1538655743782859E-3</v>
      </c>
      <c r="E4276" s="53">
        <v>-1.8793723093639875E-2</v>
      </c>
      <c r="G4276" s="90">
        <v>4268</v>
      </c>
      <c r="H4276" s="90">
        <f t="shared" ca="1" si="133"/>
        <v>2.054937870097074E-3</v>
      </c>
    </row>
    <row r="4277" spans="2:8" x14ac:dyDescent="0.3">
      <c r="B4277" s="58">
        <f>'DATA HISTORICAL'!$B4922</f>
        <v>39601</v>
      </c>
      <c r="C4277" s="60">
        <f>'DATA HISTORICAL'!$C4922</f>
        <v>639.9</v>
      </c>
      <c r="D4277" s="53">
        <f t="shared" si="132"/>
        <v>-1.4967901296327194E-2</v>
      </c>
      <c r="E4277" s="53">
        <v>-1.8801391583596248E-2</v>
      </c>
      <c r="G4277" s="90">
        <v>4269</v>
      </c>
      <c r="H4277" s="90">
        <f t="shared" ca="1" si="133"/>
        <v>-8.4367404239785067E-3</v>
      </c>
    </row>
    <row r="4278" spans="2:8" x14ac:dyDescent="0.3">
      <c r="B4278" s="58">
        <f>'DATA HISTORICAL'!$B4923</f>
        <v>39598</v>
      </c>
      <c r="C4278" s="60">
        <f>'DATA HISTORICAL'!$C4923</f>
        <v>649.54999999999995</v>
      </c>
      <c r="D4278" s="53">
        <f t="shared" si="132"/>
        <v>1.2080995690491949E-2</v>
      </c>
      <c r="E4278" s="53">
        <v>-1.8829683013207806E-2</v>
      </c>
      <c r="G4278" s="90">
        <v>4270</v>
      </c>
      <c r="H4278" s="90">
        <f t="shared" ca="1" si="133"/>
        <v>-1.0597752188483002E-2</v>
      </c>
    </row>
    <row r="4279" spans="2:8" x14ac:dyDescent="0.3">
      <c r="B4279" s="58">
        <f>'DATA HISTORICAL'!$B4924</f>
        <v>39597</v>
      </c>
      <c r="C4279" s="60">
        <f>'DATA HISTORICAL'!$C4924</f>
        <v>641.75</v>
      </c>
      <c r="D4279" s="53">
        <f t="shared" si="132"/>
        <v>-2.0512748848429768E-2</v>
      </c>
      <c r="E4279" s="53">
        <v>-1.8859857214133038E-2</v>
      </c>
      <c r="G4279" s="90">
        <v>4271</v>
      </c>
      <c r="H4279" s="90">
        <f t="shared" ca="1" si="133"/>
        <v>2.1054644413272577E-2</v>
      </c>
    </row>
    <row r="4280" spans="2:8" x14ac:dyDescent="0.3">
      <c r="B4280" s="58">
        <f>'DATA HISTORICAL'!$B4925</f>
        <v>39596</v>
      </c>
      <c r="C4280" s="60">
        <f>'DATA HISTORICAL'!$C4925</f>
        <v>655.04999999999995</v>
      </c>
      <c r="D4280" s="53">
        <f t="shared" si="132"/>
        <v>2.8727150602218268E-2</v>
      </c>
      <c r="E4280" s="53">
        <v>-1.8860099884312274E-2</v>
      </c>
      <c r="G4280" s="90">
        <v>4272</v>
      </c>
      <c r="H4280" s="90">
        <f t="shared" ca="1" si="133"/>
        <v>3.6500444156449467E-3</v>
      </c>
    </row>
    <row r="4281" spans="2:8" x14ac:dyDescent="0.3">
      <c r="B4281" s="58">
        <f>'DATA HISTORICAL'!$B4926</f>
        <v>39595</v>
      </c>
      <c r="C4281" s="60">
        <f>'DATA HISTORICAL'!$C4926</f>
        <v>636.5</v>
      </c>
      <c r="D4281" s="53">
        <f t="shared" si="132"/>
        <v>-1.7267094785441497E-3</v>
      </c>
      <c r="E4281" s="53">
        <v>-1.8911833827827594E-2</v>
      </c>
      <c r="G4281" s="90">
        <v>4273</v>
      </c>
      <c r="H4281" s="90">
        <f t="shared" ca="1" si="133"/>
        <v>-6.0213599224333029E-3</v>
      </c>
    </row>
    <row r="4282" spans="2:8" x14ac:dyDescent="0.3">
      <c r="B4282" s="58">
        <f>'DATA HISTORICAL'!$B4927</f>
        <v>39594</v>
      </c>
      <c r="C4282" s="60">
        <f>'DATA HISTORICAL'!$C4927</f>
        <v>637.6</v>
      </c>
      <c r="D4282" s="53">
        <f t="shared" si="132"/>
        <v>-4.3127991130652667E-2</v>
      </c>
      <c r="E4282" s="53">
        <v>-1.8912452051604696E-2</v>
      </c>
      <c r="G4282" s="90">
        <v>4274</v>
      </c>
      <c r="H4282" s="90">
        <f t="shared" ca="1" si="133"/>
        <v>6.1824451888331227E-3</v>
      </c>
    </row>
    <row r="4283" spans="2:8" x14ac:dyDescent="0.3">
      <c r="B4283" s="58">
        <f>'DATA HISTORICAL'!$B4928</f>
        <v>39591</v>
      </c>
      <c r="C4283" s="60">
        <f>'DATA HISTORICAL'!$C4928</f>
        <v>665.7</v>
      </c>
      <c r="D4283" s="53">
        <f t="shared" si="132"/>
        <v>-2.3383762266864061E-2</v>
      </c>
      <c r="E4283" s="53">
        <v>-1.8912765012111053E-2</v>
      </c>
      <c r="G4283" s="90">
        <v>4275</v>
      </c>
      <c r="H4283" s="90">
        <f t="shared" ca="1" si="133"/>
        <v>-1.520198104339179E-2</v>
      </c>
    </row>
    <row r="4284" spans="2:8" x14ac:dyDescent="0.3">
      <c r="B4284" s="58">
        <f>'DATA HISTORICAL'!$B4929</f>
        <v>39590</v>
      </c>
      <c r="C4284" s="60">
        <f>'DATA HISTORICAL'!$C4929</f>
        <v>681.45</v>
      </c>
      <c r="D4284" s="53">
        <f t="shared" si="132"/>
        <v>-1.8825282472618329E-2</v>
      </c>
      <c r="E4284" s="53">
        <v>-1.894260300199424E-2</v>
      </c>
      <c r="G4284" s="90">
        <v>4276</v>
      </c>
      <c r="H4284" s="90">
        <f t="shared" ca="1" si="133"/>
        <v>5.2705895268423467E-3</v>
      </c>
    </row>
    <row r="4285" spans="2:8" x14ac:dyDescent="0.3">
      <c r="B4285" s="58">
        <f>'DATA HISTORICAL'!$B4930</f>
        <v>39589</v>
      </c>
      <c r="C4285" s="60">
        <f>'DATA HISTORICAL'!$C4930</f>
        <v>694.4</v>
      </c>
      <c r="D4285" s="53">
        <f t="shared" si="132"/>
        <v>-7.1746612831350854E-3</v>
      </c>
      <c r="E4285" s="53">
        <v>-1.8946676867881287E-2</v>
      </c>
      <c r="G4285" s="90">
        <v>4277</v>
      </c>
      <c r="H4285" s="90">
        <f t="shared" ca="1" si="133"/>
        <v>1.8522864090726131E-2</v>
      </c>
    </row>
    <row r="4286" spans="2:8" x14ac:dyDescent="0.3">
      <c r="B4286" s="58">
        <f>'DATA HISTORICAL'!$B4931</f>
        <v>39588</v>
      </c>
      <c r="C4286" s="60">
        <f>'DATA HISTORICAL'!$C4931</f>
        <v>699.4</v>
      </c>
      <c r="D4286" s="53">
        <f t="shared" si="132"/>
        <v>9.2649781144638222E-3</v>
      </c>
      <c r="E4286" s="53">
        <v>-1.8952785385083742E-2</v>
      </c>
      <c r="G4286" s="90">
        <v>4278</v>
      </c>
      <c r="H4286" s="90">
        <f t="shared" ca="1" si="133"/>
        <v>-6.9532154272088512E-3</v>
      </c>
    </row>
    <row r="4287" spans="2:8" x14ac:dyDescent="0.3">
      <c r="B4287" s="58">
        <f>'DATA HISTORICAL'!$B4932</f>
        <v>39584</v>
      </c>
      <c r="C4287" s="60">
        <f>'DATA HISTORICAL'!$C4932</f>
        <v>692.95</v>
      </c>
      <c r="D4287" s="53">
        <f t="shared" si="132"/>
        <v>-1.1692683698110475E-2</v>
      </c>
      <c r="E4287" s="53">
        <v>-1.8965648063540407E-2</v>
      </c>
      <c r="G4287" s="90">
        <v>4279</v>
      </c>
      <c r="H4287" s="90">
        <f t="shared" ca="1" si="133"/>
        <v>-1.3212724039087981E-2</v>
      </c>
    </row>
    <row r="4288" spans="2:8" x14ac:dyDescent="0.3">
      <c r="B4288" s="58">
        <f>'DATA HISTORICAL'!$B4933</f>
        <v>39583</v>
      </c>
      <c r="C4288" s="60">
        <f>'DATA HISTORICAL'!$C4933</f>
        <v>701.1</v>
      </c>
      <c r="D4288" s="53">
        <f t="shared" si="132"/>
        <v>5.1511021096345443E-2</v>
      </c>
      <c r="E4288" s="53">
        <v>-1.8970227230157833E-2</v>
      </c>
      <c r="G4288" s="90">
        <v>4280</v>
      </c>
      <c r="H4288" s="90">
        <f t="shared" ca="1" si="133"/>
        <v>1.7323062484272421E-2</v>
      </c>
    </row>
    <row r="4289" spans="2:8" x14ac:dyDescent="0.3">
      <c r="B4289" s="58">
        <f>'DATA HISTORICAL'!$B4934</f>
        <v>39582</v>
      </c>
      <c r="C4289" s="60">
        <f>'DATA HISTORICAL'!$C4934</f>
        <v>665.9</v>
      </c>
      <c r="D4289" s="53">
        <f t="shared" si="132"/>
        <v>1.0517617978039351E-3</v>
      </c>
      <c r="E4289" s="53">
        <v>-1.8997139608042023E-2</v>
      </c>
      <c r="G4289" s="90">
        <v>4281</v>
      </c>
      <c r="H4289" s="90">
        <f t="shared" ca="1" si="133"/>
        <v>-5.6462538716468965E-3</v>
      </c>
    </row>
    <row r="4290" spans="2:8" x14ac:dyDescent="0.3">
      <c r="B4290" s="58">
        <f>'DATA HISTORICAL'!$B4935</f>
        <v>39581</v>
      </c>
      <c r="C4290" s="60">
        <f>'DATA HISTORICAL'!$C4935</f>
        <v>665.2</v>
      </c>
      <c r="D4290" s="53">
        <f t="shared" si="132"/>
        <v>1.8055978423388698E-3</v>
      </c>
      <c r="E4290" s="53">
        <v>-1.9108414208885729E-2</v>
      </c>
      <c r="G4290" s="90">
        <v>4282</v>
      </c>
      <c r="H4290" s="90">
        <f t="shared" ca="1" si="133"/>
        <v>2.4308349394493431E-2</v>
      </c>
    </row>
    <row r="4291" spans="2:8" x14ac:dyDescent="0.3">
      <c r="B4291" s="58">
        <f>'DATA HISTORICAL'!$B4936</f>
        <v>39580</v>
      </c>
      <c r="C4291" s="60">
        <f>'DATA HISTORICAL'!$C4936</f>
        <v>664</v>
      </c>
      <c r="D4291" s="53">
        <f t="shared" si="132"/>
        <v>-4.0725604332701615E-2</v>
      </c>
      <c r="E4291" s="53">
        <v>-1.9144099819166201E-2</v>
      </c>
      <c r="G4291" s="90">
        <v>4283</v>
      </c>
      <c r="H4291" s="90">
        <f t="shared" ca="1" si="133"/>
        <v>2.4834602246562941E-2</v>
      </c>
    </row>
    <row r="4292" spans="2:8" x14ac:dyDescent="0.3">
      <c r="B4292" s="58">
        <f>'DATA HISTORICAL'!$B4937</f>
        <v>39577</v>
      </c>
      <c r="C4292" s="60">
        <f>'DATA HISTORICAL'!$C4937</f>
        <v>691.6</v>
      </c>
      <c r="D4292" s="53">
        <f t="shared" si="132"/>
        <v>-3.7252879764567544E-2</v>
      </c>
      <c r="E4292" s="53">
        <v>-1.9177822527337678E-2</v>
      </c>
      <c r="G4292" s="90">
        <v>4284</v>
      </c>
      <c r="H4292" s="90">
        <f t="shared" ca="1" si="133"/>
        <v>1.4427907714344657E-2</v>
      </c>
    </row>
    <row r="4293" spans="2:8" x14ac:dyDescent="0.3">
      <c r="B4293" s="58">
        <f>'DATA HISTORICAL'!$B4938</f>
        <v>39576</v>
      </c>
      <c r="C4293" s="60">
        <f>'DATA HISTORICAL'!$C4938</f>
        <v>717.85</v>
      </c>
      <c r="D4293" s="53">
        <f t="shared" si="132"/>
        <v>-3.3694894768367616E-2</v>
      </c>
      <c r="E4293" s="53">
        <v>-1.9219793224390672E-2</v>
      </c>
      <c r="G4293" s="90">
        <v>4285</v>
      </c>
      <c r="H4293" s="90">
        <f t="shared" ca="1" si="133"/>
        <v>-3.1621108109543541E-3</v>
      </c>
    </row>
    <row r="4294" spans="2:8" x14ac:dyDescent="0.3">
      <c r="B4294" s="58">
        <f>'DATA HISTORICAL'!$B4939</f>
        <v>39575</v>
      </c>
      <c r="C4294" s="60">
        <f>'DATA HISTORICAL'!$C4939</f>
        <v>742.45</v>
      </c>
      <c r="D4294" s="53">
        <f t="shared" si="132"/>
        <v>-2.0925726904877685E-2</v>
      </c>
      <c r="E4294" s="53">
        <v>-1.9227920561189417E-2</v>
      </c>
      <c r="G4294" s="90">
        <v>4286</v>
      </c>
      <c r="H4294" s="90">
        <f t="shared" ca="1" si="133"/>
        <v>4.0130049821314295E-2</v>
      </c>
    </row>
    <row r="4295" spans="2:8" x14ac:dyDescent="0.3">
      <c r="B4295" s="58">
        <f>'DATA HISTORICAL'!$B4940</f>
        <v>39574</v>
      </c>
      <c r="C4295" s="60">
        <f>'DATA HISTORICAL'!$C4940</f>
        <v>758.15</v>
      </c>
      <c r="D4295" s="53">
        <f t="shared" si="132"/>
        <v>6.5971766477708677E-4</v>
      </c>
      <c r="E4295" s="53">
        <v>-1.9233154838072659E-2</v>
      </c>
      <c r="G4295" s="90">
        <v>4287</v>
      </c>
      <c r="H4295" s="90">
        <f t="shared" ca="1" si="133"/>
        <v>-2.3803258782813058E-2</v>
      </c>
    </row>
    <row r="4296" spans="2:8" x14ac:dyDescent="0.3">
      <c r="B4296" s="58">
        <f>'DATA HISTORICAL'!$B4941</f>
        <v>39573</v>
      </c>
      <c r="C4296" s="60">
        <f>'DATA HISTORICAL'!$C4941</f>
        <v>757.65</v>
      </c>
      <c r="D4296" s="53">
        <f t="shared" si="132"/>
        <v>3.300221144768493E-4</v>
      </c>
      <c r="E4296" s="53">
        <v>-1.9262596571613676E-2</v>
      </c>
      <c r="G4296" s="90">
        <v>4288</v>
      </c>
      <c r="H4296" s="90">
        <f t="shared" ca="1" si="133"/>
        <v>5.2354981730547232E-4</v>
      </c>
    </row>
    <row r="4297" spans="2:8" x14ac:dyDescent="0.3">
      <c r="B4297" s="58">
        <f>'DATA HISTORICAL'!$B4942</f>
        <v>39570</v>
      </c>
      <c r="C4297" s="60">
        <f>'DATA HISTORICAL'!$C4942</f>
        <v>757.4</v>
      </c>
      <c r="D4297" s="53">
        <f t="shared" ref="D4297:D4360" si="134">LN(C4297/C4298)</f>
        <v>-7.3009828700502178E-3</v>
      </c>
      <c r="E4297" s="53">
        <v>-1.9264970224171674E-2</v>
      </c>
      <c r="G4297" s="90">
        <v>4289</v>
      </c>
      <c r="H4297" s="90">
        <f t="shared" ref="H4297:H4360" ca="1" si="135">_xlfn.NORM.INV(RAND(),N$10,N$11)</f>
        <v>1.8337005536641159E-2</v>
      </c>
    </row>
    <row r="4298" spans="2:8" x14ac:dyDescent="0.3">
      <c r="B4298" s="58">
        <f>'DATA HISTORICAL'!$B4943</f>
        <v>39568</v>
      </c>
      <c r="C4298" s="60">
        <f>'DATA HISTORICAL'!$C4943</f>
        <v>762.95</v>
      </c>
      <c r="D4298" s="53">
        <f t="shared" si="134"/>
        <v>-2.3446669939273052E-2</v>
      </c>
      <c r="E4298" s="53">
        <v>-1.9303688338263323E-2</v>
      </c>
      <c r="G4298" s="90">
        <v>4290</v>
      </c>
      <c r="H4298" s="90">
        <f t="shared" ca="1" si="135"/>
        <v>4.225065943890071E-2</v>
      </c>
    </row>
    <row r="4299" spans="2:8" x14ac:dyDescent="0.3">
      <c r="B4299" s="58">
        <f>'DATA HISTORICAL'!$B4944</f>
        <v>39567</v>
      </c>
      <c r="C4299" s="60">
        <f>'DATA HISTORICAL'!$C4944</f>
        <v>781.05</v>
      </c>
      <c r="D4299" s="53">
        <f t="shared" si="134"/>
        <v>4.4912176096712575E-3</v>
      </c>
      <c r="E4299" s="53">
        <v>-1.9317907445753669E-2</v>
      </c>
      <c r="G4299" s="90">
        <v>4291</v>
      </c>
      <c r="H4299" s="90">
        <f t="shared" ca="1" si="135"/>
        <v>2.839405959812814E-3</v>
      </c>
    </row>
    <row r="4300" spans="2:8" x14ac:dyDescent="0.3">
      <c r="B4300" s="58">
        <f>'DATA HISTORICAL'!$B4945</f>
        <v>39566</v>
      </c>
      <c r="C4300" s="60">
        <f>'DATA HISTORICAL'!$C4945</f>
        <v>777.55</v>
      </c>
      <c r="D4300" s="53">
        <f t="shared" si="134"/>
        <v>-6.6654095391685091E-3</v>
      </c>
      <c r="E4300" s="53">
        <v>-1.9319633791989945E-2</v>
      </c>
      <c r="G4300" s="90">
        <v>4292</v>
      </c>
      <c r="H4300" s="90">
        <f t="shared" ca="1" si="135"/>
        <v>1.5777546269099489E-2</v>
      </c>
    </row>
    <row r="4301" spans="2:8" x14ac:dyDescent="0.3">
      <c r="B4301" s="58">
        <f>'DATA HISTORICAL'!$B4946</f>
        <v>39563</v>
      </c>
      <c r="C4301" s="60">
        <f>'DATA HISTORICAL'!$C4946</f>
        <v>782.75</v>
      </c>
      <c r="D4301" s="53">
        <f t="shared" si="134"/>
        <v>-1.3009861428332882E-2</v>
      </c>
      <c r="E4301" s="53">
        <v>-1.9334085041629617E-2</v>
      </c>
      <c r="G4301" s="90">
        <v>4293</v>
      </c>
      <c r="H4301" s="90">
        <f t="shared" ca="1" si="135"/>
        <v>7.0879147262539865E-3</v>
      </c>
    </row>
    <row r="4302" spans="2:8" x14ac:dyDescent="0.3">
      <c r="B4302" s="58">
        <f>'DATA HISTORICAL'!$B4947</f>
        <v>39562</v>
      </c>
      <c r="C4302" s="60">
        <f>'DATA HISTORICAL'!$C4947</f>
        <v>793</v>
      </c>
      <c r="D4302" s="53">
        <f t="shared" si="134"/>
        <v>-3.2260862218221435E-2</v>
      </c>
      <c r="E4302" s="53">
        <v>-1.9365855353430765E-2</v>
      </c>
      <c r="G4302" s="90">
        <v>4294</v>
      </c>
      <c r="H4302" s="90">
        <f t="shared" ca="1" si="135"/>
        <v>9.9104821551529027E-3</v>
      </c>
    </row>
    <row r="4303" spans="2:8" x14ac:dyDescent="0.3">
      <c r="B4303" s="58">
        <f>'DATA HISTORICAL'!$B4948</f>
        <v>39561</v>
      </c>
      <c r="C4303" s="60">
        <f>'DATA HISTORICAL'!$C4948</f>
        <v>819</v>
      </c>
      <c r="D4303" s="53">
        <f t="shared" si="134"/>
        <v>-9.8415228447913203E-3</v>
      </c>
      <c r="E4303" s="53">
        <v>-1.9389934289057456E-2</v>
      </c>
      <c r="G4303" s="90">
        <v>4295</v>
      </c>
      <c r="H4303" s="90">
        <f t="shared" ca="1" si="135"/>
        <v>2.0403642264072056E-2</v>
      </c>
    </row>
    <row r="4304" spans="2:8" x14ac:dyDescent="0.3">
      <c r="B4304" s="58">
        <f>'DATA HISTORICAL'!$B4949</f>
        <v>39560</v>
      </c>
      <c r="C4304" s="60">
        <f>'DATA HISTORICAL'!$C4949</f>
        <v>827.1</v>
      </c>
      <c r="D4304" s="53">
        <f t="shared" si="134"/>
        <v>7.1470158893386246E-2</v>
      </c>
      <c r="E4304" s="53">
        <v>-1.9393972942667648E-2</v>
      </c>
      <c r="G4304" s="90">
        <v>4296</v>
      </c>
      <c r="H4304" s="90">
        <f t="shared" ca="1" si="135"/>
        <v>-1.5670512315826914E-2</v>
      </c>
    </row>
    <row r="4305" spans="2:8" x14ac:dyDescent="0.3">
      <c r="B4305" s="58">
        <f>'DATA HISTORICAL'!$B4950</f>
        <v>39559</v>
      </c>
      <c r="C4305" s="60">
        <f>'DATA HISTORICAL'!$C4950</f>
        <v>770.05</v>
      </c>
      <c r="D4305" s="53">
        <f t="shared" si="134"/>
        <v>-1.9355650399735396E-2</v>
      </c>
      <c r="E4305" s="53">
        <v>-1.9399660282152776E-2</v>
      </c>
      <c r="G4305" s="90">
        <v>4297</v>
      </c>
      <c r="H4305" s="90">
        <f t="shared" ca="1" si="135"/>
        <v>1.3542412986733235E-2</v>
      </c>
    </row>
    <row r="4306" spans="2:8" x14ac:dyDescent="0.3">
      <c r="B4306" s="58">
        <f>'DATA HISTORICAL'!$B4951</f>
        <v>39555</v>
      </c>
      <c r="C4306" s="60">
        <f>'DATA HISTORICAL'!$C4951</f>
        <v>785.1</v>
      </c>
      <c r="D4306" s="53">
        <f t="shared" si="134"/>
        <v>-2.6077292564280841E-3</v>
      </c>
      <c r="E4306" s="53">
        <v>-1.9399665410405099E-2</v>
      </c>
      <c r="G4306" s="90">
        <v>4298</v>
      </c>
      <c r="H4306" s="90">
        <f t="shared" ca="1" si="135"/>
        <v>2.9475935956737146E-2</v>
      </c>
    </row>
    <row r="4307" spans="2:8" x14ac:dyDescent="0.3">
      <c r="B4307" s="58">
        <f>'DATA HISTORICAL'!$B4952</f>
        <v>39554</v>
      </c>
      <c r="C4307" s="60">
        <f>'DATA HISTORICAL'!$C4952</f>
        <v>787.15</v>
      </c>
      <c r="D4307" s="53">
        <f t="shared" si="134"/>
        <v>-2.7909945170978799E-3</v>
      </c>
      <c r="E4307" s="53">
        <v>-1.9409320654954133E-2</v>
      </c>
      <c r="G4307" s="90">
        <v>4299</v>
      </c>
      <c r="H4307" s="90">
        <f t="shared" ca="1" si="135"/>
        <v>2.0857684727122005E-3</v>
      </c>
    </row>
    <row r="4308" spans="2:8" x14ac:dyDescent="0.3">
      <c r="B4308" s="58">
        <f>'DATA HISTORICAL'!$B4953</f>
        <v>39553</v>
      </c>
      <c r="C4308" s="60">
        <f>'DATA HISTORICAL'!$C4953</f>
        <v>789.35</v>
      </c>
      <c r="D4308" s="53">
        <f t="shared" si="134"/>
        <v>-1.0710787878700402E-2</v>
      </c>
      <c r="E4308" s="53">
        <v>-1.9409347737667018E-2</v>
      </c>
      <c r="G4308" s="90">
        <v>4300</v>
      </c>
      <c r="H4308" s="90">
        <f t="shared" ca="1" si="135"/>
        <v>-6.6042048614832569E-4</v>
      </c>
    </row>
    <row r="4309" spans="2:8" x14ac:dyDescent="0.3">
      <c r="B4309" s="58">
        <f>'DATA HISTORICAL'!$B4954</f>
        <v>39549</v>
      </c>
      <c r="C4309" s="60">
        <f>'DATA HISTORICAL'!$C4954</f>
        <v>797.85</v>
      </c>
      <c r="D4309" s="53">
        <f t="shared" si="134"/>
        <v>-5.6243117889325234E-3</v>
      </c>
      <c r="E4309" s="53">
        <v>-1.9437018358103703E-2</v>
      </c>
      <c r="G4309" s="90">
        <v>4301</v>
      </c>
      <c r="H4309" s="90">
        <f t="shared" ca="1" si="135"/>
        <v>-8.5444919668781968E-3</v>
      </c>
    </row>
    <row r="4310" spans="2:8" x14ac:dyDescent="0.3">
      <c r="B4310" s="58">
        <f>'DATA HISTORICAL'!$B4955</f>
        <v>39548</v>
      </c>
      <c r="C4310" s="60">
        <f>'DATA HISTORICAL'!$C4955</f>
        <v>802.35</v>
      </c>
      <c r="D4310" s="53">
        <f t="shared" si="134"/>
        <v>-1.3862465939959136E-2</v>
      </c>
      <c r="E4310" s="53">
        <v>-1.9454880653808047E-2</v>
      </c>
      <c r="G4310" s="90">
        <v>4302</v>
      </c>
      <c r="H4310" s="90">
        <f t="shared" ca="1" si="135"/>
        <v>1.3635886784143719E-2</v>
      </c>
    </row>
    <row r="4311" spans="2:8" x14ac:dyDescent="0.3">
      <c r="B4311" s="58">
        <f>'DATA HISTORICAL'!$B4956</f>
        <v>39547</v>
      </c>
      <c r="C4311" s="60">
        <f>'DATA HISTORICAL'!$C4956</f>
        <v>813.55</v>
      </c>
      <c r="D4311" s="53">
        <f t="shared" si="134"/>
        <v>2.4009114435702299E-2</v>
      </c>
      <c r="E4311" s="53">
        <v>-1.9481990399074774E-2</v>
      </c>
      <c r="G4311" s="90">
        <v>4303</v>
      </c>
      <c r="H4311" s="90">
        <f t="shared" ca="1" si="135"/>
        <v>3.8844538700539541E-2</v>
      </c>
    </row>
    <row r="4312" spans="2:8" x14ac:dyDescent="0.3">
      <c r="B4312" s="58">
        <f>'DATA HISTORICAL'!$B4957</f>
        <v>39546</v>
      </c>
      <c r="C4312" s="60">
        <f>'DATA HISTORICAL'!$C4957</f>
        <v>794.25</v>
      </c>
      <c r="D4312" s="53">
        <f t="shared" si="134"/>
        <v>-8.0256246188601423E-3</v>
      </c>
      <c r="E4312" s="53">
        <v>-1.9595746333525385E-2</v>
      </c>
      <c r="G4312" s="90">
        <v>4304</v>
      </c>
      <c r="H4312" s="90">
        <f t="shared" ca="1" si="135"/>
        <v>-3.4807707035239789E-3</v>
      </c>
    </row>
    <row r="4313" spans="2:8" x14ac:dyDescent="0.3">
      <c r="B4313" s="58">
        <f>'DATA HISTORICAL'!$B4958</f>
        <v>39545</v>
      </c>
      <c r="C4313" s="60">
        <f>'DATA HISTORICAL'!$C4958</f>
        <v>800.65</v>
      </c>
      <c r="D4313" s="53">
        <f t="shared" si="134"/>
        <v>-6.473723200241371E-3</v>
      </c>
      <c r="E4313" s="53">
        <v>-1.9606568085670274E-2</v>
      </c>
      <c r="G4313" s="90">
        <v>4305</v>
      </c>
      <c r="H4313" s="90">
        <f t="shared" ca="1" si="135"/>
        <v>2.2745951367168189E-2</v>
      </c>
    </row>
    <row r="4314" spans="2:8" x14ac:dyDescent="0.3">
      <c r="B4314" s="58">
        <f>'DATA HISTORICAL'!$B4959</f>
        <v>39542</v>
      </c>
      <c r="C4314" s="60">
        <f>'DATA HISTORICAL'!$C4959</f>
        <v>805.85</v>
      </c>
      <c r="D4314" s="53">
        <f t="shared" si="134"/>
        <v>-5.8770932254810808E-3</v>
      </c>
      <c r="E4314" s="53">
        <v>-1.9639389834519513E-2</v>
      </c>
      <c r="G4314" s="90">
        <v>4306</v>
      </c>
      <c r="H4314" s="90">
        <f t="shared" ca="1" si="135"/>
        <v>1.3371997966891296E-2</v>
      </c>
    </row>
    <row r="4315" spans="2:8" x14ac:dyDescent="0.3">
      <c r="B4315" s="58">
        <f>'DATA HISTORICAL'!$B4960</f>
        <v>39541</v>
      </c>
      <c r="C4315" s="60">
        <f>'DATA HISTORICAL'!$C4960</f>
        <v>810.6</v>
      </c>
      <c r="D4315" s="53">
        <f t="shared" si="134"/>
        <v>8.0510746401049136E-3</v>
      </c>
      <c r="E4315" s="53">
        <v>-1.9644685408109173E-2</v>
      </c>
      <c r="G4315" s="90">
        <v>4307</v>
      </c>
      <c r="H4315" s="90">
        <f t="shared" ca="1" si="135"/>
        <v>-2.795865859870866E-2</v>
      </c>
    </row>
    <row r="4316" spans="2:8" x14ac:dyDescent="0.3">
      <c r="B4316" s="58">
        <f>'DATA HISTORICAL'!$B4961</f>
        <v>39540</v>
      </c>
      <c r="C4316" s="60">
        <f>'DATA HISTORICAL'!$C4961</f>
        <v>804.1</v>
      </c>
      <c r="D4316" s="53">
        <f t="shared" si="134"/>
        <v>4.6129237982401455E-2</v>
      </c>
      <c r="E4316" s="53">
        <v>-1.9645643031823576E-2</v>
      </c>
      <c r="G4316" s="90">
        <v>4308</v>
      </c>
      <c r="H4316" s="90">
        <f t="shared" ca="1" si="135"/>
        <v>4.4503758489204352E-3</v>
      </c>
    </row>
    <row r="4317" spans="2:8" x14ac:dyDescent="0.3">
      <c r="B4317" s="58">
        <f>'DATA HISTORICAL'!$B4962</f>
        <v>39539</v>
      </c>
      <c r="C4317" s="60">
        <f>'DATA HISTORICAL'!$C4962</f>
        <v>767.85</v>
      </c>
      <c r="D4317" s="53">
        <f t="shared" si="134"/>
        <v>-2.1515903433375193E-2</v>
      </c>
      <c r="E4317" s="53">
        <v>-1.9704737491861107E-2</v>
      </c>
      <c r="G4317" s="90">
        <v>4309</v>
      </c>
      <c r="H4317" s="90">
        <f t="shared" ca="1" si="135"/>
        <v>7.3502839659198536E-5</v>
      </c>
    </row>
    <row r="4318" spans="2:8" x14ac:dyDescent="0.3">
      <c r="B4318" s="58">
        <f>'DATA HISTORICAL'!$B4963</f>
        <v>39538</v>
      </c>
      <c r="C4318" s="60">
        <f>'DATA HISTORICAL'!$C4963</f>
        <v>784.55</v>
      </c>
      <c r="D4318" s="53">
        <f t="shared" si="134"/>
        <v>-3.1860324607611059E-4</v>
      </c>
      <c r="E4318" s="53">
        <v>-1.978033579950076E-2</v>
      </c>
      <c r="G4318" s="90">
        <v>4310</v>
      </c>
      <c r="H4318" s="90">
        <f t="shared" ca="1" si="135"/>
        <v>3.797995653814573E-3</v>
      </c>
    </row>
    <row r="4319" spans="2:8" x14ac:dyDescent="0.3">
      <c r="B4319" s="58">
        <f>'DATA HISTORICAL'!$B4964</f>
        <v>39535</v>
      </c>
      <c r="C4319" s="60">
        <f>'DATA HISTORICAL'!$C4964</f>
        <v>784.8</v>
      </c>
      <c r="D4319" s="53">
        <f t="shared" si="134"/>
        <v>2.0663089130425721E-2</v>
      </c>
      <c r="E4319" s="53">
        <v>-1.9785420817202477E-2</v>
      </c>
      <c r="G4319" s="90">
        <v>4311</v>
      </c>
      <c r="H4319" s="90">
        <f t="shared" ca="1" si="135"/>
        <v>-1.5609972342837754E-2</v>
      </c>
    </row>
    <row r="4320" spans="2:8" x14ac:dyDescent="0.3">
      <c r="B4320" s="58">
        <f>'DATA HISTORICAL'!$B4965</f>
        <v>39534</v>
      </c>
      <c r="C4320" s="60">
        <f>'DATA HISTORICAL'!$C4965</f>
        <v>768.75</v>
      </c>
      <c r="D4320" s="53">
        <f t="shared" si="134"/>
        <v>-1.1896435640244214E-2</v>
      </c>
      <c r="E4320" s="53">
        <v>-1.9820040228409511E-2</v>
      </c>
      <c r="G4320" s="90">
        <v>4312</v>
      </c>
      <c r="H4320" s="90">
        <f t="shared" ca="1" si="135"/>
        <v>2.2942172611007467E-2</v>
      </c>
    </row>
    <row r="4321" spans="2:8" x14ac:dyDescent="0.3">
      <c r="B4321" s="58">
        <f>'DATA HISTORICAL'!$B4966</f>
        <v>39533</v>
      </c>
      <c r="C4321" s="60">
        <f>'DATA HISTORICAL'!$C4966</f>
        <v>777.95</v>
      </c>
      <c r="D4321" s="53">
        <f t="shared" si="134"/>
        <v>9.0020582210860944E-4</v>
      </c>
      <c r="E4321" s="53">
        <v>-1.9823105024146068E-2</v>
      </c>
      <c r="G4321" s="90">
        <v>4313</v>
      </c>
      <c r="H4321" s="90">
        <f t="shared" ca="1" si="135"/>
        <v>2.8953922859524864E-2</v>
      </c>
    </row>
    <row r="4322" spans="2:8" x14ac:dyDescent="0.3">
      <c r="B4322" s="58">
        <f>'DATA HISTORICAL'!$B4967</f>
        <v>39532</v>
      </c>
      <c r="C4322" s="60">
        <f>'DATA HISTORICAL'!$C4967</f>
        <v>777.25</v>
      </c>
      <c r="D4322" s="53">
        <f t="shared" si="134"/>
        <v>4.8363789257423635E-3</v>
      </c>
      <c r="E4322" s="53">
        <v>-1.9896818739999378E-2</v>
      </c>
      <c r="G4322" s="90">
        <v>4314</v>
      </c>
      <c r="H4322" s="90">
        <f t="shared" ca="1" si="135"/>
        <v>1.5648432529170579E-2</v>
      </c>
    </row>
    <row r="4323" spans="2:8" x14ac:dyDescent="0.3">
      <c r="B4323" s="58">
        <f>'DATA HISTORICAL'!$B4968</f>
        <v>39531</v>
      </c>
      <c r="C4323" s="60">
        <f>'DATA HISTORICAL'!$C4968</f>
        <v>773.5</v>
      </c>
      <c r="D4323" s="53">
        <f t="shared" si="134"/>
        <v>-9.8415228447913203E-3</v>
      </c>
      <c r="E4323" s="53">
        <v>-1.9920977494554428E-2</v>
      </c>
      <c r="G4323" s="90">
        <v>4315</v>
      </c>
      <c r="H4323" s="90">
        <f t="shared" ca="1" si="135"/>
        <v>3.856766834694568E-2</v>
      </c>
    </row>
    <row r="4324" spans="2:8" x14ac:dyDescent="0.3">
      <c r="B4324" s="58">
        <f>'DATA HISTORICAL'!$B4969</f>
        <v>39526</v>
      </c>
      <c r="C4324" s="60">
        <f>'DATA HISTORICAL'!$C4969</f>
        <v>781.15</v>
      </c>
      <c r="D4324" s="53">
        <f t="shared" si="134"/>
        <v>-2.5156174234811129E-2</v>
      </c>
      <c r="E4324" s="53">
        <v>-1.9934489722090734E-2</v>
      </c>
      <c r="G4324" s="90">
        <v>4316</v>
      </c>
      <c r="H4324" s="90">
        <f t="shared" ca="1" si="135"/>
        <v>6.3636897239063798E-3</v>
      </c>
    </row>
    <row r="4325" spans="2:8" x14ac:dyDescent="0.3">
      <c r="B4325" s="58">
        <f>'DATA HISTORICAL'!$B4970</f>
        <v>39525</v>
      </c>
      <c r="C4325" s="60">
        <f>'DATA HISTORICAL'!$C4970</f>
        <v>801.05</v>
      </c>
      <c r="D4325" s="53">
        <f t="shared" si="134"/>
        <v>-2.581702796345673E-2</v>
      </c>
      <c r="E4325" s="53">
        <v>-1.9939272825601206E-2</v>
      </c>
      <c r="G4325" s="90">
        <v>4317</v>
      </c>
      <c r="H4325" s="90">
        <f t="shared" ca="1" si="135"/>
        <v>-3.235060820032671E-2</v>
      </c>
    </row>
    <row r="4326" spans="2:8" x14ac:dyDescent="0.3">
      <c r="B4326" s="58">
        <f>'DATA HISTORICAL'!$B4971</f>
        <v>39524</v>
      </c>
      <c r="C4326" s="60">
        <f>'DATA HISTORICAL'!$C4971</f>
        <v>822</v>
      </c>
      <c r="D4326" s="53">
        <f t="shared" si="134"/>
        <v>-3.2848686171743795E-2</v>
      </c>
      <c r="E4326" s="53">
        <v>-1.9965869098256071E-2</v>
      </c>
      <c r="G4326" s="90">
        <v>4318</v>
      </c>
      <c r="H4326" s="90">
        <f t="shared" ca="1" si="135"/>
        <v>-7.6733002588163035E-3</v>
      </c>
    </row>
    <row r="4327" spans="2:8" x14ac:dyDescent="0.3">
      <c r="B4327" s="58">
        <f>'DATA HISTORICAL'!$B4972</f>
        <v>39521</v>
      </c>
      <c r="C4327" s="60">
        <f>'DATA HISTORICAL'!$C4972</f>
        <v>849.45</v>
      </c>
      <c r="D4327" s="53">
        <f t="shared" si="134"/>
        <v>7.5628130039342356E-3</v>
      </c>
      <c r="E4327" s="53">
        <v>-2.0040094053858606E-2</v>
      </c>
      <c r="G4327" s="90">
        <v>4319</v>
      </c>
      <c r="H4327" s="90">
        <f t="shared" ca="1" si="135"/>
        <v>3.3919071821765763E-3</v>
      </c>
    </row>
    <row r="4328" spans="2:8" x14ac:dyDescent="0.3">
      <c r="B4328" s="58">
        <f>'DATA HISTORICAL'!$B4973</f>
        <v>39520</v>
      </c>
      <c r="C4328" s="60">
        <f>'DATA HISTORICAL'!$C4973</f>
        <v>843.05</v>
      </c>
      <c r="D4328" s="53">
        <f t="shared" si="134"/>
        <v>-5.7840228679529621E-2</v>
      </c>
      <c r="E4328" s="53">
        <v>-2.0093301592035959E-2</v>
      </c>
      <c r="G4328" s="90">
        <v>4320</v>
      </c>
      <c r="H4328" s="90">
        <f t="shared" ca="1" si="135"/>
        <v>-3.5313240273594079E-3</v>
      </c>
    </row>
    <row r="4329" spans="2:8" x14ac:dyDescent="0.3">
      <c r="B4329" s="58">
        <f>'DATA HISTORICAL'!$B4974</f>
        <v>39519</v>
      </c>
      <c r="C4329" s="60">
        <f>'DATA HISTORICAL'!$C4974</f>
        <v>893.25</v>
      </c>
      <c r="D4329" s="53">
        <f t="shared" si="134"/>
        <v>-1.0357593430951193E-2</v>
      </c>
      <c r="E4329" s="53">
        <v>-2.0098412092407824E-2</v>
      </c>
      <c r="G4329" s="90">
        <v>4321</v>
      </c>
      <c r="H4329" s="90">
        <f t="shared" ca="1" si="135"/>
        <v>-3.4650451782420683E-2</v>
      </c>
    </row>
    <row r="4330" spans="2:8" x14ac:dyDescent="0.3">
      <c r="B4330" s="58">
        <f>'DATA HISTORICAL'!$B4975</f>
        <v>39518</v>
      </c>
      <c r="C4330" s="60">
        <f>'DATA HISTORICAL'!$C4975</f>
        <v>902.55</v>
      </c>
      <c r="D4330" s="53">
        <f t="shared" si="134"/>
        <v>5.9047007008388309E-2</v>
      </c>
      <c r="E4330" s="53">
        <v>-2.0131392019419363E-2</v>
      </c>
      <c r="G4330" s="90">
        <v>4322</v>
      </c>
      <c r="H4330" s="90">
        <f t="shared" ca="1" si="135"/>
        <v>4.2061436241994342E-2</v>
      </c>
    </row>
    <row r="4331" spans="2:8" x14ac:dyDescent="0.3">
      <c r="B4331" s="58">
        <f>'DATA HISTORICAL'!$B4976</f>
        <v>39517</v>
      </c>
      <c r="C4331" s="60">
        <f>'DATA HISTORICAL'!$C4976</f>
        <v>850.8</v>
      </c>
      <c r="D4331" s="53">
        <f t="shared" si="134"/>
        <v>5.4804344719873192E-3</v>
      </c>
      <c r="E4331" s="53">
        <v>-2.0191760749541918E-2</v>
      </c>
      <c r="G4331" s="90">
        <v>4323</v>
      </c>
      <c r="H4331" s="90">
        <f t="shared" ca="1" si="135"/>
        <v>-2.1965406295921145E-2</v>
      </c>
    </row>
    <row r="4332" spans="2:8" x14ac:dyDescent="0.3">
      <c r="B4332" s="58">
        <f>'DATA HISTORICAL'!$B4977</f>
        <v>39514</v>
      </c>
      <c r="C4332" s="60">
        <f>'DATA HISTORICAL'!$C4977</f>
        <v>846.15</v>
      </c>
      <c r="D4332" s="53">
        <f t="shared" si="134"/>
        <v>-3.415561146381485E-2</v>
      </c>
      <c r="E4332" s="53">
        <v>-2.0222615270385359E-2</v>
      </c>
      <c r="G4332" s="90">
        <v>4324</v>
      </c>
      <c r="H4332" s="90">
        <f t="shared" ca="1" si="135"/>
        <v>-1.8337291613502598E-2</v>
      </c>
    </row>
    <row r="4333" spans="2:8" x14ac:dyDescent="0.3">
      <c r="B4333" s="58">
        <f>'DATA HISTORICAL'!$B4978</f>
        <v>39512</v>
      </c>
      <c r="C4333" s="60">
        <f>'DATA HISTORICAL'!$C4978</f>
        <v>875.55</v>
      </c>
      <c r="D4333" s="53">
        <f t="shared" si="134"/>
        <v>-1.2541661993043525E-2</v>
      </c>
      <c r="E4333" s="53">
        <v>-2.030280874220735E-2</v>
      </c>
      <c r="G4333" s="90">
        <v>4325</v>
      </c>
      <c r="H4333" s="90">
        <f t="shared" ca="1" si="135"/>
        <v>-1.9455326354596344E-3</v>
      </c>
    </row>
    <row r="4334" spans="2:8" x14ac:dyDescent="0.3">
      <c r="B4334" s="58">
        <f>'DATA HISTORICAL'!$B4979</f>
        <v>39511</v>
      </c>
      <c r="C4334" s="60">
        <f>'DATA HISTORICAL'!$C4979</f>
        <v>886.6</v>
      </c>
      <c r="D4334" s="53">
        <f t="shared" si="134"/>
        <v>2.0914230686769859E-2</v>
      </c>
      <c r="E4334" s="53">
        <v>-2.0307064218214144E-2</v>
      </c>
      <c r="G4334" s="90">
        <v>4326</v>
      </c>
      <c r="H4334" s="90">
        <f t="shared" ca="1" si="135"/>
        <v>3.9041722613768211E-2</v>
      </c>
    </row>
    <row r="4335" spans="2:8" x14ac:dyDescent="0.3">
      <c r="B4335" s="58">
        <f>'DATA HISTORICAL'!$B4980</f>
        <v>39510</v>
      </c>
      <c r="C4335" s="60">
        <f>'DATA HISTORICAL'!$C4980</f>
        <v>868.25</v>
      </c>
      <c r="D4335" s="53">
        <f t="shared" si="134"/>
        <v>-4.0902613211166408E-2</v>
      </c>
      <c r="E4335" s="53">
        <v>-2.0307128194379048E-2</v>
      </c>
      <c r="G4335" s="90">
        <v>4327</v>
      </c>
      <c r="H4335" s="90">
        <f t="shared" ca="1" si="135"/>
        <v>-1.0714833435804951E-2</v>
      </c>
    </row>
    <row r="4336" spans="2:8" x14ac:dyDescent="0.3">
      <c r="B4336" s="58">
        <f>'DATA HISTORICAL'!$B4981</f>
        <v>39507</v>
      </c>
      <c r="C4336" s="60">
        <f>'DATA HISTORICAL'!$C4981</f>
        <v>904.5</v>
      </c>
      <c r="D4336" s="53">
        <f t="shared" si="134"/>
        <v>1.4981762216241534E-2</v>
      </c>
      <c r="E4336" s="53">
        <v>-2.0347243520805067E-2</v>
      </c>
      <c r="G4336" s="90">
        <v>4328</v>
      </c>
      <c r="H4336" s="90">
        <f t="shared" ca="1" si="135"/>
        <v>3.1489524900079821E-2</v>
      </c>
    </row>
    <row r="4337" spans="2:8" x14ac:dyDescent="0.3">
      <c r="B4337" s="58">
        <f>'DATA HISTORICAL'!$B4982</f>
        <v>39506</v>
      </c>
      <c r="C4337" s="60">
        <f>'DATA HISTORICAL'!$C4982</f>
        <v>891.05</v>
      </c>
      <c r="D4337" s="53">
        <f t="shared" si="134"/>
        <v>-2.5484731933985882E-2</v>
      </c>
      <c r="E4337" s="53">
        <v>-2.0401994217664646E-2</v>
      </c>
      <c r="G4337" s="90">
        <v>4329</v>
      </c>
      <c r="H4337" s="90">
        <f t="shared" ca="1" si="135"/>
        <v>-3.9576235792562918E-3</v>
      </c>
    </row>
    <row r="4338" spans="2:8" x14ac:dyDescent="0.3">
      <c r="B4338" s="58">
        <f>'DATA HISTORICAL'!$B4983</f>
        <v>39505</v>
      </c>
      <c r="C4338" s="60">
        <f>'DATA HISTORICAL'!$C4983</f>
        <v>914.05</v>
      </c>
      <c r="D4338" s="53">
        <f t="shared" si="134"/>
        <v>2.2452844787627462E-3</v>
      </c>
      <c r="E4338" s="53">
        <v>-2.0403967134028336E-2</v>
      </c>
      <c r="G4338" s="90">
        <v>4330</v>
      </c>
      <c r="H4338" s="90">
        <f t="shared" ca="1" si="135"/>
        <v>7.8965388998888109E-3</v>
      </c>
    </row>
    <row r="4339" spans="2:8" x14ac:dyDescent="0.3">
      <c r="B4339" s="58">
        <f>'DATA HISTORICAL'!$B4984</f>
        <v>39504</v>
      </c>
      <c r="C4339" s="60">
        <f>'DATA HISTORICAL'!$C4984</f>
        <v>912</v>
      </c>
      <c r="D4339" s="53">
        <f t="shared" si="134"/>
        <v>1.1413571921050625E-2</v>
      </c>
      <c r="E4339" s="53">
        <v>-2.0407643771289785E-2</v>
      </c>
      <c r="G4339" s="90">
        <v>4331</v>
      </c>
      <c r="H4339" s="90">
        <f t="shared" ca="1" si="135"/>
        <v>2.5495959567910956E-2</v>
      </c>
    </row>
    <row r="4340" spans="2:8" x14ac:dyDescent="0.3">
      <c r="B4340" s="58">
        <f>'DATA HISTORICAL'!$B4985</f>
        <v>39503</v>
      </c>
      <c r="C4340" s="60">
        <f>'DATA HISTORICAL'!$C4985</f>
        <v>901.65</v>
      </c>
      <c r="D4340" s="53">
        <f t="shared" si="134"/>
        <v>1.0704233332568461E-2</v>
      </c>
      <c r="E4340" s="53">
        <v>-2.0430993010664006E-2</v>
      </c>
      <c r="G4340" s="90">
        <v>4332</v>
      </c>
      <c r="H4340" s="90">
        <f t="shared" ca="1" si="135"/>
        <v>1.1154086509170841E-2</v>
      </c>
    </row>
    <row r="4341" spans="2:8" x14ac:dyDescent="0.3">
      <c r="B4341" s="58">
        <f>'DATA HISTORICAL'!$B4986</f>
        <v>39500</v>
      </c>
      <c r="C4341" s="60">
        <f>'DATA HISTORICAL'!$C4986</f>
        <v>892.05</v>
      </c>
      <c r="D4341" s="53">
        <f t="shared" si="134"/>
        <v>2.0760282389582357E-3</v>
      </c>
      <c r="E4341" s="53">
        <v>-2.0489484998206655E-2</v>
      </c>
      <c r="G4341" s="90">
        <v>4333</v>
      </c>
      <c r="H4341" s="90">
        <f t="shared" ca="1" si="135"/>
        <v>-2.4170707623027889E-2</v>
      </c>
    </row>
    <row r="4342" spans="2:8" x14ac:dyDescent="0.3">
      <c r="B4342" s="58">
        <f>'DATA HISTORICAL'!$B4987</f>
        <v>39499</v>
      </c>
      <c r="C4342" s="60">
        <f>'DATA HISTORICAL'!$C4987</f>
        <v>890.2</v>
      </c>
      <c r="D4342" s="53">
        <f t="shared" si="134"/>
        <v>1.0558806208604797E-2</v>
      </c>
      <c r="E4342" s="53">
        <v>-2.0505044897036796E-2</v>
      </c>
      <c r="G4342" s="90">
        <v>4334</v>
      </c>
      <c r="H4342" s="90">
        <f t="shared" ca="1" si="135"/>
        <v>-3.1696176818162844E-3</v>
      </c>
    </row>
    <row r="4343" spans="2:8" x14ac:dyDescent="0.3">
      <c r="B4343" s="58">
        <f>'DATA HISTORICAL'!$B4988</f>
        <v>39498</v>
      </c>
      <c r="C4343" s="60">
        <f>'DATA HISTORICAL'!$C4988</f>
        <v>880.85</v>
      </c>
      <c r="D4343" s="53">
        <f t="shared" si="134"/>
        <v>-2.15629669635642E-2</v>
      </c>
      <c r="E4343" s="53">
        <v>-2.0519246681652378E-2</v>
      </c>
      <c r="G4343" s="90">
        <v>4335</v>
      </c>
      <c r="H4343" s="90">
        <f t="shared" ca="1" si="135"/>
        <v>7.1582485394626003E-3</v>
      </c>
    </row>
    <row r="4344" spans="2:8" x14ac:dyDescent="0.3">
      <c r="B4344" s="58">
        <f>'DATA HISTORICAL'!$B4989</f>
        <v>39497</v>
      </c>
      <c r="C4344" s="60">
        <f>'DATA HISTORICAL'!$C4989</f>
        <v>900.05</v>
      </c>
      <c r="D4344" s="53">
        <f t="shared" si="134"/>
        <v>1.0049774717605254E-2</v>
      </c>
      <c r="E4344" s="53">
        <v>-2.053055212126299E-2</v>
      </c>
      <c r="G4344" s="90">
        <v>4336</v>
      </c>
      <c r="H4344" s="90">
        <f t="shared" ca="1" si="135"/>
        <v>-7.6236446046066579E-3</v>
      </c>
    </row>
    <row r="4345" spans="2:8" x14ac:dyDescent="0.3">
      <c r="B4345" s="58">
        <f>'DATA HISTORICAL'!$B4990</f>
        <v>39496</v>
      </c>
      <c r="C4345" s="60">
        <f>'DATA HISTORICAL'!$C4990</f>
        <v>891.05</v>
      </c>
      <c r="D4345" s="53">
        <f t="shared" si="134"/>
        <v>-1.1825875534172492E-2</v>
      </c>
      <c r="E4345" s="53">
        <v>-2.0530606208077982E-2</v>
      </c>
      <c r="G4345" s="90">
        <v>4337</v>
      </c>
      <c r="H4345" s="90">
        <f t="shared" ca="1" si="135"/>
        <v>-1.1598546192265668E-3</v>
      </c>
    </row>
    <row r="4346" spans="2:8" x14ac:dyDescent="0.3">
      <c r="B4346" s="58">
        <f>'DATA HISTORICAL'!$B4991</f>
        <v>39493</v>
      </c>
      <c r="C4346" s="60">
        <f>'DATA HISTORICAL'!$C4991</f>
        <v>901.65</v>
      </c>
      <c r="D4346" s="53">
        <f t="shared" si="134"/>
        <v>3.9648908847471617E-2</v>
      </c>
      <c r="E4346" s="53">
        <v>-2.053418041397001E-2</v>
      </c>
      <c r="G4346" s="90">
        <v>4338</v>
      </c>
      <c r="H4346" s="90">
        <f t="shared" ca="1" si="135"/>
        <v>1.3315493044435918E-2</v>
      </c>
    </row>
    <row r="4347" spans="2:8" x14ac:dyDescent="0.3">
      <c r="B4347" s="58">
        <f>'DATA HISTORICAL'!$B4992</f>
        <v>39492</v>
      </c>
      <c r="C4347" s="60">
        <f>'DATA HISTORICAL'!$C4992</f>
        <v>866.6</v>
      </c>
      <c r="D4347" s="53">
        <f t="shared" si="134"/>
        <v>6.4276996756624127E-2</v>
      </c>
      <c r="E4347" s="53">
        <v>-2.0539339641416084E-2</v>
      </c>
      <c r="G4347" s="90">
        <v>4339</v>
      </c>
      <c r="H4347" s="90">
        <f t="shared" ca="1" si="135"/>
        <v>2.6756795247077945E-2</v>
      </c>
    </row>
    <row r="4348" spans="2:8" x14ac:dyDescent="0.3">
      <c r="B4348" s="58">
        <f>'DATA HISTORICAL'!$B4993</f>
        <v>39491</v>
      </c>
      <c r="C4348" s="60">
        <f>'DATA HISTORICAL'!$C4993</f>
        <v>812.65</v>
      </c>
      <c r="D4348" s="53">
        <f t="shared" si="134"/>
        <v>6.2336261105024786E-3</v>
      </c>
      <c r="E4348" s="53">
        <v>-2.0558637961973627E-2</v>
      </c>
      <c r="G4348" s="90">
        <v>4340</v>
      </c>
      <c r="H4348" s="90">
        <f t="shared" ca="1" si="135"/>
        <v>2.9396090592367918E-4</v>
      </c>
    </row>
    <row r="4349" spans="2:8" x14ac:dyDescent="0.3">
      <c r="B4349" s="58">
        <f>'DATA HISTORICAL'!$B4994</f>
        <v>39490</v>
      </c>
      <c r="C4349" s="60">
        <f>'DATA HISTORICAL'!$C4994</f>
        <v>807.6</v>
      </c>
      <c r="D4349" s="53">
        <f t="shared" si="134"/>
        <v>3.100393132747385E-3</v>
      </c>
      <c r="E4349" s="53">
        <v>-2.0560724295227213E-2</v>
      </c>
      <c r="G4349" s="90">
        <v>4341</v>
      </c>
      <c r="H4349" s="90">
        <f t="shared" ca="1" si="135"/>
        <v>-2.6181169497263975E-3</v>
      </c>
    </row>
    <row r="4350" spans="2:8" x14ac:dyDescent="0.3">
      <c r="B4350" s="58">
        <f>'DATA HISTORICAL'!$B4995</f>
        <v>39489</v>
      </c>
      <c r="C4350" s="60">
        <f>'DATA HISTORICAL'!$C4995</f>
        <v>805.1</v>
      </c>
      <c r="D4350" s="53">
        <f t="shared" si="134"/>
        <v>-5.8789041027312916E-2</v>
      </c>
      <c r="E4350" s="53">
        <v>-2.0629346805884508E-2</v>
      </c>
      <c r="G4350" s="90">
        <v>4342</v>
      </c>
      <c r="H4350" s="90">
        <f t="shared" ca="1" si="135"/>
        <v>-9.4568537612602088E-3</v>
      </c>
    </row>
    <row r="4351" spans="2:8" x14ac:dyDescent="0.3">
      <c r="B4351" s="58">
        <f>'DATA HISTORICAL'!$B4996</f>
        <v>39486</v>
      </c>
      <c r="C4351" s="60">
        <f>'DATA HISTORICAL'!$C4996</f>
        <v>853.85</v>
      </c>
      <c r="D4351" s="53">
        <f t="shared" si="134"/>
        <v>-1.3459346035122066E-3</v>
      </c>
      <c r="E4351" s="53">
        <v>-2.0639450322374363E-2</v>
      </c>
      <c r="G4351" s="90">
        <v>4343</v>
      </c>
      <c r="H4351" s="90">
        <f t="shared" ca="1" si="135"/>
        <v>5.8221884822491996E-3</v>
      </c>
    </row>
    <row r="4352" spans="2:8" x14ac:dyDescent="0.3">
      <c r="B4352" s="58">
        <f>'DATA HISTORICAL'!$B4997</f>
        <v>39485</v>
      </c>
      <c r="C4352" s="60">
        <f>'DATA HISTORICAL'!$C4997</f>
        <v>855</v>
      </c>
      <c r="D4352" s="53">
        <f t="shared" si="134"/>
        <v>-1.151242437570592E-2</v>
      </c>
      <c r="E4352" s="53">
        <v>-2.0653653580578347E-2</v>
      </c>
      <c r="G4352" s="90">
        <v>4344</v>
      </c>
      <c r="H4352" s="90">
        <f t="shared" ca="1" si="135"/>
        <v>-6.844617544109719E-3</v>
      </c>
    </row>
    <row r="4353" spans="2:8" x14ac:dyDescent="0.3">
      <c r="B4353" s="58">
        <f>'DATA HISTORICAL'!$B4998</f>
        <v>39484</v>
      </c>
      <c r="C4353" s="60">
        <f>'DATA HISTORICAL'!$C4998</f>
        <v>864.9</v>
      </c>
      <c r="D4353" s="53">
        <f t="shared" si="134"/>
        <v>-3.4544964327644097E-2</v>
      </c>
      <c r="E4353" s="53">
        <v>-2.066671448207855E-2</v>
      </c>
      <c r="G4353" s="90">
        <v>4345</v>
      </c>
      <c r="H4353" s="90">
        <f t="shared" ca="1" si="135"/>
        <v>7.5503926139118098E-3</v>
      </c>
    </row>
    <row r="4354" spans="2:8" x14ac:dyDescent="0.3">
      <c r="B4354" s="58">
        <f>'DATA HISTORICAL'!$B4999</f>
        <v>39483</v>
      </c>
      <c r="C4354" s="60">
        <f>'DATA HISTORICAL'!$C4999</f>
        <v>895.3</v>
      </c>
      <c r="D4354" s="53">
        <f t="shared" si="134"/>
        <v>-2.7919703115720373E-4</v>
      </c>
      <c r="E4354" s="53">
        <v>-2.0680988575142129E-2</v>
      </c>
      <c r="G4354" s="90">
        <v>4346</v>
      </c>
      <c r="H4354" s="90">
        <f t="shared" ca="1" si="135"/>
        <v>-1.5008434207605488E-3</v>
      </c>
    </row>
    <row r="4355" spans="2:8" x14ac:dyDescent="0.3">
      <c r="B4355" s="58">
        <f>'DATA HISTORICAL'!$B5000</f>
        <v>39482</v>
      </c>
      <c r="C4355" s="60">
        <f>'DATA HISTORICAL'!$C5000</f>
        <v>895.55</v>
      </c>
      <c r="D4355" s="53">
        <f t="shared" si="134"/>
        <v>1.7800278469573057E-2</v>
      </c>
      <c r="E4355" s="53">
        <v>-2.0692283530110912E-2</v>
      </c>
      <c r="G4355" s="90">
        <v>4347</v>
      </c>
      <c r="H4355" s="90">
        <f t="shared" ca="1" si="135"/>
        <v>-8.1814390943660865E-3</v>
      </c>
    </row>
    <row r="4356" spans="2:8" x14ac:dyDescent="0.3">
      <c r="B4356" s="58">
        <f>'DATA HISTORICAL'!$B5001</f>
        <v>39479</v>
      </c>
      <c r="C4356" s="60">
        <f>'DATA HISTORICAL'!$C5001</f>
        <v>879.75</v>
      </c>
      <c r="D4356" s="53">
        <f t="shared" si="134"/>
        <v>7.1868892504557379E-3</v>
      </c>
      <c r="E4356" s="53">
        <v>-2.0702716017927076E-2</v>
      </c>
      <c r="G4356" s="90">
        <v>4348</v>
      </c>
      <c r="H4356" s="90">
        <f t="shared" ca="1" si="135"/>
        <v>-2.0065252346646249E-2</v>
      </c>
    </row>
    <row r="4357" spans="2:8" x14ac:dyDescent="0.3">
      <c r="B4357" s="58">
        <f>'DATA HISTORICAL'!$B5002</f>
        <v>39478</v>
      </c>
      <c r="C4357" s="60">
        <f>'DATA HISTORICAL'!$C5002</f>
        <v>873.45</v>
      </c>
      <c r="D4357" s="53">
        <f t="shared" si="134"/>
        <v>-7.2437219633805791E-3</v>
      </c>
      <c r="E4357" s="53">
        <v>-2.0715547490628455E-2</v>
      </c>
      <c r="G4357" s="90">
        <v>4349</v>
      </c>
      <c r="H4357" s="90">
        <f t="shared" ca="1" si="135"/>
        <v>3.0011558666708173E-3</v>
      </c>
    </row>
    <row r="4358" spans="2:8" x14ac:dyDescent="0.3">
      <c r="B4358" s="58">
        <f>'DATA HISTORICAL'!$B5003</f>
        <v>39477</v>
      </c>
      <c r="C4358" s="60">
        <f>'DATA HISTORICAL'!$C5003</f>
        <v>879.8</v>
      </c>
      <c r="D4358" s="53">
        <f t="shared" si="134"/>
        <v>1.0684289609892192E-2</v>
      </c>
      <c r="E4358" s="53">
        <v>-2.0726989728463999E-2</v>
      </c>
      <c r="G4358" s="90">
        <v>4350</v>
      </c>
      <c r="H4358" s="90">
        <f t="shared" ca="1" si="135"/>
        <v>-1.5766931802256596E-2</v>
      </c>
    </row>
    <row r="4359" spans="2:8" x14ac:dyDescent="0.3">
      <c r="B4359" s="58">
        <f>'DATA HISTORICAL'!$B5004</f>
        <v>39476</v>
      </c>
      <c r="C4359" s="60">
        <f>'DATA HISTORICAL'!$C5004</f>
        <v>870.45</v>
      </c>
      <c r="D4359" s="53">
        <f t="shared" si="134"/>
        <v>-3.0602801057706963E-2</v>
      </c>
      <c r="E4359" s="53">
        <v>-2.0734056614187972E-2</v>
      </c>
      <c r="G4359" s="90">
        <v>4351</v>
      </c>
      <c r="H4359" s="90">
        <f t="shared" ca="1" si="135"/>
        <v>1.476892536202716E-2</v>
      </c>
    </row>
    <row r="4360" spans="2:8" x14ac:dyDescent="0.3">
      <c r="B4360" s="58">
        <f>'DATA HISTORICAL'!$B5005</f>
        <v>39475</v>
      </c>
      <c r="C4360" s="60">
        <f>'DATA HISTORICAL'!$C5005</f>
        <v>897.5</v>
      </c>
      <c r="D4360" s="53">
        <f t="shared" si="134"/>
        <v>2.8307774518194995E-2</v>
      </c>
      <c r="E4360" s="53">
        <v>-2.0739127676286728E-2</v>
      </c>
      <c r="G4360" s="90">
        <v>4352</v>
      </c>
      <c r="H4360" s="90">
        <f t="shared" ca="1" si="135"/>
        <v>1.8642381600038213E-2</v>
      </c>
    </row>
    <row r="4361" spans="2:8" x14ac:dyDescent="0.3">
      <c r="B4361" s="58">
        <f>'DATA HISTORICAL'!$B5006</f>
        <v>39472</v>
      </c>
      <c r="C4361" s="60">
        <f>'DATA HISTORICAL'!$C5006</f>
        <v>872.45</v>
      </c>
      <c r="D4361" s="53">
        <f t="shared" ref="D4361:D4377" si="136">LN(C4361/C4362)</f>
        <v>9.4725789873575938E-2</v>
      </c>
      <c r="E4361" s="53">
        <v>-2.0770507494960181E-2</v>
      </c>
      <c r="G4361" s="90">
        <v>4353</v>
      </c>
      <c r="H4361" s="90">
        <f t="shared" ref="H4361:H4378" ca="1" si="137">_xlfn.NORM.INV(RAND(),N$10,N$11)</f>
        <v>6.4068920650566128E-3</v>
      </c>
    </row>
    <row r="4362" spans="2:8" x14ac:dyDescent="0.3">
      <c r="B4362" s="58">
        <f>'DATA HISTORICAL'!$B5007</f>
        <v>39471</v>
      </c>
      <c r="C4362" s="60">
        <f>'DATA HISTORICAL'!$C5007</f>
        <v>793.6</v>
      </c>
      <c r="D4362" s="53">
        <f t="shared" si="136"/>
        <v>-3.2907694387831692E-2</v>
      </c>
      <c r="E4362" s="53">
        <v>-2.0776467164531003E-2</v>
      </c>
      <c r="G4362" s="90">
        <v>4354</v>
      </c>
      <c r="H4362" s="90">
        <f t="shared" ca="1" si="137"/>
        <v>2.0484167195408916E-2</v>
      </c>
    </row>
    <row r="4363" spans="2:8" x14ac:dyDescent="0.3">
      <c r="B4363" s="58">
        <f>'DATA HISTORICAL'!$B5008</f>
        <v>39470</v>
      </c>
      <c r="C4363" s="60">
        <f>'DATA HISTORICAL'!$C5008</f>
        <v>820.15</v>
      </c>
      <c r="D4363" s="53">
        <f t="shared" si="136"/>
        <v>8.3034436864099587E-2</v>
      </c>
      <c r="E4363" s="53">
        <v>-2.0789498359542288E-2</v>
      </c>
      <c r="G4363" s="90">
        <v>4355</v>
      </c>
      <c r="H4363" s="90">
        <f t="shared" ca="1" si="137"/>
        <v>-1.2585963530086067E-2</v>
      </c>
    </row>
    <row r="4364" spans="2:8" x14ac:dyDescent="0.3">
      <c r="B4364" s="58">
        <f>'DATA HISTORICAL'!$B5009</f>
        <v>39469</v>
      </c>
      <c r="C4364" s="60">
        <f>'DATA HISTORICAL'!$C5009</f>
        <v>754.8</v>
      </c>
      <c r="D4364" s="53">
        <f t="shared" si="136"/>
        <v>-5.9095974994872492E-2</v>
      </c>
      <c r="E4364" s="53">
        <v>-2.085714022951015E-2</v>
      </c>
      <c r="G4364" s="90">
        <v>4356</v>
      </c>
      <c r="H4364" s="90">
        <f t="shared" ca="1" si="137"/>
        <v>1.6116656872095627E-3</v>
      </c>
    </row>
    <row r="4365" spans="2:8" x14ac:dyDescent="0.3">
      <c r="B4365" s="58">
        <f>'DATA HISTORICAL'!$B5010</f>
        <v>39468</v>
      </c>
      <c r="C4365" s="60">
        <f>'DATA HISTORICAL'!$C5010</f>
        <v>800.75</v>
      </c>
      <c r="D4365" s="53">
        <f t="shared" si="136"/>
        <v>-9.5111482689037088E-2</v>
      </c>
      <c r="E4365" s="53">
        <v>-2.0866644436658199E-2</v>
      </c>
      <c r="G4365" s="90">
        <v>4357</v>
      </c>
      <c r="H4365" s="90">
        <f t="shared" ca="1" si="137"/>
        <v>7.3033944224258542E-4</v>
      </c>
    </row>
    <row r="4366" spans="2:8" x14ac:dyDescent="0.3">
      <c r="B4366" s="58">
        <f>'DATA HISTORICAL'!$B5011</f>
        <v>39465</v>
      </c>
      <c r="C4366" s="60">
        <f>'DATA HISTORICAL'!$C5011</f>
        <v>880.65</v>
      </c>
      <c r="D4366" s="53">
        <f t="shared" si="136"/>
        <v>-1.2413407720217668E-2</v>
      </c>
      <c r="E4366" s="53">
        <v>-2.0866693471981747E-2</v>
      </c>
      <c r="G4366" s="90">
        <v>4358</v>
      </c>
      <c r="H4366" s="90">
        <f t="shared" ca="1" si="137"/>
        <v>2.8819817008465073E-2</v>
      </c>
    </row>
    <row r="4367" spans="2:8" x14ac:dyDescent="0.3">
      <c r="B4367" s="58">
        <f>'DATA HISTORICAL'!$B5012</f>
        <v>39464</v>
      </c>
      <c r="C4367" s="60">
        <f>'DATA HISTORICAL'!$C5012</f>
        <v>891.65</v>
      </c>
      <c r="D4367" s="53">
        <f t="shared" si="136"/>
        <v>1.9192708472713069E-2</v>
      </c>
      <c r="E4367" s="53">
        <v>-2.0882264957130275E-2</v>
      </c>
      <c r="G4367" s="90">
        <v>4359</v>
      </c>
      <c r="H4367" s="90">
        <f t="shared" ca="1" si="137"/>
        <v>-1.557606804827363E-2</v>
      </c>
    </row>
    <row r="4368" spans="2:8" x14ac:dyDescent="0.3">
      <c r="B4368" s="58">
        <f>'DATA HISTORICAL'!$B5013</f>
        <v>39463</v>
      </c>
      <c r="C4368" s="60">
        <f>'DATA HISTORICAL'!$C5013</f>
        <v>874.7</v>
      </c>
      <c r="D4368" s="53">
        <f t="shared" si="136"/>
        <v>-4.6408282775051962E-2</v>
      </c>
      <c r="E4368" s="53">
        <v>-2.0932428563227707E-2</v>
      </c>
      <c r="G4368" s="90">
        <v>4360</v>
      </c>
      <c r="H4368" s="90">
        <f t="shared" ca="1" si="137"/>
        <v>1.5729025916021565E-2</v>
      </c>
    </row>
    <row r="4369" spans="2:8" x14ac:dyDescent="0.3">
      <c r="B4369" s="58">
        <f>'DATA HISTORICAL'!$B5014</f>
        <v>39462</v>
      </c>
      <c r="C4369" s="60">
        <f>'DATA HISTORICAL'!$C5014</f>
        <v>916.25</v>
      </c>
      <c r="D4369" s="53">
        <f t="shared" si="136"/>
        <v>-2.1967043548580163E-2</v>
      </c>
      <c r="E4369" s="53">
        <v>-2.0947001099811881E-2</v>
      </c>
      <c r="G4369" s="90">
        <v>4361</v>
      </c>
      <c r="H4369" s="90">
        <f t="shared" ca="1" si="137"/>
        <v>1.163503136427636E-2</v>
      </c>
    </row>
    <row r="4370" spans="2:8" x14ac:dyDescent="0.3">
      <c r="B4370" s="58">
        <f>'DATA HISTORICAL'!$B5015</f>
        <v>39461</v>
      </c>
      <c r="C4370" s="60">
        <f>'DATA HISTORICAL'!$C5015</f>
        <v>936.6</v>
      </c>
      <c r="D4370" s="53">
        <f t="shared" si="136"/>
        <v>3.0406374654375606E-2</v>
      </c>
      <c r="E4370" s="53">
        <v>-2.0957242025271126E-2</v>
      </c>
      <c r="G4370" s="90">
        <v>4362</v>
      </c>
      <c r="H4370" s="90">
        <f t="shared" ca="1" si="137"/>
        <v>2.9775104154430758E-3</v>
      </c>
    </row>
    <row r="4371" spans="2:8" x14ac:dyDescent="0.3">
      <c r="B4371" s="58">
        <f>'DATA HISTORICAL'!$B5016</f>
        <v>39458</v>
      </c>
      <c r="C4371" s="60">
        <f>'DATA HISTORICAL'!$C5016</f>
        <v>908.55</v>
      </c>
      <c r="D4371" s="53">
        <f t="shared" si="136"/>
        <v>-1.7997868010545617E-2</v>
      </c>
      <c r="E4371" s="53">
        <v>-2.1019816978014957E-2</v>
      </c>
      <c r="G4371" s="90">
        <v>4363</v>
      </c>
      <c r="H4371" s="90">
        <f t="shared" ca="1" si="137"/>
        <v>6.3517933755105685E-3</v>
      </c>
    </row>
    <row r="4372" spans="2:8" x14ac:dyDescent="0.3">
      <c r="B4372" s="58">
        <f>'DATA HISTORICAL'!$B5017</f>
        <v>39457</v>
      </c>
      <c r="C4372" s="60">
        <f>'DATA HISTORICAL'!$C5017</f>
        <v>925.05</v>
      </c>
      <c r="D4372" s="53">
        <f t="shared" si="136"/>
        <v>-3.682504377529567E-2</v>
      </c>
      <c r="E4372" s="53">
        <v>-2.102091219799904E-2</v>
      </c>
      <c r="G4372" s="90">
        <v>4364</v>
      </c>
      <c r="H4372" s="90">
        <f t="shared" ca="1" si="137"/>
        <v>2.3565378591151126E-2</v>
      </c>
    </row>
    <row r="4373" spans="2:8" x14ac:dyDescent="0.3">
      <c r="B4373" s="58">
        <f>'DATA HISTORICAL'!$B5018</f>
        <v>39456</v>
      </c>
      <c r="C4373" s="60">
        <f>'DATA HISTORICAL'!$C5018</f>
        <v>959.75</v>
      </c>
      <c r="D4373" s="53">
        <f t="shared" si="136"/>
        <v>-1.2168434936587693E-2</v>
      </c>
      <c r="E4373" s="53">
        <v>-2.1066143872879022E-2</v>
      </c>
      <c r="G4373" s="90">
        <v>4365</v>
      </c>
      <c r="H4373" s="90">
        <f t="shared" ca="1" si="137"/>
        <v>2.8140513260288425E-2</v>
      </c>
    </row>
    <row r="4374" spans="2:8" x14ac:dyDescent="0.3">
      <c r="B4374" s="58">
        <f>'DATA HISTORICAL'!$B5019</f>
        <v>39455</v>
      </c>
      <c r="C4374" s="60">
        <f>'DATA HISTORICAL'!$C5019</f>
        <v>971.5</v>
      </c>
      <c r="D4374" s="53">
        <f t="shared" si="136"/>
        <v>-1.7296790824451663E-2</v>
      </c>
      <c r="E4374" s="53">
        <v>-2.1112606942236746E-2</v>
      </c>
      <c r="G4374" s="90">
        <v>4366</v>
      </c>
      <c r="H4374" s="90">
        <f t="shared" ca="1" si="137"/>
        <v>-1.2190864524568717E-3</v>
      </c>
    </row>
    <row r="4375" spans="2:8" x14ac:dyDescent="0.3">
      <c r="B4375" s="58">
        <f>'DATA HISTORICAL'!$B5020</f>
        <v>39454</v>
      </c>
      <c r="C4375" s="60">
        <f>'DATA HISTORICAL'!$C5020</f>
        <v>988.45</v>
      </c>
      <c r="D4375" s="53">
        <f t="shared" si="136"/>
        <v>1.1344392297156459E-2</v>
      </c>
      <c r="E4375" s="53">
        <v>-2.1120109214532223E-2</v>
      </c>
      <c r="G4375" s="90">
        <v>4367</v>
      </c>
      <c r="H4375" s="90">
        <f t="shared" ca="1" si="137"/>
        <v>3.0446523602307433E-2</v>
      </c>
    </row>
    <row r="4376" spans="2:8" x14ac:dyDescent="0.3">
      <c r="B4376" s="58">
        <f>'DATA HISTORICAL'!$B5021</f>
        <v>39451</v>
      </c>
      <c r="C4376" s="60">
        <f>'DATA HISTORICAL'!$C5021</f>
        <v>977.3</v>
      </c>
      <c r="D4376" s="53">
        <f t="shared" si="136"/>
        <v>-9.8763720886916023E-3</v>
      </c>
      <c r="E4376" s="53">
        <v>-2.1131615866815584E-2</v>
      </c>
      <c r="G4376" s="90">
        <v>4368</v>
      </c>
      <c r="H4376" s="90">
        <f t="shared" ca="1" si="137"/>
        <v>3.1451681806933862E-2</v>
      </c>
    </row>
    <row r="4377" spans="2:8" x14ac:dyDescent="0.3">
      <c r="B4377" s="58">
        <f>'DATA HISTORICAL'!$B5022</f>
        <v>39450</v>
      </c>
      <c r="C4377" s="60">
        <f>'DATA HISTORICAL'!$C5022</f>
        <v>987</v>
      </c>
      <c r="D4377" s="53">
        <f t="shared" si="136"/>
        <v>-5.8088305778792567E-3</v>
      </c>
      <c r="E4377" s="53">
        <v>-2.1154970364355642E-2</v>
      </c>
      <c r="G4377" s="90">
        <v>4369</v>
      </c>
      <c r="H4377" s="90">
        <f t="shared" ca="1" si="137"/>
        <v>7.0161799923124397E-3</v>
      </c>
    </row>
    <row r="4378" spans="2:8" x14ac:dyDescent="0.3">
      <c r="B4378" s="58">
        <f>'DATA HISTORICAL'!$B5023</f>
        <v>39449</v>
      </c>
      <c r="C4378" s="60">
        <f>'DATA HISTORICAL'!$C5023</f>
        <v>992.75</v>
      </c>
      <c r="E4378" s="53">
        <v>-2.1184284549014207E-2</v>
      </c>
      <c r="G4378" s="90">
        <v>4370</v>
      </c>
      <c r="H4378" s="90">
        <f t="shared" ca="1" si="137"/>
        <v>-5.4915901167574936E-4</v>
      </c>
    </row>
    <row r="4379" spans="2:8" x14ac:dyDescent="0.3">
      <c r="B4379" s="58"/>
      <c r="C4379" s="60"/>
      <c r="G4379" s="90"/>
      <c r="H4379" s="90"/>
    </row>
    <row r="4380" spans="2:8" x14ac:dyDescent="0.3">
      <c r="B4380" s="58"/>
      <c r="C4380" s="60"/>
      <c r="G4380" s="90"/>
      <c r="H4380" s="90"/>
    </row>
    <row r="4381" spans="2:8" x14ac:dyDescent="0.3">
      <c r="B4381" s="58"/>
      <c r="C4381" s="60"/>
      <c r="G4381" s="90"/>
      <c r="H4381" s="90"/>
    </row>
    <row r="4382" spans="2:8" x14ac:dyDescent="0.3">
      <c r="B4382" s="58"/>
      <c r="C4382" s="60"/>
      <c r="G4382" s="90"/>
      <c r="H4382" s="90"/>
    </row>
    <row r="4383" spans="2:8" x14ac:dyDescent="0.3">
      <c r="B4383" s="58"/>
      <c r="C4383" s="60"/>
      <c r="G4383" s="90"/>
      <c r="H4383" s="90"/>
    </row>
    <row r="4384" spans="2:8" x14ac:dyDescent="0.3">
      <c r="B4384" s="58"/>
      <c r="C4384" s="60"/>
      <c r="G4384" s="90"/>
      <c r="H4384" s="90"/>
    </row>
    <row r="4385" spans="2:8" x14ac:dyDescent="0.3">
      <c r="B4385" s="58"/>
      <c r="C4385" s="60"/>
      <c r="G4385" s="90"/>
      <c r="H4385" s="90"/>
    </row>
    <row r="4386" spans="2:8" x14ac:dyDescent="0.3">
      <c r="B4386" s="58"/>
      <c r="C4386" s="60"/>
      <c r="G4386" s="90"/>
      <c r="H4386" s="90"/>
    </row>
    <row r="4387" spans="2:8" x14ac:dyDescent="0.3">
      <c r="B4387" s="58"/>
      <c r="C4387" s="60"/>
      <c r="G4387" s="90"/>
      <c r="H4387" s="90"/>
    </row>
    <row r="4388" spans="2:8" x14ac:dyDescent="0.3">
      <c r="B4388" s="58"/>
      <c r="C4388" s="60"/>
      <c r="G4388" s="90"/>
      <c r="H4388" s="90"/>
    </row>
    <row r="4389" spans="2:8" x14ac:dyDescent="0.3">
      <c r="B4389" s="58"/>
      <c r="C4389" s="60"/>
      <c r="G4389" s="90"/>
      <c r="H4389" s="90"/>
    </row>
    <row r="4390" spans="2:8" x14ac:dyDescent="0.3">
      <c r="B4390" s="58"/>
      <c r="C4390" s="60"/>
      <c r="G4390" s="90"/>
      <c r="H4390" s="90"/>
    </row>
    <row r="4391" spans="2:8" x14ac:dyDescent="0.3">
      <c r="B4391" s="58"/>
      <c r="C4391" s="60"/>
      <c r="G4391" s="90"/>
      <c r="H4391" s="90"/>
    </row>
    <row r="4392" spans="2:8" x14ac:dyDescent="0.3">
      <c r="B4392" s="58"/>
      <c r="C4392" s="60"/>
      <c r="G4392" s="90"/>
      <c r="H4392" s="90"/>
    </row>
    <row r="4393" spans="2:8" x14ac:dyDescent="0.3">
      <c r="B4393" s="58"/>
      <c r="C4393" s="60"/>
      <c r="G4393" s="90"/>
      <c r="H4393" s="90"/>
    </row>
    <row r="4394" spans="2:8" x14ac:dyDescent="0.3">
      <c r="B4394" s="58"/>
      <c r="C4394" s="60"/>
      <c r="G4394" s="90"/>
      <c r="H4394" s="90"/>
    </row>
    <row r="4395" spans="2:8" x14ac:dyDescent="0.3">
      <c r="B4395" s="58"/>
      <c r="C4395" s="60"/>
      <c r="G4395" s="90"/>
      <c r="H4395" s="90"/>
    </row>
    <row r="4396" spans="2:8" x14ac:dyDescent="0.3">
      <c r="B4396" s="58"/>
      <c r="C4396" s="60"/>
      <c r="G4396" s="90"/>
      <c r="H4396" s="90"/>
    </row>
    <row r="4397" spans="2:8" x14ac:dyDescent="0.3">
      <c r="B4397" s="58"/>
      <c r="C4397" s="60"/>
      <c r="G4397" s="90"/>
      <c r="H4397" s="90"/>
    </row>
    <row r="4398" spans="2:8" x14ac:dyDescent="0.3">
      <c r="B4398" s="58"/>
      <c r="C4398" s="60"/>
      <c r="G4398" s="90"/>
      <c r="H4398" s="90"/>
    </row>
    <row r="4399" spans="2:8" x14ac:dyDescent="0.3">
      <c r="B4399" s="58"/>
      <c r="C4399" s="60"/>
      <c r="G4399" s="90"/>
      <c r="H4399" s="90"/>
    </row>
    <row r="4400" spans="2:8" x14ac:dyDescent="0.3">
      <c r="B4400" s="58"/>
      <c r="C4400" s="60"/>
      <c r="G4400" s="90"/>
      <c r="H4400" s="90"/>
    </row>
    <row r="4401" spans="2:8" x14ac:dyDescent="0.3">
      <c r="B4401" s="58"/>
      <c r="C4401" s="60"/>
      <c r="G4401" s="90"/>
      <c r="H4401" s="90"/>
    </row>
    <row r="4402" spans="2:8" x14ac:dyDescent="0.3">
      <c r="B4402" s="58"/>
      <c r="C4402" s="60"/>
      <c r="G4402" s="90"/>
      <c r="H4402" s="90"/>
    </row>
    <row r="4403" spans="2:8" x14ac:dyDescent="0.3">
      <c r="B4403" s="58"/>
      <c r="C4403" s="60"/>
      <c r="G4403" s="90"/>
      <c r="H4403" s="90"/>
    </row>
    <row r="4404" spans="2:8" x14ac:dyDescent="0.3">
      <c r="B4404" s="58"/>
      <c r="C4404" s="60"/>
      <c r="G4404" s="90"/>
      <c r="H4404" s="90"/>
    </row>
    <row r="4405" spans="2:8" x14ac:dyDescent="0.3">
      <c r="B4405" s="58"/>
      <c r="C4405" s="60"/>
      <c r="G4405" s="90"/>
      <c r="H4405" s="90"/>
    </row>
    <row r="4406" spans="2:8" x14ac:dyDescent="0.3">
      <c r="B4406" s="58"/>
      <c r="C4406" s="60"/>
      <c r="G4406" s="90"/>
      <c r="H4406" s="90"/>
    </row>
    <row r="4407" spans="2:8" x14ac:dyDescent="0.3">
      <c r="B4407" s="58"/>
      <c r="C4407" s="60"/>
      <c r="G4407" s="90"/>
      <c r="H4407" s="90"/>
    </row>
    <row r="4408" spans="2:8" x14ac:dyDescent="0.3">
      <c r="B4408" s="58"/>
      <c r="C4408" s="60"/>
      <c r="G4408" s="90"/>
      <c r="H4408" s="90"/>
    </row>
    <row r="4409" spans="2:8" x14ac:dyDescent="0.3">
      <c r="B4409" s="58"/>
      <c r="C4409" s="60"/>
      <c r="G4409" s="90"/>
      <c r="H4409" s="90"/>
    </row>
    <row r="4410" spans="2:8" x14ac:dyDescent="0.3">
      <c r="B4410" s="58"/>
      <c r="C4410" s="60"/>
      <c r="G4410" s="90"/>
      <c r="H4410" s="90"/>
    </row>
    <row r="4411" spans="2:8" x14ac:dyDescent="0.3">
      <c r="B4411" s="58"/>
      <c r="C4411" s="60"/>
      <c r="G4411" s="90"/>
      <c r="H4411" s="90"/>
    </row>
    <row r="4412" spans="2:8" x14ac:dyDescent="0.3">
      <c r="B4412" s="58"/>
      <c r="C4412" s="60"/>
      <c r="G4412" s="90"/>
      <c r="H4412" s="90"/>
    </row>
    <row r="4413" spans="2:8" x14ac:dyDescent="0.3">
      <c r="B4413" s="58"/>
      <c r="C4413" s="60"/>
      <c r="G4413" s="90"/>
      <c r="H4413" s="90"/>
    </row>
    <row r="4414" spans="2:8" x14ac:dyDescent="0.3">
      <c r="B4414" s="58"/>
      <c r="C4414" s="60"/>
      <c r="G4414" s="90"/>
      <c r="H4414" s="90"/>
    </row>
    <row r="4415" spans="2:8" x14ac:dyDescent="0.3">
      <c r="B4415" s="58"/>
      <c r="C4415" s="60"/>
      <c r="G4415" s="90"/>
      <c r="H4415" s="90"/>
    </row>
    <row r="4416" spans="2:8" x14ac:dyDescent="0.3">
      <c r="B4416" s="58"/>
      <c r="C4416" s="60"/>
      <c r="G4416" s="90"/>
      <c r="H4416" s="90"/>
    </row>
    <row r="4417" spans="2:8" x14ac:dyDescent="0.3">
      <c r="B4417" s="58"/>
      <c r="C4417" s="60"/>
      <c r="G4417" s="90"/>
      <c r="H4417" s="90"/>
    </row>
    <row r="4418" spans="2:8" x14ac:dyDescent="0.3">
      <c r="B4418" s="58"/>
      <c r="C4418" s="60"/>
      <c r="G4418" s="90"/>
      <c r="H4418" s="90"/>
    </row>
    <row r="4419" spans="2:8" x14ac:dyDescent="0.3">
      <c r="B4419" s="58"/>
      <c r="C4419" s="60"/>
      <c r="G4419" s="90"/>
      <c r="H4419" s="90"/>
    </row>
    <row r="4420" spans="2:8" x14ac:dyDescent="0.3">
      <c r="B4420" s="58"/>
      <c r="C4420" s="60"/>
      <c r="G4420" s="90"/>
      <c r="H4420" s="90"/>
    </row>
    <row r="4421" spans="2:8" x14ac:dyDescent="0.3">
      <c r="B4421" s="58"/>
      <c r="C4421" s="60"/>
      <c r="G4421" s="90"/>
      <c r="H4421" s="90"/>
    </row>
    <row r="4422" spans="2:8" x14ac:dyDescent="0.3">
      <c r="B4422" s="58"/>
      <c r="C4422" s="60"/>
      <c r="G4422" s="90"/>
      <c r="H4422" s="90"/>
    </row>
    <row r="4423" spans="2:8" x14ac:dyDescent="0.3">
      <c r="B4423" s="58"/>
      <c r="C4423" s="60"/>
      <c r="G4423" s="90"/>
      <c r="H4423" s="90"/>
    </row>
    <row r="4424" spans="2:8" x14ac:dyDescent="0.3">
      <c r="B4424" s="58"/>
      <c r="C4424" s="60"/>
      <c r="G4424" s="90"/>
      <c r="H4424" s="90"/>
    </row>
    <row r="4425" spans="2:8" x14ac:dyDescent="0.3">
      <c r="B4425" s="58"/>
      <c r="C4425" s="60"/>
      <c r="G4425" s="90"/>
      <c r="H4425" s="90"/>
    </row>
    <row r="4426" spans="2:8" x14ac:dyDescent="0.3">
      <c r="B4426" s="58"/>
      <c r="C4426" s="60"/>
      <c r="G4426" s="90"/>
      <c r="H4426" s="90"/>
    </row>
    <row r="4427" spans="2:8" x14ac:dyDescent="0.3">
      <c r="B4427" s="58"/>
      <c r="C4427" s="60"/>
      <c r="G4427" s="90"/>
      <c r="H4427" s="90"/>
    </row>
    <row r="4428" spans="2:8" x14ac:dyDescent="0.3">
      <c r="B4428" s="58"/>
      <c r="C4428" s="60"/>
      <c r="G4428" s="90"/>
      <c r="H4428" s="90"/>
    </row>
    <row r="4429" spans="2:8" x14ac:dyDescent="0.3">
      <c r="B4429" s="58"/>
      <c r="C4429" s="60"/>
      <c r="G4429" s="90"/>
      <c r="H4429" s="90"/>
    </row>
    <row r="4430" spans="2:8" x14ac:dyDescent="0.3">
      <c r="B4430" s="58"/>
      <c r="C4430" s="60"/>
      <c r="G4430" s="90"/>
      <c r="H4430" s="90"/>
    </row>
    <row r="4431" spans="2:8" x14ac:dyDescent="0.3">
      <c r="B4431" s="58"/>
      <c r="C4431" s="60"/>
      <c r="G4431" s="90"/>
      <c r="H4431" s="90"/>
    </row>
    <row r="4432" spans="2:8" x14ac:dyDescent="0.3">
      <c r="B4432" s="58"/>
      <c r="G4432" s="90"/>
      <c r="H4432" s="90"/>
    </row>
    <row r="4433" spans="2:8" x14ac:dyDescent="0.3">
      <c r="B4433" s="58"/>
      <c r="G4433" s="90"/>
      <c r="H4433" s="90"/>
    </row>
    <row r="4434" spans="2:8" x14ac:dyDescent="0.3">
      <c r="B4434" s="58"/>
      <c r="G4434" s="90"/>
      <c r="H4434" s="90"/>
    </row>
    <row r="4435" spans="2:8" x14ac:dyDescent="0.3">
      <c r="B4435" s="58"/>
      <c r="G4435" s="90"/>
      <c r="H4435" s="90"/>
    </row>
    <row r="4436" spans="2:8" x14ac:dyDescent="0.3">
      <c r="B4436" s="58"/>
      <c r="G4436" s="90"/>
      <c r="H4436" s="90"/>
    </row>
    <row r="4437" spans="2:8" x14ac:dyDescent="0.3">
      <c r="B4437" s="58"/>
      <c r="G4437" s="90"/>
      <c r="H4437" s="90"/>
    </row>
    <row r="4438" spans="2:8" x14ac:dyDescent="0.3">
      <c r="B4438" s="58"/>
      <c r="G4438" s="90"/>
      <c r="H4438" s="90"/>
    </row>
    <row r="4439" spans="2:8" x14ac:dyDescent="0.3">
      <c r="B4439" s="58"/>
      <c r="G4439" s="90"/>
      <c r="H4439" s="90"/>
    </row>
    <row r="4440" spans="2:8" x14ac:dyDescent="0.3">
      <c r="B4440" s="58"/>
      <c r="G4440" s="90"/>
      <c r="H4440" s="90"/>
    </row>
    <row r="4441" spans="2:8" x14ac:dyDescent="0.3">
      <c r="B4441" s="58"/>
      <c r="G4441" s="90"/>
      <c r="H4441" s="90"/>
    </row>
    <row r="4442" spans="2:8" x14ac:dyDescent="0.3">
      <c r="B4442" s="58"/>
      <c r="G4442" s="90"/>
      <c r="H4442" s="90"/>
    </row>
    <row r="4443" spans="2:8" x14ac:dyDescent="0.3">
      <c r="B4443" s="58"/>
      <c r="G4443" s="90"/>
      <c r="H4443" s="90"/>
    </row>
    <row r="4444" spans="2:8" x14ac:dyDescent="0.3">
      <c r="B4444" s="58"/>
      <c r="G4444" s="90"/>
      <c r="H4444" s="90"/>
    </row>
    <row r="4445" spans="2:8" x14ac:dyDescent="0.3">
      <c r="B4445" s="58"/>
      <c r="G4445" s="90"/>
      <c r="H4445" s="90"/>
    </row>
    <row r="4446" spans="2:8" x14ac:dyDescent="0.3">
      <c r="B4446" s="58"/>
      <c r="G4446" s="90"/>
      <c r="H4446" s="90"/>
    </row>
    <row r="4447" spans="2:8" x14ac:dyDescent="0.3">
      <c r="B4447" s="58"/>
      <c r="G4447" s="90"/>
      <c r="H4447" s="90"/>
    </row>
    <row r="4448" spans="2:8" x14ac:dyDescent="0.3">
      <c r="B4448" s="58"/>
      <c r="G4448" s="90"/>
      <c r="H4448" s="90"/>
    </row>
    <row r="4449" spans="2:8" x14ac:dyDescent="0.3">
      <c r="B4449" s="58"/>
      <c r="G4449" s="90"/>
      <c r="H4449" s="90"/>
    </row>
    <row r="4450" spans="2:8" x14ac:dyDescent="0.3">
      <c r="B4450" s="58"/>
      <c r="G4450" s="90"/>
      <c r="H4450" s="90"/>
    </row>
    <row r="4451" spans="2:8" x14ac:dyDescent="0.3">
      <c r="B4451" s="58"/>
      <c r="G4451" s="90"/>
      <c r="H4451" s="90"/>
    </row>
    <row r="4452" spans="2:8" x14ac:dyDescent="0.3">
      <c r="B4452" s="58"/>
      <c r="G4452" s="90"/>
      <c r="H4452" s="90"/>
    </row>
    <row r="4453" spans="2:8" x14ac:dyDescent="0.3">
      <c r="B4453" s="58"/>
      <c r="G4453" s="90"/>
      <c r="H4453" s="90"/>
    </row>
    <row r="4454" spans="2:8" x14ac:dyDescent="0.3">
      <c r="B4454" s="58"/>
      <c r="G4454" s="90"/>
      <c r="H4454" s="90"/>
    </row>
    <row r="4455" spans="2:8" x14ac:dyDescent="0.3">
      <c r="B4455" s="58"/>
      <c r="G4455" s="90"/>
      <c r="H4455" s="90"/>
    </row>
    <row r="4456" spans="2:8" x14ac:dyDescent="0.3">
      <c r="B4456" s="58"/>
      <c r="G4456" s="90"/>
      <c r="H4456" s="90"/>
    </row>
    <row r="4457" spans="2:8" x14ac:dyDescent="0.3">
      <c r="B4457" s="58"/>
      <c r="G4457" s="90"/>
      <c r="H4457" s="90"/>
    </row>
    <row r="4458" spans="2:8" x14ac:dyDescent="0.3">
      <c r="B4458" s="58"/>
      <c r="G4458" s="90"/>
      <c r="H4458" s="90"/>
    </row>
    <row r="4459" spans="2:8" x14ac:dyDescent="0.3">
      <c r="B4459" s="58"/>
      <c r="G4459" s="90"/>
      <c r="H4459" s="90"/>
    </row>
    <row r="4460" spans="2:8" x14ac:dyDescent="0.3">
      <c r="B4460" s="58"/>
      <c r="G4460" s="90"/>
      <c r="H4460" s="90"/>
    </row>
    <row r="4461" spans="2:8" x14ac:dyDescent="0.3">
      <c r="B4461" s="58"/>
      <c r="G4461" s="90"/>
      <c r="H4461" s="90"/>
    </row>
    <row r="4462" spans="2:8" x14ac:dyDescent="0.3">
      <c r="B4462" s="58"/>
      <c r="G4462" s="90"/>
      <c r="H4462" s="90"/>
    </row>
    <row r="4463" spans="2:8" x14ac:dyDescent="0.3">
      <c r="B4463" s="58"/>
      <c r="G4463" s="90"/>
      <c r="H4463" s="90"/>
    </row>
    <row r="4464" spans="2:8" x14ac:dyDescent="0.3">
      <c r="B4464" s="58"/>
      <c r="G4464" s="90"/>
      <c r="H4464" s="90"/>
    </row>
    <row r="4465" spans="2:8" x14ac:dyDescent="0.3">
      <c r="B4465" s="58"/>
      <c r="G4465" s="90"/>
      <c r="H4465" s="90"/>
    </row>
    <row r="4466" spans="2:8" x14ac:dyDescent="0.3">
      <c r="B4466" s="58"/>
      <c r="G4466" s="90"/>
      <c r="H4466" s="90"/>
    </row>
    <row r="4467" spans="2:8" x14ac:dyDescent="0.3">
      <c r="B4467" s="58"/>
      <c r="G4467" s="90"/>
      <c r="H4467" s="90"/>
    </row>
    <row r="4468" spans="2:8" x14ac:dyDescent="0.3">
      <c r="B4468" s="58"/>
      <c r="G4468" s="90"/>
      <c r="H4468" s="90"/>
    </row>
    <row r="4469" spans="2:8" x14ac:dyDescent="0.3">
      <c r="B4469" s="58"/>
      <c r="G4469" s="90"/>
      <c r="H4469" s="90"/>
    </row>
    <row r="4470" spans="2:8" x14ac:dyDescent="0.3">
      <c r="B4470" s="58"/>
      <c r="G4470" s="90"/>
      <c r="H4470" s="90"/>
    </row>
    <row r="4471" spans="2:8" x14ac:dyDescent="0.3">
      <c r="B4471" s="58"/>
      <c r="G4471" s="90"/>
      <c r="H4471" s="90"/>
    </row>
    <row r="4472" spans="2:8" x14ac:dyDescent="0.3">
      <c r="B4472" s="58"/>
      <c r="G4472" s="90"/>
      <c r="H4472" s="90"/>
    </row>
    <row r="4473" spans="2:8" x14ac:dyDescent="0.3">
      <c r="B4473" s="58"/>
      <c r="G4473" s="90"/>
      <c r="H4473" s="90"/>
    </row>
    <row r="4474" spans="2:8" x14ac:dyDescent="0.3">
      <c r="B4474" s="58"/>
      <c r="G4474" s="90"/>
      <c r="H4474" s="90"/>
    </row>
    <row r="4475" spans="2:8" x14ac:dyDescent="0.3">
      <c r="B4475" s="58"/>
      <c r="G4475" s="90"/>
      <c r="H4475" s="90"/>
    </row>
    <row r="4476" spans="2:8" x14ac:dyDescent="0.3">
      <c r="B4476" s="58"/>
      <c r="G4476" s="90"/>
      <c r="H4476" s="90"/>
    </row>
    <row r="4477" spans="2:8" x14ac:dyDescent="0.3">
      <c r="B4477" s="58"/>
      <c r="G4477" s="90"/>
      <c r="H4477" s="90"/>
    </row>
    <row r="4478" spans="2:8" x14ac:dyDescent="0.3">
      <c r="B4478" s="58"/>
      <c r="G4478" s="90"/>
      <c r="H4478" s="90"/>
    </row>
    <row r="4479" spans="2:8" x14ac:dyDescent="0.3">
      <c r="B4479" s="58"/>
      <c r="G4479" s="90"/>
      <c r="H4479" s="90"/>
    </row>
    <row r="4480" spans="2:8" x14ac:dyDescent="0.3">
      <c r="B4480" s="58"/>
      <c r="G4480" s="90"/>
      <c r="H4480" s="90"/>
    </row>
    <row r="4481" spans="2:8" x14ac:dyDescent="0.3">
      <c r="B4481" s="58"/>
      <c r="G4481" s="90"/>
      <c r="H4481" s="90"/>
    </row>
    <row r="4482" spans="2:8" x14ac:dyDescent="0.3">
      <c r="B4482" s="58"/>
      <c r="G4482" s="90"/>
      <c r="H4482" s="90"/>
    </row>
    <row r="4483" spans="2:8" x14ac:dyDescent="0.3">
      <c r="B4483" s="58"/>
      <c r="G4483" s="90"/>
      <c r="H4483" s="90"/>
    </row>
    <row r="4484" spans="2:8" x14ac:dyDescent="0.3">
      <c r="B4484" s="58"/>
      <c r="G4484" s="90"/>
      <c r="H4484" s="90"/>
    </row>
    <row r="4485" spans="2:8" x14ac:dyDescent="0.3">
      <c r="B4485" s="58"/>
      <c r="G4485" s="90"/>
      <c r="H4485" s="90"/>
    </row>
    <row r="4486" spans="2:8" x14ac:dyDescent="0.3">
      <c r="B4486" s="58"/>
      <c r="G4486" s="90"/>
      <c r="H4486" s="90"/>
    </row>
    <row r="4487" spans="2:8" x14ac:dyDescent="0.3">
      <c r="B4487" s="58"/>
      <c r="G4487" s="90"/>
      <c r="H4487" s="90"/>
    </row>
    <row r="4488" spans="2:8" x14ac:dyDescent="0.3">
      <c r="B4488" s="58"/>
      <c r="G4488" s="90"/>
      <c r="H4488" s="90"/>
    </row>
    <row r="4489" spans="2:8" x14ac:dyDescent="0.3">
      <c r="B4489" s="58"/>
      <c r="G4489" s="90"/>
      <c r="H4489" s="90"/>
    </row>
    <row r="4490" spans="2:8" x14ac:dyDescent="0.3">
      <c r="B4490" s="58"/>
      <c r="G4490" s="90"/>
      <c r="H4490" s="90"/>
    </row>
    <row r="4491" spans="2:8" x14ac:dyDescent="0.3">
      <c r="B4491" s="58"/>
      <c r="G4491" s="90"/>
      <c r="H4491" s="90"/>
    </row>
    <row r="4492" spans="2:8" x14ac:dyDescent="0.3">
      <c r="B4492" s="58"/>
      <c r="G4492" s="90"/>
      <c r="H4492" s="90"/>
    </row>
    <row r="4493" spans="2:8" x14ac:dyDescent="0.3">
      <c r="B4493" s="58"/>
      <c r="G4493" s="90"/>
      <c r="H4493" s="90"/>
    </row>
    <row r="4494" spans="2:8" x14ac:dyDescent="0.3">
      <c r="B4494" s="58"/>
      <c r="G4494" s="90"/>
      <c r="H4494" s="90"/>
    </row>
    <row r="4495" spans="2:8" x14ac:dyDescent="0.3">
      <c r="B4495" s="58"/>
      <c r="G4495" s="90"/>
      <c r="H4495" s="90"/>
    </row>
    <row r="4496" spans="2:8" x14ac:dyDescent="0.3">
      <c r="B4496" s="58"/>
      <c r="G4496" s="90"/>
      <c r="H4496" s="90"/>
    </row>
    <row r="4497" spans="2:8" x14ac:dyDescent="0.3">
      <c r="B4497" s="58"/>
      <c r="G4497" s="90"/>
      <c r="H4497" s="90"/>
    </row>
    <row r="4498" spans="2:8" x14ac:dyDescent="0.3">
      <c r="B4498" s="58"/>
      <c r="G4498" s="90"/>
      <c r="H4498" s="90"/>
    </row>
    <row r="4499" spans="2:8" x14ac:dyDescent="0.3">
      <c r="B4499" s="58"/>
      <c r="G4499" s="90"/>
      <c r="H4499" s="90"/>
    </row>
    <row r="4500" spans="2:8" x14ac:dyDescent="0.3">
      <c r="B4500" s="58"/>
      <c r="G4500" s="90"/>
      <c r="H4500" s="90"/>
    </row>
    <row r="4501" spans="2:8" x14ac:dyDescent="0.3">
      <c r="B4501" s="58"/>
      <c r="G4501" s="90"/>
      <c r="H4501" s="90"/>
    </row>
    <row r="4502" spans="2:8" x14ac:dyDescent="0.3">
      <c r="B4502" s="58"/>
      <c r="G4502" s="90"/>
      <c r="H4502" s="90"/>
    </row>
    <row r="4503" spans="2:8" x14ac:dyDescent="0.3">
      <c r="B4503" s="58"/>
      <c r="G4503" s="90"/>
      <c r="H4503" s="90"/>
    </row>
    <row r="4504" spans="2:8" x14ac:dyDescent="0.3">
      <c r="B4504" s="58"/>
      <c r="G4504" s="90"/>
      <c r="H4504" s="90"/>
    </row>
    <row r="4505" spans="2:8" x14ac:dyDescent="0.3">
      <c r="B4505" s="58"/>
      <c r="G4505" s="90"/>
      <c r="H4505" s="90"/>
    </row>
    <row r="4506" spans="2:8" x14ac:dyDescent="0.3">
      <c r="B4506" s="58"/>
      <c r="G4506" s="90"/>
      <c r="H4506" s="90"/>
    </row>
    <row r="4507" spans="2:8" x14ac:dyDescent="0.3">
      <c r="B4507" s="58"/>
      <c r="G4507" s="90"/>
      <c r="H4507" s="90"/>
    </row>
    <row r="4508" spans="2:8" x14ac:dyDescent="0.3">
      <c r="B4508" s="58"/>
      <c r="G4508" s="90"/>
      <c r="H4508" s="90"/>
    </row>
    <row r="4509" spans="2:8" x14ac:dyDescent="0.3">
      <c r="B4509" s="58"/>
      <c r="G4509" s="90"/>
      <c r="H4509" s="90"/>
    </row>
    <row r="4510" spans="2:8" x14ac:dyDescent="0.3">
      <c r="B4510" s="58"/>
      <c r="G4510" s="90"/>
      <c r="H4510" s="90"/>
    </row>
    <row r="4511" spans="2:8" x14ac:dyDescent="0.3">
      <c r="B4511" s="58"/>
      <c r="G4511" s="90"/>
      <c r="H4511" s="90"/>
    </row>
    <row r="4512" spans="2:8" x14ac:dyDescent="0.3">
      <c r="B4512" s="58"/>
      <c r="G4512" s="90"/>
      <c r="H4512" s="90"/>
    </row>
    <row r="4513" spans="2:8" x14ac:dyDescent="0.3">
      <c r="B4513" s="58"/>
      <c r="G4513" s="90"/>
      <c r="H4513" s="90"/>
    </row>
    <row r="4514" spans="2:8" x14ac:dyDescent="0.3">
      <c r="B4514" s="58"/>
      <c r="G4514" s="90"/>
      <c r="H4514" s="90"/>
    </row>
    <row r="4515" spans="2:8" x14ac:dyDescent="0.3">
      <c r="B4515" s="58"/>
      <c r="G4515" s="90"/>
      <c r="H4515" s="90"/>
    </row>
    <row r="4516" spans="2:8" x14ac:dyDescent="0.3">
      <c r="B4516" s="58"/>
      <c r="G4516" s="90"/>
      <c r="H4516" s="90"/>
    </row>
    <row r="4517" spans="2:8" x14ac:dyDescent="0.3">
      <c r="B4517" s="58"/>
      <c r="G4517" s="90"/>
      <c r="H4517" s="90"/>
    </row>
    <row r="4518" spans="2:8" x14ac:dyDescent="0.3">
      <c r="B4518" s="58"/>
      <c r="G4518" s="90"/>
      <c r="H4518" s="90"/>
    </row>
    <row r="4519" spans="2:8" x14ac:dyDescent="0.3">
      <c r="B4519" s="58"/>
      <c r="G4519" s="90"/>
      <c r="H4519" s="90"/>
    </row>
    <row r="4520" spans="2:8" x14ac:dyDescent="0.3">
      <c r="B4520" s="58"/>
      <c r="G4520" s="90"/>
      <c r="H4520" s="90"/>
    </row>
    <row r="4521" spans="2:8" x14ac:dyDescent="0.3">
      <c r="B4521" s="58"/>
      <c r="G4521" s="90"/>
      <c r="H4521" s="90"/>
    </row>
    <row r="4522" spans="2:8" x14ac:dyDescent="0.3">
      <c r="B4522" s="58"/>
      <c r="G4522" s="90"/>
      <c r="H4522" s="90"/>
    </row>
    <row r="4523" spans="2:8" x14ac:dyDescent="0.3">
      <c r="B4523" s="58"/>
      <c r="G4523" s="90"/>
      <c r="H4523" s="90"/>
    </row>
    <row r="4524" spans="2:8" x14ac:dyDescent="0.3">
      <c r="B4524" s="58"/>
      <c r="G4524" s="90"/>
      <c r="H4524" s="90"/>
    </row>
    <row r="4525" spans="2:8" x14ac:dyDescent="0.3">
      <c r="B4525" s="58"/>
      <c r="G4525" s="90"/>
      <c r="H4525" s="90"/>
    </row>
    <row r="4526" spans="2:8" x14ac:dyDescent="0.3">
      <c r="B4526" s="58"/>
      <c r="G4526" s="90"/>
      <c r="H4526" s="90"/>
    </row>
    <row r="4527" spans="2:8" x14ac:dyDescent="0.3">
      <c r="B4527" s="58"/>
      <c r="G4527" s="90"/>
      <c r="H4527" s="90"/>
    </row>
    <row r="4528" spans="2:8" x14ac:dyDescent="0.3">
      <c r="B4528" s="58"/>
      <c r="G4528" s="90"/>
      <c r="H4528" s="90"/>
    </row>
    <row r="4529" spans="2:8" x14ac:dyDescent="0.3">
      <c r="B4529" s="58"/>
      <c r="G4529" s="90"/>
      <c r="H4529" s="90"/>
    </row>
    <row r="4530" spans="2:8" x14ac:dyDescent="0.3">
      <c r="B4530" s="58"/>
      <c r="G4530" s="90"/>
      <c r="H4530" s="90"/>
    </row>
    <row r="4531" spans="2:8" x14ac:dyDescent="0.3">
      <c r="B4531" s="58"/>
      <c r="G4531" s="90"/>
      <c r="H4531" s="90"/>
    </row>
    <row r="4532" spans="2:8" x14ac:dyDescent="0.3">
      <c r="B4532" s="58"/>
      <c r="G4532" s="90"/>
      <c r="H4532" s="90"/>
    </row>
    <row r="4533" spans="2:8" x14ac:dyDescent="0.3">
      <c r="B4533" s="58"/>
      <c r="G4533" s="90"/>
      <c r="H4533" s="90"/>
    </row>
    <row r="4534" spans="2:8" x14ac:dyDescent="0.3">
      <c r="B4534" s="58"/>
      <c r="G4534" s="90"/>
      <c r="H4534" s="90"/>
    </row>
    <row r="4535" spans="2:8" x14ac:dyDescent="0.3">
      <c r="B4535" s="58"/>
      <c r="G4535" s="90"/>
      <c r="H4535" s="90"/>
    </row>
    <row r="4536" spans="2:8" x14ac:dyDescent="0.3">
      <c r="B4536" s="58"/>
      <c r="G4536" s="90"/>
      <c r="H4536" s="90"/>
    </row>
    <row r="4537" spans="2:8" x14ac:dyDescent="0.3">
      <c r="B4537" s="58"/>
      <c r="G4537" s="90"/>
      <c r="H4537" s="90"/>
    </row>
    <row r="4538" spans="2:8" x14ac:dyDescent="0.3">
      <c r="B4538" s="58"/>
      <c r="G4538" s="90"/>
      <c r="H4538" s="90"/>
    </row>
    <row r="4539" spans="2:8" x14ac:dyDescent="0.3">
      <c r="B4539" s="58"/>
      <c r="G4539" s="90"/>
      <c r="H4539" s="90"/>
    </row>
    <row r="4540" spans="2:8" x14ac:dyDescent="0.3">
      <c r="B4540" s="58"/>
      <c r="G4540" s="90"/>
      <c r="H4540" s="90"/>
    </row>
    <row r="4541" spans="2:8" x14ac:dyDescent="0.3">
      <c r="B4541" s="58"/>
      <c r="G4541" s="90"/>
      <c r="H4541" s="90"/>
    </row>
    <row r="4542" spans="2:8" x14ac:dyDescent="0.3">
      <c r="B4542" s="58"/>
      <c r="G4542" s="90"/>
      <c r="H4542" s="90"/>
    </row>
    <row r="4543" spans="2:8" x14ac:dyDescent="0.3">
      <c r="B4543" s="58"/>
      <c r="G4543" s="90"/>
      <c r="H4543" s="90"/>
    </row>
    <row r="4544" spans="2:8" x14ac:dyDescent="0.3">
      <c r="B4544" s="58"/>
      <c r="G4544" s="90"/>
      <c r="H4544" s="90"/>
    </row>
    <row r="4545" spans="2:8" x14ac:dyDescent="0.3">
      <c r="B4545" s="58"/>
      <c r="G4545" s="90"/>
      <c r="H4545" s="90"/>
    </row>
    <row r="4546" spans="2:8" x14ac:dyDescent="0.3">
      <c r="B4546" s="58"/>
      <c r="G4546" s="90"/>
      <c r="H4546" s="90"/>
    </row>
    <row r="4547" spans="2:8" x14ac:dyDescent="0.3">
      <c r="B4547" s="58"/>
      <c r="G4547" s="90"/>
      <c r="H4547" s="90"/>
    </row>
    <row r="4548" spans="2:8" x14ac:dyDescent="0.3">
      <c r="B4548" s="58"/>
      <c r="G4548" s="90"/>
      <c r="H4548" s="90"/>
    </row>
    <row r="4549" spans="2:8" x14ac:dyDescent="0.3">
      <c r="B4549" s="58"/>
      <c r="G4549" s="90"/>
      <c r="H4549" s="90"/>
    </row>
    <row r="4550" spans="2:8" x14ac:dyDescent="0.3">
      <c r="B4550" s="58"/>
      <c r="G4550" s="90"/>
      <c r="H4550" s="90"/>
    </row>
    <row r="4551" spans="2:8" x14ac:dyDescent="0.3">
      <c r="B4551" s="58"/>
      <c r="G4551" s="90"/>
      <c r="H4551" s="90"/>
    </row>
    <row r="4552" spans="2:8" x14ac:dyDescent="0.3">
      <c r="B4552" s="58"/>
      <c r="G4552" s="90"/>
      <c r="H4552" s="90"/>
    </row>
    <row r="4553" spans="2:8" x14ac:dyDescent="0.3">
      <c r="B4553" s="58"/>
      <c r="G4553" s="90"/>
      <c r="H4553" s="90"/>
    </row>
    <row r="4554" spans="2:8" x14ac:dyDescent="0.3">
      <c r="B4554" s="58"/>
      <c r="G4554" s="90"/>
      <c r="H4554" s="90"/>
    </row>
    <row r="4555" spans="2:8" x14ac:dyDescent="0.3">
      <c r="B4555" s="58"/>
      <c r="G4555" s="90"/>
      <c r="H4555" s="90"/>
    </row>
    <row r="4556" spans="2:8" x14ac:dyDescent="0.3">
      <c r="B4556" s="58"/>
      <c r="G4556" s="90"/>
      <c r="H4556" s="90"/>
    </row>
    <row r="4557" spans="2:8" x14ac:dyDescent="0.3">
      <c r="B4557" s="58"/>
      <c r="G4557" s="90"/>
      <c r="H4557" s="90"/>
    </row>
    <row r="4558" spans="2:8" x14ac:dyDescent="0.3">
      <c r="B4558" s="58"/>
      <c r="G4558" s="90"/>
      <c r="H4558" s="90"/>
    </row>
    <row r="4559" spans="2:8" x14ac:dyDescent="0.3">
      <c r="B4559" s="58"/>
      <c r="G4559" s="90"/>
      <c r="H4559" s="90"/>
    </row>
    <row r="4560" spans="2:8" x14ac:dyDescent="0.3">
      <c r="B4560" s="58"/>
      <c r="G4560" s="90"/>
      <c r="H4560" s="90"/>
    </row>
    <row r="4561" spans="2:8" x14ac:dyDescent="0.3">
      <c r="B4561" s="58"/>
      <c r="G4561" s="90"/>
      <c r="H4561" s="90"/>
    </row>
    <row r="4562" spans="2:8" x14ac:dyDescent="0.3">
      <c r="B4562" s="58"/>
      <c r="G4562" s="90"/>
      <c r="H4562" s="90"/>
    </row>
    <row r="4563" spans="2:8" x14ac:dyDescent="0.3">
      <c r="B4563" s="58"/>
      <c r="G4563" s="90"/>
      <c r="H4563" s="90"/>
    </row>
    <row r="4564" spans="2:8" x14ac:dyDescent="0.3">
      <c r="B4564" s="58"/>
      <c r="G4564" s="90"/>
      <c r="H4564" s="90"/>
    </row>
    <row r="4565" spans="2:8" x14ac:dyDescent="0.3">
      <c r="B4565" s="58"/>
      <c r="G4565" s="90"/>
      <c r="H4565" s="90"/>
    </row>
    <row r="4566" spans="2:8" x14ac:dyDescent="0.3">
      <c r="B4566" s="58"/>
      <c r="G4566" s="90"/>
      <c r="H4566" s="90"/>
    </row>
    <row r="4567" spans="2:8" x14ac:dyDescent="0.3">
      <c r="B4567" s="58"/>
      <c r="G4567" s="90"/>
      <c r="H4567" s="90"/>
    </row>
    <row r="4568" spans="2:8" x14ac:dyDescent="0.3">
      <c r="B4568" s="58"/>
      <c r="G4568" s="90"/>
      <c r="H4568" s="90"/>
    </row>
    <row r="4569" spans="2:8" x14ac:dyDescent="0.3">
      <c r="B4569" s="58"/>
      <c r="G4569" s="90"/>
      <c r="H4569" s="90"/>
    </row>
    <row r="4570" spans="2:8" x14ac:dyDescent="0.3">
      <c r="B4570" s="58"/>
      <c r="G4570" s="90"/>
      <c r="H4570" s="90"/>
    </row>
    <row r="4571" spans="2:8" x14ac:dyDescent="0.3">
      <c r="B4571" s="58"/>
      <c r="G4571" s="90"/>
      <c r="H4571" s="90"/>
    </row>
    <row r="4572" spans="2:8" x14ac:dyDescent="0.3">
      <c r="B4572" s="58"/>
      <c r="G4572" s="90"/>
      <c r="H4572" s="90"/>
    </row>
    <row r="4573" spans="2:8" x14ac:dyDescent="0.3">
      <c r="B4573" s="58"/>
      <c r="G4573" s="90"/>
      <c r="H4573" s="90"/>
    </row>
    <row r="4574" spans="2:8" x14ac:dyDescent="0.3">
      <c r="B4574" s="58"/>
      <c r="G4574" s="90"/>
      <c r="H4574" s="90"/>
    </row>
    <row r="4575" spans="2:8" x14ac:dyDescent="0.3">
      <c r="B4575" s="58"/>
      <c r="G4575" s="90"/>
      <c r="H4575" s="90"/>
    </row>
    <row r="4576" spans="2:8" x14ac:dyDescent="0.3">
      <c r="B4576" s="58"/>
      <c r="G4576" s="90"/>
      <c r="H4576" s="90"/>
    </row>
    <row r="4577" spans="2:8" x14ac:dyDescent="0.3">
      <c r="B4577" s="58"/>
      <c r="G4577" s="90"/>
      <c r="H4577" s="90"/>
    </row>
    <row r="4578" spans="2:8" x14ac:dyDescent="0.3">
      <c r="B4578" s="58"/>
      <c r="G4578" s="90"/>
      <c r="H4578" s="90"/>
    </row>
    <row r="4579" spans="2:8" x14ac:dyDescent="0.3">
      <c r="B4579" s="58"/>
      <c r="G4579" s="90"/>
      <c r="H4579" s="90"/>
    </row>
    <row r="4580" spans="2:8" x14ac:dyDescent="0.3">
      <c r="B4580" s="58"/>
      <c r="G4580" s="90"/>
      <c r="H4580" s="90"/>
    </row>
    <row r="4581" spans="2:8" x14ac:dyDescent="0.3">
      <c r="B4581" s="58"/>
      <c r="G4581" s="90"/>
      <c r="H4581" s="90"/>
    </row>
    <row r="4582" spans="2:8" x14ac:dyDescent="0.3">
      <c r="B4582" s="58"/>
      <c r="G4582" s="90"/>
      <c r="H4582" s="90"/>
    </row>
    <row r="4583" spans="2:8" x14ac:dyDescent="0.3">
      <c r="B4583" s="58"/>
      <c r="G4583" s="90"/>
      <c r="H4583" s="90"/>
    </row>
    <row r="4584" spans="2:8" x14ac:dyDescent="0.3">
      <c r="B4584" s="58"/>
      <c r="G4584" s="90"/>
      <c r="H4584" s="90"/>
    </row>
    <row r="4585" spans="2:8" x14ac:dyDescent="0.3">
      <c r="B4585" s="58"/>
      <c r="G4585" s="90"/>
      <c r="H4585" s="90"/>
    </row>
    <row r="4586" spans="2:8" x14ac:dyDescent="0.3">
      <c r="B4586" s="58"/>
      <c r="G4586" s="90"/>
      <c r="H4586" s="90"/>
    </row>
    <row r="4587" spans="2:8" x14ac:dyDescent="0.3">
      <c r="B4587" s="58"/>
      <c r="G4587" s="90"/>
      <c r="H4587" s="90"/>
    </row>
    <row r="4588" spans="2:8" x14ac:dyDescent="0.3">
      <c r="B4588" s="58"/>
      <c r="G4588" s="90"/>
      <c r="H4588" s="90"/>
    </row>
    <row r="4589" spans="2:8" x14ac:dyDescent="0.3">
      <c r="B4589" s="58"/>
      <c r="G4589" s="90"/>
      <c r="H4589" s="90"/>
    </row>
    <row r="4590" spans="2:8" x14ac:dyDescent="0.3">
      <c r="B4590" s="58"/>
      <c r="G4590" s="90"/>
      <c r="H4590" s="90"/>
    </row>
    <row r="4591" spans="2:8" x14ac:dyDescent="0.3">
      <c r="B4591" s="58"/>
      <c r="G4591" s="90"/>
      <c r="H4591" s="90"/>
    </row>
    <row r="4592" spans="2:8" x14ac:dyDescent="0.3">
      <c r="B4592" s="58"/>
      <c r="G4592" s="90"/>
      <c r="H4592" s="90"/>
    </row>
    <row r="4593" spans="2:8" x14ac:dyDescent="0.3">
      <c r="B4593" s="58"/>
      <c r="G4593" s="90"/>
      <c r="H4593" s="90"/>
    </row>
    <row r="4594" spans="2:8" x14ac:dyDescent="0.3">
      <c r="B4594" s="58"/>
      <c r="G4594" s="90"/>
      <c r="H4594" s="90"/>
    </row>
    <row r="4595" spans="2:8" x14ac:dyDescent="0.3">
      <c r="B4595" s="58"/>
      <c r="G4595" s="90"/>
      <c r="H4595" s="90"/>
    </row>
    <row r="4596" spans="2:8" x14ac:dyDescent="0.3">
      <c r="B4596" s="58"/>
      <c r="G4596" s="90"/>
      <c r="H4596" s="90"/>
    </row>
    <row r="4597" spans="2:8" x14ac:dyDescent="0.3">
      <c r="B4597" s="58"/>
      <c r="G4597" s="90"/>
      <c r="H4597" s="90"/>
    </row>
    <row r="4598" spans="2:8" x14ac:dyDescent="0.3">
      <c r="B4598" s="58"/>
      <c r="G4598" s="90"/>
      <c r="H4598" s="90"/>
    </row>
    <row r="4599" spans="2:8" x14ac:dyDescent="0.3">
      <c r="B4599" s="58"/>
      <c r="G4599" s="90"/>
      <c r="H4599" s="90"/>
    </row>
    <row r="4600" spans="2:8" x14ac:dyDescent="0.3">
      <c r="B4600" s="58"/>
      <c r="G4600" s="90"/>
      <c r="H4600" s="90"/>
    </row>
    <row r="4601" spans="2:8" x14ac:dyDescent="0.3">
      <c r="B4601" s="58"/>
      <c r="G4601" s="90"/>
      <c r="H4601" s="90"/>
    </row>
    <row r="4602" spans="2:8" x14ac:dyDescent="0.3">
      <c r="B4602" s="58"/>
      <c r="G4602" s="90"/>
      <c r="H4602" s="90"/>
    </row>
    <row r="4603" spans="2:8" x14ac:dyDescent="0.3">
      <c r="B4603" s="58"/>
      <c r="G4603" s="90"/>
      <c r="H4603" s="90"/>
    </row>
    <row r="4604" spans="2:8" x14ac:dyDescent="0.3">
      <c r="B4604" s="58"/>
      <c r="G4604" s="90"/>
      <c r="H4604" s="90"/>
    </row>
    <row r="4605" spans="2:8" x14ac:dyDescent="0.3">
      <c r="B4605" s="58"/>
      <c r="G4605" s="90"/>
      <c r="H4605" s="90"/>
    </row>
    <row r="4606" spans="2:8" x14ac:dyDescent="0.3">
      <c r="B4606" s="58"/>
      <c r="G4606" s="90"/>
      <c r="H4606" s="90"/>
    </row>
    <row r="4607" spans="2:8" x14ac:dyDescent="0.3">
      <c r="B4607" s="58"/>
      <c r="G4607" s="90"/>
      <c r="H4607" s="90"/>
    </row>
    <row r="4608" spans="2:8" x14ac:dyDescent="0.3">
      <c r="B4608" s="58"/>
      <c r="G4608" s="90"/>
      <c r="H4608" s="90"/>
    </row>
    <row r="4609" spans="2:8" x14ac:dyDescent="0.3">
      <c r="B4609" s="58"/>
      <c r="G4609" s="90"/>
      <c r="H4609" s="90"/>
    </row>
    <row r="4610" spans="2:8" x14ac:dyDescent="0.3">
      <c r="B4610" s="58"/>
      <c r="G4610" s="90"/>
      <c r="H4610" s="90"/>
    </row>
    <row r="4611" spans="2:8" x14ac:dyDescent="0.3">
      <c r="B4611" s="58"/>
      <c r="G4611" s="90"/>
      <c r="H4611" s="90"/>
    </row>
    <row r="4612" spans="2:8" x14ac:dyDescent="0.3">
      <c r="B4612" s="58"/>
      <c r="G4612" s="90"/>
      <c r="H4612" s="90"/>
    </row>
    <row r="4613" spans="2:8" x14ac:dyDescent="0.3">
      <c r="B4613" s="58"/>
      <c r="G4613" s="90"/>
      <c r="H4613" s="90"/>
    </row>
    <row r="4614" spans="2:8" x14ac:dyDescent="0.3">
      <c r="B4614" s="58"/>
      <c r="G4614" s="90"/>
      <c r="H4614" s="90"/>
    </row>
    <row r="4615" spans="2:8" x14ac:dyDescent="0.3">
      <c r="B4615" s="58"/>
      <c r="G4615" s="90"/>
      <c r="H4615" s="90"/>
    </row>
    <row r="4616" spans="2:8" x14ac:dyDescent="0.3">
      <c r="B4616" s="58"/>
      <c r="G4616" s="90"/>
      <c r="H4616" s="90"/>
    </row>
    <row r="4617" spans="2:8" x14ac:dyDescent="0.3">
      <c r="B4617" s="58"/>
      <c r="G4617" s="90"/>
      <c r="H4617" s="90"/>
    </row>
    <row r="4618" spans="2:8" x14ac:dyDescent="0.3">
      <c r="B4618" s="58"/>
      <c r="G4618" s="90"/>
      <c r="H4618" s="90"/>
    </row>
    <row r="4619" spans="2:8" x14ac:dyDescent="0.3">
      <c r="B4619" s="58"/>
      <c r="G4619" s="90"/>
      <c r="H4619" s="90"/>
    </row>
    <row r="4620" spans="2:8" x14ac:dyDescent="0.3">
      <c r="B4620" s="58"/>
      <c r="G4620" s="90"/>
      <c r="H4620" s="90"/>
    </row>
    <row r="4621" spans="2:8" x14ac:dyDescent="0.3">
      <c r="B4621" s="58"/>
      <c r="G4621" s="90"/>
      <c r="H4621" s="90"/>
    </row>
    <row r="4622" spans="2:8" x14ac:dyDescent="0.3">
      <c r="B4622" s="58"/>
      <c r="G4622" s="90"/>
      <c r="H4622" s="90"/>
    </row>
    <row r="4623" spans="2:8" x14ac:dyDescent="0.3">
      <c r="B4623" s="58"/>
      <c r="G4623" s="90"/>
      <c r="H4623" s="90"/>
    </row>
    <row r="4624" spans="2:8" x14ac:dyDescent="0.3">
      <c r="B4624" s="58"/>
      <c r="G4624" s="90"/>
      <c r="H4624" s="90"/>
    </row>
    <row r="4625" spans="2:8" x14ac:dyDescent="0.3">
      <c r="B4625" s="58"/>
      <c r="G4625" s="90"/>
      <c r="H4625" s="90"/>
    </row>
    <row r="4626" spans="2:8" x14ac:dyDescent="0.3">
      <c r="B4626" s="58"/>
      <c r="G4626" s="90"/>
      <c r="H4626" s="90"/>
    </row>
    <row r="4627" spans="2:8" x14ac:dyDescent="0.3">
      <c r="B4627" s="58"/>
      <c r="G4627" s="90"/>
      <c r="H4627" s="90"/>
    </row>
    <row r="4628" spans="2:8" x14ac:dyDescent="0.3">
      <c r="B4628" s="58"/>
      <c r="G4628" s="90"/>
      <c r="H4628" s="90"/>
    </row>
    <row r="4629" spans="2:8" x14ac:dyDescent="0.3">
      <c r="B4629" s="58"/>
      <c r="G4629" s="90"/>
      <c r="H4629" s="90"/>
    </row>
    <row r="4630" spans="2:8" x14ac:dyDescent="0.3">
      <c r="B4630" s="58"/>
      <c r="G4630" s="90"/>
      <c r="H4630" s="90"/>
    </row>
    <row r="4631" spans="2:8" x14ac:dyDescent="0.3">
      <c r="B4631" s="58"/>
      <c r="G4631" s="90"/>
      <c r="H4631" s="90"/>
    </row>
    <row r="4632" spans="2:8" x14ac:dyDescent="0.3">
      <c r="B4632" s="58"/>
      <c r="G4632" s="90"/>
      <c r="H4632" s="90"/>
    </row>
    <row r="4633" spans="2:8" x14ac:dyDescent="0.3">
      <c r="B4633" s="58"/>
      <c r="G4633" s="90"/>
      <c r="H4633" s="90"/>
    </row>
    <row r="4634" spans="2:8" x14ac:dyDescent="0.3">
      <c r="B4634" s="58"/>
      <c r="G4634" s="90"/>
      <c r="H4634" s="90"/>
    </row>
    <row r="4635" spans="2:8" x14ac:dyDescent="0.3">
      <c r="B4635" s="58"/>
      <c r="G4635" s="90"/>
      <c r="H4635" s="90"/>
    </row>
    <row r="4636" spans="2:8" x14ac:dyDescent="0.3">
      <c r="B4636" s="58"/>
      <c r="G4636" s="90"/>
      <c r="H4636" s="90"/>
    </row>
    <row r="4637" spans="2:8" x14ac:dyDescent="0.3">
      <c r="B4637" s="58"/>
      <c r="G4637" s="90"/>
      <c r="H4637" s="90"/>
    </row>
    <row r="4638" spans="2:8" x14ac:dyDescent="0.3">
      <c r="B4638" s="58"/>
      <c r="G4638" s="90"/>
      <c r="H4638" s="90"/>
    </row>
    <row r="4639" spans="2:8" x14ac:dyDescent="0.3">
      <c r="B4639" s="58"/>
      <c r="G4639" s="90"/>
      <c r="H4639" s="90"/>
    </row>
    <row r="4640" spans="2:8" x14ac:dyDescent="0.3">
      <c r="B4640" s="58"/>
      <c r="G4640" s="90"/>
      <c r="H4640" s="90"/>
    </row>
    <row r="4641" spans="2:8" x14ac:dyDescent="0.3">
      <c r="B4641" s="58"/>
      <c r="G4641" s="90"/>
      <c r="H4641" s="90"/>
    </row>
    <row r="4642" spans="2:8" x14ac:dyDescent="0.3">
      <c r="B4642" s="58"/>
      <c r="G4642" s="90"/>
      <c r="H4642" s="90"/>
    </row>
    <row r="4643" spans="2:8" x14ac:dyDescent="0.3">
      <c r="B4643" s="58"/>
      <c r="G4643" s="90"/>
      <c r="H4643" s="90"/>
    </row>
    <row r="4644" spans="2:8" x14ac:dyDescent="0.3">
      <c r="B4644" s="58"/>
      <c r="G4644" s="90"/>
      <c r="H4644" s="90"/>
    </row>
    <row r="4645" spans="2:8" x14ac:dyDescent="0.3">
      <c r="B4645" s="58"/>
      <c r="G4645" s="90"/>
      <c r="H4645" s="90"/>
    </row>
    <row r="4646" spans="2:8" x14ac:dyDescent="0.3">
      <c r="B4646" s="58"/>
      <c r="G4646" s="90"/>
      <c r="H4646" s="90"/>
    </row>
    <row r="4647" spans="2:8" x14ac:dyDescent="0.3">
      <c r="B4647" s="58"/>
      <c r="G4647" s="90"/>
      <c r="H4647" s="90"/>
    </row>
    <row r="4648" spans="2:8" x14ac:dyDescent="0.3">
      <c r="B4648" s="58"/>
      <c r="G4648" s="90"/>
      <c r="H4648" s="90"/>
    </row>
    <row r="4649" spans="2:8" x14ac:dyDescent="0.3">
      <c r="B4649" s="58"/>
      <c r="G4649" s="90"/>
      <c r="H4649" s="90"/>
    </row>
    <row r="4650" spans="2:8" x14ac:dyDescent="0.3">
      <c r="B4650" s="58"/>
      <c r="G4650" s="90"/>
      <c r="H4650" s="90"/>
    </row>
    <row r="4651" spans="2:8" x14ac:dyDescent="0.3">
      <c r="B4651" s="58"/>
      <c r="G4651" s="90"/>
      <c r="H4651" s="90"/>
    </row>
    <row r="4652" spans="2:8" x14ac:dyDescent="0.3">
      <c r="B4652" s="58"/>
      <c r="G4652" s="90"/>
      <c r="H4652" s="90"/>
    </row>
    <row r="4653" spans="2:8" x14ac:dyDescent="0.3">
      <c r="B4653" s="58"/>
      <c r="G4653" s="90"/>
      <c r="H4653" s="90"/>
    </row>
    <row r="4654" spans="2:8" x14ac:dyDescent="0.3">
      <c r="B4654" s="58"/>
      <c r="G4654" s="90"/>
      <c r="H4654" s="90"/>
    </row>
    <row r="4655" spans="2:8" x14ac:dyDescent="0.3">
      <c r="B4655" s="58"/>
      <c r="G4655" s="90"/>
      <c r="H4655" s="90"/>
    </row>
    <row r="4656" spans="2:8" x14ac:dyDescent="0.3">
      <c r="B4656" s="58"/>
      <c r="G4656" s="90"/>
      <c r="H4656" s="90"/>
    </row>
    <row r="4657" spans="2:8" x14ac:dyDescent="0.3">
      <c r="B4657" s="58"/>
      <c r="G4657" s="90"/>
      <c r="H4657" s="90"/>
    </row>
    <row r="4658" spans="2:8" x14ac:dyDescent="0.3">
      <c r="B4658" s="58"/>
      <c r="G4658" s="90"/>
      <c r="H4658" s="90"/>
    </row>
    <row r="4659" spans="2:8" x14ac:dyDescent="0.3">
      <c r="B4659" s="58"/>
      <c r="G4659" s="90"/>
      <c r="H4659" s="90"/>
    </row>
    <row r="4660" spans="2:8" x14ac:dyDescent="0.3">
      <c r="B4660" s="58"/>
      <c r="G4660" s="90"/>
      <c r="H4660" s="90"/>
    </row>
    <row r="4661" spans="2:8" x14ac:dyDescent="0.3">
      <c r="B4661" s="58"/>
      <c r="G4661" s="90"/>
      <c r="H4661" s="90"/>
    </row>
    <row r="4662" spans="2:8" x14ac:dyDescent="0.3">
      <c r="B4662" s="58"/>
      <c r="G4662" s="90"/>
      <c r="H4662" s="90"/>
    </row>
    <row r="4663" spans="2:8" x14ac:dyDescent="0.3">
      <c r="B4663" s="58"/>
      <c r="G4663" s="90"/>
      <c r="H4663" s="90"/>
    </row>
    <row r="4664" spans="2:8" x14ac:dyDescent="0.3">
      <c r="B4664" s="58"/>
      <c r="G4664" s="90"/>
      <c r="H4664" s="90"/>
    </row>
    <row r="4665" spans="2:8" x14ac:dyDescent="0.3">
      <c r="B4665" s="58"/>
      <c r="G4665" s="90"/>
      <c r="H4665" s="90"/>
    </row>
    <row r="4666" spans="2:8" x14ac:dyDescent="0.3">
      <c r="B4666" s="58"/>
      <c r="G4666" s="90"/>
      <c r="H4666" s="90"/>
    </row>
    <row r="4667" spans="2:8" x14ac:dyDescent="0.3">
      <c r="B4667" s="58"/>
      <c r="G4667" s="90"/>
      <c r="H4667" s="90"/>
    </row>
    <row r="4668" spans="2:8" x14ac:dyDescent="0.3">
      <c r="B4668" s="58"/>
      <c r="G4668" s="90"/>
      <c r="H4668" s="90"/>
    </row>
    <row r="4669" spans="2:8" x14ac:dyDescent="0.3">
      <c r="B4669" s="58"/>
      <c r="G4669" s="90"/>
      <c r="H4669" s="90"/>
    </row>
    <row r="4670" spans="2:8" x14ac:dyDescent="0.3">
      <c r="B4670" s="58"/>
      <c r="G4670" s="90"/>
      <c r="H4670" s="90"/>
    </row>
    <row r="4671" spans="2:8" x14ac:dyDescent="0.3">
      <c r="B4671" s="58"/>
      <c r="G4671" s="90"/>
      <c r="H4671" s="90"/>
    </row>
    <row r="4672" spans="2:8" x14ac:dyDescent="0.3">
      <c r="B4672" s="58"/>
      <c r="G4672" s="90"/>
      <c r="H4672" s="90"/>
    </row>
    <row r="4673" spans="2:8" x14ac:dyDescent="0.3">
      <c r="B4673" s="58"/>
      <c r="G4673" s="90"/>
      <c r="H4673" s="90"/>
    </row>
    <row r="4674" spans="2:8" x14ac:dyDescent="0.3">
      <c r="B4674" s="58"/>
      <c r="G4674" s="90"/>
      <c r="H4674" s="90"/>
    </row>
    <row r="4675" spans="2:8" x14ac:dyDescent="0.3">
      <c r="B4675" s="58"/>
      <c r="G4675" s="90"/>
      <c r="H4675" s="90"/>
    </row>
    <row r="4676" spans="2:8" x14ac:dyDescent="0.3">
      <c r="B4676" s="58"/>
      <c r="G4676" s="90"/>
      <c r="H4676" s="90"/>
    </row>
    <row r="4677" spans="2:8" x14ac:dyDescent="0.3">
      <c r="B4677" s="58"/>
      <c r="G4677" s="90"/>
      <c r="H4677" s="90"/>
    </row>
    <row r="4678" spans="2:8" x14ac:dyDescent="0.3">
      <c r="B4678" s="58"/>
      <c r="G4678" s="90"/>
      <c r="H4678" s="90"/>
    </row>
    <row r="4679" spans="2:8" x14ac:dyDescent="0.3">
      <c r="B4679" s="58"/>
      <c r="G4679" s="90"/>
      <c r="H4679" s="90"/>
    </row>
    <row r="4680" spans="2:8" x14ac:dyDescent="0.3">
      <c r="B4680" s="58"/>
      <c r="G4680" s="90"/>
      <c r="H4680" s="90"/>
    </row>
    <row r="4681" spans="2:8" x14ac:dyDescent="0.3">
      <c r="B4681" s="58"/>
      <c r="G4681" s="90"/>
      <c r="H4681" s="90"/>
    </row>
    <row r="4682" spans="2:8" x14ac:dyDescent="0.3">
      <c r="B4682" s="58"/>
      <c r="G4682" s="90"/>
      <c r="H4682" s="90"/>
    </row>
    <row r="4683" spans="2:8" x14ac:dyDescent="0.3">
      <c r="B4683" s="58"/>
      <c r="G4683" s="90"/>
      <c r="H4683" s="90"/>
    </row>
    <row r="4684" spans="2:8" x14ac:dyDescent="0.3">
      <c r="B4684" s="58"/>
      <c r="G4684" s="90"/>
      <c r="H4684" s="90"/>
    </row>
    <row r="4685" spans="2:8" x14ac:dyDescent="0.3">
      <c r="B4685" s="58"/>
      <c r="G4685" s="90"/>
      <c r="H4685" s="90"/>
    </row>
    <row r="4686" spans="2:8" x14ac:dyDescent="0.3">
      <c r="B4686" s="58"/>
      <c r="G4686" s="90"/>
      <c r="H4686" s="90"/>
    </row>
    <row r="4687" spans="2:8" x14ac:dyDescent="0.3">
      <c r="B4687" s="58"/>
      <c r="G4687" s="90"/>
      <c r="H4687" s="90"/>
    </row>
    <row r="4688" spans="2:8" x14ac:dyDescent="0.3">
      <c r="B4688" s="58"/>
      <c r="G4688" s="90"/>
      <c r="H4688" s="90"/>
    </row>
    <row r="4689" spans="2:8" x14ac:dyDescent="0.3">
      <c r="B4689" s="58"/>
      <c r="G4689" s="90"/>
      <c r="H4689" s="90"/>
    </row>
    <row r="4690" spans="2:8" x14ac:dyDescent="0.3">
      <c r="B4690" s="58"/>
      <c r="G4690" s="90"/>
      <c r="H4690" s="90"/>
    </row>
    <row r="4691" spans="2:8" x14ac:dyDescent="0.3">
      <c r="B4691" s="58"/>
      <c r="G4691" s="90"/>
      <c r="H4691" s="90"/>
    </row>
    <row r="4692" spans="2:8" x14ac:dyDescent="0.3">
      <c r="B4692" s="58"/>
      <c r="G4692" s="90"/>
      <c r="H4692" s="90"/>
    </row>
    <row r="4693" spans="2:8" x14ac:dyDescent="0.3">
      <c r="B4693" s="58"/>
      <c r="G4693" s="90"/>
      <c r="H4693" s="90"/>
    </row>
    <row r="4694" spans="2:8" x14ac:dyDescent="0.3">
      <c r="B4694" s="58"/>
      <c r="G4694" s="90"/>
      <c r="H4694" s="90"/>
    </row>
    <row r="4695" spans="2:8" x14ac:dyDescent="0.3">
      <c r="B4695" s="58"/>
      <c r="G4695" s="90"/>
      <c r="H4695" s="90"/>
    </row>
    <row r="4696" spans="2:8" x14ac:dyDescent="0.3">
      <c r="B4696" s="58"/>
      <c r="G4696" s="90"/>
      <c r="H4696" s="90"/>
    </row>
    <row r="4697" spans="2:8" x14ac:dyDescent="0.3">
      <c r="B4697" s="58"/>
      <c r="G4697" s="90"/>
      <c r="H4697" s="90"/>
    </row>
    <row r="4698" spans="2:8" x14ac:dyDescent="0.3">
      <c r="B4698" s="58"/>
      <c r="G4698" s="90"/>
      <c r="H4698" s="90"/>
    </row>
    <row r="4699" spans="2:8" x14ac:dyDescent="0.3">
      <c r="B4699" s="58"/>
      <c r="G4699" s="90"/>
      <c r="H4699" s="90"/>
    </row>
    <row r="4700" spans="2:8" x14ac:dyDescent="0.3">
      <c r="B4700" s="58"/>
      <c r="G4700" s="90"/>
      <c r="H4700" s="90"/>
    </row>
    <row r="4701" spans="2:8" x14ac:dyDescent="0.3">
      <c r="B4701" s="58"/>
      <c r="G4701" s="90"/>
      <c r="H4701" s="90"/>
    </row>
    <row r="4702" spans="2:8" x14ac:dyDescent="0.3">
      <c r="B4702" s="58"/>
      <c r="G4702" s="90"/>
      <c r="H4702" s="90"/>
    </row>
    <row r="4703" spans="2:8" x14ac:dyDescent="0.3">
      <c r="B4703" s="58"/>
      <c r="G4703" s="90"/>
      <c r="H4703" s="90"/>
    </row>
    <row r="4704" spans="2:8" x14ac:dyDescent="0.3">
      <c r="B4704" s="58"/>
      <c r="G4704" s="90"/>
      <c r="H4704" s="90"/>
    </row>
    <row r="4705" spans="2:8" x14ac:dyDescent="0.3">
      <c r="B4705" s="58"/>
      <c r="G4705" s="90"/>
      <c r="H4705" s="90"/>
    </row>
    <row r="4706" spans="2:8" x14ac:dyDescent="0.3">
      <c r="B4706" s="58"/>
      <c r="G4706" s="90"/>
      <c r="H4706" s="90"/>
    </row>
    <row r="4707" spans="2:8" x14ac:dyDescent="0.3">
      <c r="B4707" s="58"/>
      <c r="G4707" s="90"/>
      <c r="H4707" s="90"/>
    </row>
    <row r="4708" spans="2:8" x14ac:dyDescent="0.3">
      <c r="B4708" s="58"/>
      <c r="G4708" s="90"/>
      <c r="H4708" s="90"/>
    </row>
    <row r="4709" spans="2:8" x14ac:dyDescent="0.3">
      <c r="B4709" s="58"/>
      <c r="G4709" s="90"/>
      <c r="H4709" s="90"/>
    </row>
    <row r="4710" spans="2:8" x14ac:dyDescent="0.3">
      <c r="B4710" s="58"/>
      <c r="G4710" s="90"/>
      <c r="H4710" s="90"/>
    </row>
    <row r="4711" spans="2:8" x14ac:dyDescent="0.3">
      <c r="B4711" s="58"/>
      <c r="G4711" s="90"/>
      <c r="H4711" s="90"/>
    </row>
    <row r="4712" spans="2:8" x14ac:dyDescent="0.3">
      <c r="B4712" s="58"/>
      <c r="G4712" s="90"/>
      <c r="H4712" s="90"/>
    </row>
    <row r="4713" spans="2:8" x14ac:dyDescent="0.3">
      <c r="B4713" s="58"/>
      <c r="G4713" s="90"/>
      <c r="H4713" s="90"/>
    </row>
    <row r="4714" spans="2:8" x14ac:dyDescent="0.3">
      <c r="B4714" s="58"/>
      <c r="G4714" s="90"/>
      <c r="H4714" s="90"/>
    </row>
    <row r="4715" spans="2:8" x14ac:dyDescent="0.3">
      <c r="B4715" s="58"/>
      <c r="G4715" s="90"/>
      <c r="H4715" s="90"/>
    </row>
    <row r="4716" spans="2:8" x14ac:dyDescent="0.3">
      <c r="B4716" s="58"/>
      <c r="G4716" s="90"/>
      <c r="H4716" s="90"/>
    </row>
    <row r="4717" spans="2:8" x14ac:dyDescent="0.3">
      <c r="B4717" s="58"/>
      <c r="G4717" s="90"/>
      <c r="H4717" s="90"/>
    </row>
    <row r="4718" spans="2:8" x14ac:dyDescent="0.3">
      <c r="B4718" s="58"/>
      <c r="G4718" s="90"/>
      <c r="H4718" s="90"/>
    </row>
    <row r="4719" spans="2:8" x14ac:dyDescent="0.3">
      <c r="B4719" s="58"/>
      <c r="G4719" s="90"/>
      <c r="H4719" s="90"/>
    </row>
    <row r="4720" spans="2:8" x14ac:dyDescent="0.3">
      <c r="B4720" s="58"/>
      <c r="G4720" s="90"/>
      <c r="H4720" s="90"/>
    </row>
    <row r="4721" spans="2:8" x14ac:dyDescent="0.3">
      <c r="B4721" s="58"/>
      <c r="G4721" s="90"/>
      <c r="H4721" s="90"/>
    </row>
    <row r="4722" spans="2:8" x14ac:dyDescent="0.3">
      <c r="B4722" s="58"/>
      <c r="G4722" s="90"/>
      <c r="H4722" s="90"/>
    </row>
    <row r="4723" spans="2:8" x14ac:dyDescent="0.3">
      <c r="B4723" s="58"/>
      <c r="G4723" s="90"/>
      <c r="H4723" s="90"/>
    </row>
    <row r="4724" spans="2:8" x14ac:dyDescent="0.3">
      <c r="B4724" s="58"/>
      <c r="G4724" s="90"/>
      <c r="H4724" s="90"/>
    </row>
    <row r="4725" spans="2:8" x14ac:dyDescent="0.3">
      <c r="B4725" s="58"/>
      <c r="G4725" s="90"/>
      <c r="H4725" s="90"/>
    </row>
    <row r="4726" spans="2:8" x14ac:dyDescent="0.3">
      <c r="B4726" s="58"/>
      <c r="G4726" s="90"/>
      <c r="H4726" s="90"/>
    </row>
    <row r="4727" spans="2:8" x14ac:dyDescent="0.3">
      <c r="B4727" s="58"/>
      <c r="G4727" s="90"/>
      <c r="H4727" s="90"/>
    </row>
    <row r="4728" spans="2:8" x14ac:dyDescent="0.3">
      <c r="B4728" s="58"/>
      <c r="G4728" s="90"/>
      <c r="H4728" s="90"/>
    </row>
    <row r="4729" spans="2:8" x14ac:dyDescent="0.3">
      <c r="B4729" s="58"/>
      <c r="G4729" s="90"/>
      <c r="H4729" s="90"/>
    </row>
    <row r="4730" spans="2:8" x14ac:dyDescent="0.3">
      <c r="B4730" s="58"/>
      <c r="G4730" s="90"/>
      <c r="H4730" s="90"/>
    </row>
    <row r="4731" spans="2:8" x14ac:dyDescent="0.3">
      <c r="B4731" s="58"/>
      <c r="G4731" s="90"/>
      <c r="H4731" s="90"/>
    </row>
    <row r="4732" spans="2:8" x14ac:dyDescent="0.3">
      <c r="B4732" s="58"/>
      <c r="G4732" s="90"/>
      <c r="H4732" s="90"/>
    </row>
    <row r="4733" spans="2:8" x14ac:dyDescent="0.3">
      <c r="B4733" s="58"/>
      <c r="G4733" s="90"/>
      <c r="H4733" s="90"/>
    </row>
    <row r="4734" spans="2:8" x14ac:dyDescent="0.3">
      <c r="B4734" s="58"/>
      <c r="G4734" s="90"/>
      <c r="H4734" s="90"/>
    </row>
    <row r="4735" spans="2:8" x14ac:dyDescent="0.3">
      <c r="B4735" s="58"/>
      <c r="G4735" s="90"/>
      <c r="H4735" s="90"/>
    </row>
    <row r="4736" spans="2:8" x14ac:dyDescent="0.3">
      <c r="B4736" s="58"/>
      <c r="G4736" s="90"/>
      <c r="H4736" s="90"/>
    </row>
    <row r="4737" spans="2:8" x14ac:dyDescent="0.3">
      <c r="B4737" s="58"/>
      <c r="G4737" s="90"/>
      <c r="H4737" s="90"/>
    </row>
    <row r="4738" spans="2:8" x14ac:dyDescent="0.3">
      <c r="B4738" s="58"/>
      <c r="G4738" s="90"/>
      <c r="H4738" s="90"/>
    </row>
    <row r="4739" spans="2:8" x14ac:dyDescent="0.3">
      <c r="B4739" s="58"/>
      <c r="G4739" s="90"/>
      <c r="H4739" s="90"/>
    </row>
    <row r="4740" spans="2:8" x14ac:dyDescent="0.3">
      <c r="B4740" s="58"/>
      <c r="G4740" s="90"/>
      <c r="H4740" s="90"/>
    </row>
    <row r="4741" spans="2:8" x14ac:dyDescent="0.3">
      <c r="B4741" s="58"/>
      <c r="G4741" s="90"/>
      <c r="H4741" s="90"/>
    </row>
    <row r="4742" spans="2:8" x14ac:dyDescent="0.3">
      <c r="B4742" s="58"/>
      <c r="G4742" s="90"/>
      <c r="H4742" s="90"/>
    </row>
    <row r="4743" spans="2:8" x14ac:dyDescent="0.3">
      <c r="B4743" s="58"/>
      <c r="G4743" s="90"/>
      <c r="H4743" s="90"/>
    </row>
    <row r="4744" spans="2:8" x14ac:dyDescent="0.3">
      <c r="B4744" s="58"/>
      <c r="G4744" s="90"/>
      <c r="H4744" s="90"/>
    </row>
    <row r="4745" spans="2:8" x14ac:dyDescent="0.3">
      <c r="B4745" s="58"/>
      <c r="G4745" s="90"/>
      <c r="H4745" s="90"/>
    </row>
    <row r="4746" spans="2:8" x14ac:dyDescent="0.3">
      <c r="B4746" s="58"/>
      <c r="G4746" s="90"/>
      <c r="H4746" s="90"/>
    </row>
    <row r="4747" spans="2:8" x14ac:dyDescent="0.3">
      <c r="B4747" s="58"/>
      <c r="G4747" s="90"/>
      <c r="H4747" s="90"/>
    </row>
    <row r="4748" spans="2:8" x14ac:dyDescent="0.3">
      <c r="B4748" s="58"/>
      <c r="G4748" s="90"/>
      <c r="H4748" s="90"/>
    </row>
    <row r="4749" spans="2:8" x14ac:dyDescent="0.3">
      <c r="B4749" s="58"/>
      <c r="G4749" s="90"/>
      <c r="H4749" s="90"/>
    </row>
    <row r="4750" spans="2:8" x14ac:dyDescent="0.3">
      <c r="B4750" s="58"/>
      <c r="G4750" s="90"/>
      <c r="H4750" s="90"/>
    </row>
    <row r="4751" spans="2:8" x14ac:dyDescent="0.3">
      <c r="B4751" s="58"/>
      <c r="G4751" s="90"/>
      <c r="H4751" s="90"/>
    </row>
    <row r="4752" spans="2:8" x14ac:dyDescent="0.3">
      <c r="B4752" s="58"/>
      <c r="G4752" s="90"/>
      <c r="H4752" s="90"/>
    </row>
    <row r="4753" spans="2:8" x14ac:dyDescent="0.3">
      <c r="B4753" s="58"/>
      <c r="G4753" s="90"/>
      <c r="H4753" s="90"/>
    </row>
    <row r="4754" spans="2:8" x14ac:dyDescent="0.3">
      <c r="B4754" s="58"/>
      <c r="G4754" s="90"/>
      <c r="H4754" s="90"/>
    </row>
    <row r="4755" spans="2:8" x14ac:dyDescent="0.3">
      <c r="B4755" s="58"/>
      <c r="G4755" s="90"/>
      <c r="H4755" s="90"/>
    </row>
    <row r="4756" spans="2:8" x14ac:dyDescent="0.3">
      <c r="B4756" s="58"/>
      <c r="G4756" s="90"/>
      <c r="H4756" s="90"/>
    </row>
    <row r="4757" spans="2:8" x14ac:dyDescent="0.3">
      <c r="B4757" s="58"/>
      <c r="G4757" s="90"/>
      <c r="H4757" s="90"/>
    </row>
    <row r="4758" spans="2:8" x14ac:dyDescent="0.3">
      <c r="B4758" s="58"/>
      <c r="G4758" s="90"/>
      <c r="H4758" s="90"/>
    </row>
    <row r="4759" spans="2:8" x14ac:dyDescent="0.3">
      <c r="B4759" s="58"/>
      <c r="G4759" s="90"/>
      <c r="H4759" s="90"/>
    </row>
    <row r="4760" spans="2:8" x14ac:dyDescent="0.3">
      <c r="B4760" s="58"/>
      <c r="G4760" s="90"/>
      <c r="H4760" s="90"/>
    </row>
    <row r="4761" spans="2:8" x14ac:dyDescent="0.3">
      <c r="B4761" s="58"/>
      <c r="G4761" s="90"/>
      <c r="H4761" s="90"/>
    </row>
    <row r="4762" spans="2:8" x14ac:dyDescent="0.3">
      <c r="B4762" s="58"/>
      <c r="G4762" s="90"/>
      <c r="H4762" s="90"/>
    </row>
    <row r="4763" spans="2:8" x14ac:dyDescent="0.3">
      <c r="B4763" s="58"/>
      <c r="G4763" s="90"/>
      <c r="H4763" s="90"/>
    </row>
    <row r="4764" spans="2:8" x14ac:dyDescent="0.3">
      <c r="B4764" s="58"/>
      <c r="G4764" s="90"/>
      <c r="H4764" s="90"/>
    </row>
    <row r="4765" spans="2:8" x14ac:dyDescent="0.3">
      <c r="B4765" s="58"/>
      <c r="G4765" s="90"/>
      <c r="H4765" s="90"/>
    </row>
    <row r="4766" spans="2:8" x14ac:dyDescent="0.3">
      <c r="B4766" s="58"/>
      <c r="G4766" s="90"/>
      <c r="H4766" s="90"/>
    </row>
    <row r="4767" spans="2:8" x14ac:dyDescent="0.3">
      <c r="B4767" s="58"/>
      <c r="G4767" s="90"/>
      <c r="H4767" s="90"/>
    </row>
    <row r="4768" spans="2:8" x14ac:dyDescent="0.3">
      <c r="B4768" s="58"/>
      <c r="G4768" s="90"/>
      <c r="H4768" s="90"/>
    </row>
    <row r="4769" spans="2:8" x14ac:dyDescent="0.3">
      <c r="B4769" s="58"/>
      <c r="G4769" s="90"/>
      <c r="H4769" s="90"/>
    </row>
    <row r="4770" spans="2:8" x14ac:dyDescent="0.3">
      <c r="B4770" s="58"/>
      <c r="G4770" s="90"/>
      <c r="H4770" s="90"/>
    </row>
    <row r="4771" spans="2:8" x14ac:dyDescent="0.3">
      <c r="B4771" s="58"/>
      <c r="G4771" s="90"/>
      <c r="H4771" s="90"/>
    </row>
    <row r="4772" spans="2:8" x14ac:dyDescent="0.3">
      <c r="B4772" s="58"/>
      <c r="G4772" s="90"/>
      <c r="H4772" s="90"/>
    </row>
    <row r="4773" spans="2:8" x14ac:dyDescent="0.3">
      <c r="B4773" s="58"/>
      <c r="G4773" s="90"/>
      <c r="H4773" s="90"/>
    </row>
    <row r="4774" spans="2:8" x14ac:dyDescent="0.3">
      <c r="B4774" s="58"/>
      <c r="G4774" s="90"/>
      <c r="H4774" s="90"/>
    </row>
    <row r="4775" spans="2:8" x14ac:dyDescent="0.3">
      <c r="B4775" s="58"/>
      <c r="G4775" s="90"/>
      <c r="H4775" s="90"/>
    </row>
    <row r="4776" spans="2:8" x14ac:dyDescent="0.3">
      <c r="B4776" s="58"/>
      <c r="G4776" s="90"/>
      <c r="H4776" s="90"/>
    </row>
    <row r="4777" spans="2:8" x14ac:dyDescent="0.3">
      <c r="B4777" s="58"/>
      <c r="G4777" s="90"/>
      <c r="H4777" s="90"/>
    </row>
    <row r="4778" spans="2:8" x14ac:dyDescent="0.3">
      <c r="B4778" s="58"/>
      <c r="G4778" s="90"/>
      <c r="H4778" s="90"/>
    </row>
    <row r="4779" spans="2:8" x14ac:dyDescent="0.3">
      <c r="B4779" s="58"/>
      <c r="G4779" s="90"/>
      <c r="H4779" s="90"/>
    </row>
    <row r="4780" spans="2:8" x14ac:dyDescent="0.3">
      <c r="B4780" s="58"/>
      <c r="G4780" s="90"/>
      <c r="H4780" s="90"/>
    </row>
    <row r="4781" spans="2:8" x14ac:dyDescent="0.3">
      <c r="B4781" s="58"/>
      <c r="G4781" s="90"/>
      <c r="H4781" s="90"/>
    </row>
    <row r="4782" spans="2:8" x14ac:dyDescent="0.3">
      <c r="B4782" s="58"/>
      <c r="G4782" s="90"/>
      <c r="H4782" s="90"/>
    </row>
    <row r="4783" spans="2:8" x14ac:dyDescent="0.3">
      <c r="B4783" s="58"/>
      <c r="G4783" s="90"/>
      <c r="H4783" s="90"/>
    </row>
    <row r="4784" spans="2:8" x14ac:dyDescent="0.3">
      <c r="B4784" s="58"/>
      <c r="G4784" s="90"/>
      <c r="H4784" s="90"/>
    </row>
    <row r="4785" spans="2:8" x14ac:dyDescent="0.3">
      <c r="B4785" s="58"/>
      <c r="G4785" s="90"/>
      <c r="H4785" s="90"/>
    </row>
    <row r="4786" spans="2:8" x14ac:dyDescent="0.3">
      <c r="B4786" s="58"/>
      <c r="G4786" s="90"/>
      <c r="H4786" s="90"/>
    </row>
    <row r="4787" spans="2:8" x14ac:dyDescent="0.3">
      <c r="B4787" s="58"/>
      <c r="G4787" s="90"/>
      <c r="H4787" s="90"/>
    </row>
    <row r="4788" spans="2:8" x14ac:dyDescent="0.3">
      <c r="B4788" s="58"/>
      <c r="G4788" s="90"/>
      <c r="H4788" s="90"/>
    </row>
    <row r="4789" spans="2:8" x14ac:dyDescent="0.3">
      <c r="B4789" s="58"/>
      <c r="G4789" s="90"/>
      <c r="H4789" s="90"/>
    </row>
    <row r="4790" spans="2:8" x14ac:dyDescent="0.3">
      <c r="B4790" s="58"/>
      <c r="G4790" s="90"/>
      <c r="H4790" s="90"/>
    </row>
    <row r="4791" spans="2:8" x14ac:dyDescent="0.3">
      <c r="B4791" s="58"/>
      <c r="G4791" s="90"/>
      <c r="H4791" s="90"/>
    </row>
    <row r="4792" spans="2:8" x14ac:dyDescent="0.3">
      <c r="B4792" s="58"/>
      <c r="G4792" s="90"/>
      <c r="H4792" s="90"/>
    </row>
    <row r="4793" spans="2:8" x14ac:dyDescent="0.3">
      <c r="B4793" s="58"/>
      <c r="G4793" s="90"/>
      <c r="H4793" s="90"/>
    </row>
    <row r="4794" spans="2:8" x14ac:dyDescent="0.3">
      <c r="B4794" s="58"/>
      <c r="G4794" s="90"/>
      <c r="H4794" s="90"/>
    </row>
    <row r="4795" spans="2:8" x14ac:dyDescent="0.3">
      <c r="B4795" s="58"/>
      <c r="G4795" s="90"/>
      <c r="H4795" s="90"/>
    </row>
    <row r="4796" spans="2:8" x14ac:dyDescent="0.3">
      <c r="B4796" s="58"/>
      <c r="G4796" s="90"/>
      <c r="H4796" s="90"/>
    </row>
    <row r="4797" spans="2:8" x14ac:dyDescent="0.3">
      <c r="B4797" s="58"/>
      <c r="G4797" s="90"/>
      <c r="H4797" s="90"/>
    </row>
    <row r="4798" spans="2:8" x14ac:dyDescent="0.3">
      <c r="B4798" s="58"/>
      <c r="G4798" s="90"/>
      <c r="H4798" s="90"/>
    </row>
    <row r="4799" spans="2:8" x14ac:dyDescent="0.3">
      <c r="B4799" s="58"/>
      <c r="G4799" s="90"/>
      <c r="H4799" s="90"/>
    </row>
    <row r="4800" spans="2:8" x14ac:dyDescent="0.3">
      <c r="B4800" s="58"/>
      <c r="G4800" s="90"/>
      <c r="H4800" s="90"/>
    </row>
    <row r="4801" spans="2:8" x14ac:dyDescent="0.3">
      <c r="B4801" s="58"/>
      <c r="G4801" s="90"/>
      <c r="H4801" s="90"/>
    </row>
    <row r="4802" spans="2:8" x14ac:dyDescent="0.3">
      <c r="B4802" s="58"/>
      <c r="G4802" s="90"/>
      <c r="H4802" s="90"/>
    </row>
    <row r="4803" spans="2:8" x14ac:dyDescent="0.3">
      <c r="B4803" s="58"/>
      <c r="G4803" s="90"/>
      <c r="H4803" s="90"/>
    </row>
    <row r="4804" spans="2:8" x14ac:dyDescent="0.3">
      <c r="B4804" s="58"/>
      <c r="G4804" s="90"/>
      <c r="H4804" s="90"/>
    </row>
    <row r="4805" spans="2:8" x14ac:dyDescent="0.3">
      <c r="B4805" s="58"/>
      <c r="G4805" s="90"/>
      <c r="H4805" s="90"/>
    </row>
    <row r="4806" spans="2:8" x14ac:dyDescent="0.3">
      <c r="B4806" s="58"/>
      <c r="G4806" s="90"/>
      <c r="H4806" s="90"/>
    </row>
    <row r="4807" spans="2:8" x14ac:dyDescent="0.3">
      <c r="B4807" s="58"/>
      <c r="G4807" s="90"/>
      <c r="H4807" s="90"/>
    </row>
    <row r="4808" spans="2:8" x14ac:dyDescent="0.3">
      <c r="B4808" s="58"/>
      <c r="G4808" s="90"/>
      <c r="H4808" s="90"/>
    </row>
    <row r="4809" spans="2:8" x14ac:dyDescent="0.3">
      <c r="B4809" s="58"/>
      <c r="G4809" s="90"/>
      <c r="H4809" s="90"/>
    </row>
    <row r="4810" spans="2:8" x14ac:dyDescent="0.3">
      <c r="B4810" s="58"/>
      <c r="G4810" s="90"/>
      <c r="H4810" s="90"/>
    </row>
    <row r="4811" spans="2:8" x14ac:dyDescent="0.3">
      <c r="B4811" s="58"/>
      <c r="G4811" s="90"/>
      <c r="H4811" s="90"/>
    </row>
    <row r="4812" spans="2:8" x14ac:dyDescent="0.3">
      <c r="B4812" s="58"/>
      <c r="G4812" s="90"/>
      <c r="H4812" s="90"/>
    </row>
    <row r="4813" spans="2:8" x14ac:dyDescent="0.3">
      <c r="B4813" s="58"/>
      <c r="G4813" s="90"/>
      <c r="H4813" s="90"/>
    </row>
    <row r="4814" spans="2:8" x14ac:dyDescent="0.3">
      <c r="B4814" s="58"/>
      <c r="G4814" s="90"/>
      <c r="H4814" s="90"/>
    </row>
    <row r="4815" spans="2:8" x14ac:dyDescent="0.3">
      <c r="B4815" s="58"/>
      <c r="G4815" s="90"/>
      <c r="H4815" s="90"/>
    </row>
    <row r="4816" spans="2:8" x14ac:dyDescent="0.3">
      <c r="B4816" s="58"/>
      <c r="G4816" s="90"/>
      <c r="H4816" s="90"/>
    </row>
    <row r="4817" spans="2:8" x14ac:dyDescent="0.3">
      <c r="B4817" s="58"/>
      <c r="G4817" s="90"/>
      <c r="H4817" s="90"/>
    </row>
    <row r="4818" spans="2:8" x14ac:dyDescent="0.3">
      <c r="B4818" s="58"/>
      <c r="G4818" s="90"/>
      <c r="H4818" s="90"/>
    </row>
    <row r="4819" spans="2:8" x14ac:dyDescent="0.3">
      <c r="B4819" s="58"/>
      <c r="G4819" s="90"/>
      <c r="H4819" s="90"/>
    </row>
    <row r="4820" spans="2:8" x14ac:dyDescent="0.3">
      <c r="B4820" s="58"/>
      <c r="G4820" s="90"/>
      <c r="H4820" s="90"/>
    </row>
    <row r="4821" spans="2:8" x14ac:dyDescent="0.3">
      <c r="B4821" s="58"/>
      <c r="G4821" s="90"/>
      <c r="H4821" s="90"/>
    </row>
    <row r="4822" spans="2:8" x14ac:dyDescent="0.3">
      <c r="B4822" s="58"/>
      <c r="G4822" s="90"/>
      <c r="H4822" s="90"/>
    </row>
    <row r="4823" spans="2:8" x14ac:dyDescent="0.3">
      <c r="B4823" s="58"/>
      <c r="G4823" s="90"/>
      <c r="H4823" s="90"/>
    </row>
    <row r="4824" spans="2:8" x14ac:dyDescent="0.3">
      <c r="B4824" s="58"/>
      <c r="G4824" s="90"/>
      <c r="H4824" s="90"/>
    </row>
    <row r="4825" spans="2:8" x14ac:dyDescent="0.3">
      <c r="B4825" s="58"/>
      <c r="G4825" s="90"/>
      <c r="H4825" s="90"/>
    </row>
    <row r="4826" spans="2:8" x14ac:dyDescent="0.3">
      <c r="B4826" s="58"/>
      <c r="G4826" s="90"/>
      <c r="H4826" s="90"/>
    </row>
    <row r="4827" spans="2:8" x14ac:dyDescent="0.3">
      <c r="B4827" s="58"/>
      <c r="G4827" s="90"/>
      <c r="H4827" s="90"/>
    </row>
    <row r="4828" spans="2:8" x14ac:dyDescent="0.3">
      <c r="B4828" s="58"/>
      <c r="G4828" s="90"/>
      <c r="H4828" s="90"/>
    </row>
    <row r="4829" spans="2:8" x14ac:dyDescent="0.3">
      <c r="B4829" s="58"/>
      <c r="G4829" s="90"/>
      <c r="H4829" s="90"/>
    </row>
    <row r="4830" spans="2:8" x14ac:dyDescent="0.3">
      <c r="B4830" s="58"/>
      <c r="G4830" s="90"/>
      <c r="H4830" s="90"/>
    </row>
    <row r="4831" spans="2:8" x14ac:dyDescent="0.3">
      <c r="B4831" s="58"/>
      <c r="G4831" s="90"/>
      <c r="H4831" s="90"/>
    </row>
    <row r="4832" spans="2:8" x14ac:dyDescent="0.3">
      <c r="B4832" s="58"/>
      <c r="G4832" s="90"/>
      <c r="H4832" s="90"/>
    </row>
    <row r="4833" spans="2:8" x14ac:dyDescent="0.3">
      <c r="B4833" s="58"/>
      <c r="G4833" s="90"/>
      <c r="H4833" s="90"/>
    </row>
    <row r="4834" spans="2:8" x14ac:dyDescent="0.3">
      <c r="B4834" s="58"/>
      <c r="G4834" s="90"/>
      <c r="H4834" s="90"/>
    </row>
    <row r="4835" spans="2:8" x14ac:dyDescent="0.3">
      <c r="B4835" s="58"/>
      <c r="G4835" s="90"/>
      <c r="H4835" s="90"/>
    </row>
    <row r="4836" spans="2:8" x14ac:dyDescent="0.3">
      <c r="B4836" s="58"/>
      <c r="G4836" s="90"/>
      <c r="H4836" s="90"/>
    </row>
    <row r="4837" spans="2:8" x14ac:dyDescent="0.3">
      <c r="B4837" s="58"/>
      <c r="G4837" s="90"/>
      <c r="H4837" s="90"/>
    </row>
    <row r="4838" spans="2:8" x14ac:dyDescent="0.3">
      <c r="B4838" s="58"/>
      <c r="G4838" s="90"/>
      <c r="H4838" s="90"/>
    </row>
    <row r="4839" spans="2:8" x14ac:dyDescent="0.3">
      <c r="B4839" s="58"/>
      <c r="G4839" s="90"/>
      <c r="H4839" s="90"/>
    </row>
    <row r="4840" spans="2:8" x14ac:dyDescent="0.3">
      <c r="B4840" s="58"/>
      <c r="G4840" s="90"/>
      <c r="H4840" s="90"/>
    </row>
    <row r="4841" spans="2:8" x14ac:dyDescent="0.3">
      <c r="B4841" s="58"/>
      <c r="G4841" s="90"/>
      <c r="H4841" s="90"/>
    </row>
    <row r="4842" spans="2:8" x14ac:dyDescent="0.3">
      <c r="B4842" s="58"/>
      <c r="G4842" s="90"/>
      <c r="H4842" s="90"/>
    </row>
    <row r="4843" spans="2:8" x14ac:dyDescent="0.3">
      <c r="B4843" s="58"/>
      <c r="G4843" s="90"/>
      <c r="H4843" s="90"/>
    </row>
    <row r="4844" spans="2:8" x14ac:dyDescent="0.3">
      <c r="B4844" s="58"/>
      <c r="G4844" s="90"/>
      <c r="H4844" s="90"/>
    </row>
    <row r="4845" spans="2:8" x14ac:dyDescent="0.3">
      <c r="B4845" s="58"/>
      <c r="G4845" s="90"/>
      <c r="H4845" s="90"/>
    </row>
    <row r="4846" spans="2:8" x14ac:dyDescent="0.3">
      <c r="B4846" s="58"/>
      <c r="G4846" s="90"/>
      <c r="H4846" s="90"/>
    </row>
    <row r="4847" spans="2:8" x14ac:dyDescent="0.3">
      <c r="B4847" s="58"/>
      <c r="G4847" s="90"/>
      <c r="H4847" s="90"/>
    </row>
    <row r="4848" spans="2:8" x14ac:dyDescent="0.3">
      <c r="B4848" s="58"/>
      <c r="G4848" s="90"/>
      <c r="H4848" s="90"/>
    </row>
    <row r="4849" spans="2:8" x14ac:dyDescent="0.3">
      <c r="B4849" s="58"/>
      <c r="G4849" s="90"/>
      <c r="H4849" s="90"/>
    </row>
    <row r="4850" spans="2:8" x14ac:dyDescent="0.3">
      <c r="B4850" s="58"/>
      <c r="G4850" s="90"/>
      <c r="H4850" s="90"/>
    </row>
    <row r="4851" spans="2:8" x14ac:dyDescent="0.3">
      <c r="B4851" s="58"/>
      <c r="G4851" s="90"/>
      <c r="H4851" s="90"/>
    </row>
    <row r="4852" spans="2:8" x14ac:dyDescent="0.3">
      <c r="B4852" s="58"/>
      <c r="G4852" s="90"/>
      <c r="H4852" s="90"/>
    </row>
    <row r="4853" spans="2:8" x14ac:dyDescent="0.3">
      <c r="B4853" s="58"/>
      <c r="G4853" s="90"/>
      <c r="H4853" s="90"/>
    </row>
    <row r="4854" spans="2:8" x14ac:dyDescent="0.3">
      <c r="B4854" s="58"/>
      <c r="G4854" s="90"/>
      <c r="H4854" s="90"/>
    </row>
    <row r="4855" spans="2:8" x14ac:dyDescent="0.3">
      <c r="B4855" s="58"/>
      <c r="G4855" s="90"/>
      <c r="H4855" s="90"/>
    </row>
    <row r="4856" spans="2:8" x14ac:dyDescent="0.3">
      <c r="B4856" s="58"/>
      <c r="G4856" s="90"/>
      <c r="H4856" s="90"/>
    </row>
    <row r="4857" spans="2:8" x14ac:dyDescent="0.3">
      <c r="B4857" s="58"/>
      <c r="G4857" s="90"/>
      <c r="H4857" s="90"/>
    </row>
    <row r="4858" spans="2:8" x14ac:dyDescent="0.3">
      <c r="B4858" s="58"/>
      <c r="G4858" s="90"/>
      <c r="H4858" s="90"/>
    </row>
    <row r="4859" spans="2:8" x14ac:dyDescent="0.3">
      <c r="B4859" s="58"/>
      <c r="G4859" s="90"/>
      <c r="H4859" s="90"/>
    </row>
    <row r="4860" spans="2:8" x14ac:dyDescent="0.3">
      <c r="B4860" s="58"/>
      <c r="G4860" s="90"/>
      <c r="H4860" s="90"/>
    </row>
    <row r="4861" spans="2:8" x14ac:dyDescent="0.3">
      <c r="B4861" s="58"/>
      <c r="G4861" s="90"/>
      <c r="H4861" s="90"/>
    </row>
    <row r="4862" spans="2:8" x14ac:dyDescent="0.3">
      <c r="B4862" s="58"/>
      <c r="G4862" s="90"/>
      <c r="H4862" s="90"/>
    </row>
    <row r="4863" spans="2:8" x14ac:dyDescent="0.3">
      <c r="B4863" s="58"/>
      <c r="G4863" s="90"/>
      <c r="H4863" s="90"/>
    </row>
    <row r="4864" spans="2:8" x14ac:dyDescent="0.3">
      <c r="B4864" s="58"/>
      <c r="G4864" s="90"/>
      <c r="H4864" s="90"/>
    </row>
    <row r="4865" spans="2:8" x14ac:dyDescent="0.3">
      <c r="B4865" s="58"/>
      <c r="G4865" s="90"/>
      <c r="H4865" s="90"/>
    </row>
    <row r="4866" spans="2:8" x14ac:dyDescent="0.3">
      <c r="B4866" s="58"/>
      <c r="G4866" s="90"/>
      <c r="H4866" s="90"/>
    </row>
    <row r="4867" spans="2:8" x14ac:dyDescent="0.3">
      <c r="B4867" s="58"/>
      <c r="G4867" s="90"/>
      <c r="H4867" s="90"/>
    </row>
    <row r="4868" spans="2:8" x14ac:dyDescent="0.3">
      <c r="B4868" s="58"/>
      <c r="G4868" s="90"/>
      <c r="H4868" s="90"/>
    </row>
    <row r="4869" spans="2:8" x14ac:dyDescent="0.3">
      <c r="B4869" s="58"/>
      <c r="G4869" s="90"/>
      <c r="H4869" s="90"/>
    </row>
    <row r="4870" spans="2:8" x14ac:dyDescent="0.3">
      <c r="B4870" s="58"/>
      <c r="G4870" s="90"/>
      <c r="H4870" s="90"/>
    </row>
    <row r="4871" spans="2:8" x14ac:dyDescent="0.3">
      <c r="B4871" s="58"/>
      <c r="G4871" s="90"/>
      <c r="H4871" s="90"/>
    </row>
    <row r="4872" spans="2:8" x14ac:dyDescent="0.3">
      <c r="B4872" s="58"/>
      <c r="G4872" s="90"/>
      <c r="H4872" s="90"/>
    </row>
    <row r="4873" spans="2:8" x14ac:dyDescent="0.3">
      <c r="B4873" s="58"/>
      <c r="G4873" s="90"/>
      <c r="H4873" s="90"/>
    </row>
    <row r="4874" spans="2:8" x14ac:dyDescent="0.3">
      <c r="B4874" s="58"/>
      <c r="G4874" s="90"/>
      <c r="H4874" s="90"/>
    </row>
    <row r="4875" spans="2:8" x14ac:dyDescent="0.3">
      <c r="B4875" s="58"/>
      <c r="G4875" s="90"/>
      <c r="H4875" s="90"/>
    </row>
    <row r="4876" spans="2:8" x14ac:dyDescent="0.3">
      <c r="B4876" s="58"/>
      <c r="G4876" s="90"/>
      <c r="H4876" s="90"/>
    </row>
    <row r="4877" spans="2:8" x14ac:dyDescent="0.3">
      <c r="B4877" s="58"/>
      <c r="G4877" s="90"/>
      <c r="H4877" s="90"/>
    </row>
    <row r="4878" spans="2:8" x14ac:dyDescent="0.3">
      <c r="B4878" s="58"/>
      <c r="G4878" s="90"/>
      <c r="H4878" s="90"/>
    </row>
    <row r="4879" spans="2:8" x14ac:dyDescent="0.3">
      <c r="B4879" s="58"/>
      <c r="G4879" s="90"/>
      <c r="H4879" s="90"/>
    </row>
    <row r="4880" spans="2:8" x14ac:dyDescent="0.3">
      <c r="B4880" s="58"/>
      <c r="G4880" s="90"/>
      <c r="H4880" s="90"/>
    </row>
    <row r="4881" spans="2:8" x14ac:dyDescent="0.3">
      <c r="B4881" s="58"/>
      <c r="G4881" s="90"/>
      <c r="H4881" s="90"/>
    </row>
    <row r="4882" spans="2:8" x14ac:dyDescent="0.3">
      <c r="B4882" s="58"/>
      <c r="G4882" s="90"/>
      <c r="H4882" s="90"/>
    </row>
    <row r="4883" spans="2:8" x14ac:dyDescent="0.3">
      <c r="B4883" s="58"/>
      <c r="G4883" s="90"/>
      <c r="H4883" s="90"/>
    </row>
    <row r="4884" spans="2:8" x14ac:dyDescent="0.3">
      <c r="B4884" s="58"/>
      <c r="G4884" s="90"/>
      <c r="H4884" s="90"/>
    </row>
    <row r="4885" spans="2:8" x14ac:dyDescent="0.3">
      <c r="B4885" s="58"/>
      <c r="G4885" s="90"/>
      <c r="H4885" s="90"/>
    </row>
    <row r="4886" spans="2:8" x14ac:dyDescent="0.3">
      <c r="B4886" s="58"/>
      <c r="G4886" s="90"/>
      <c r="H4886" s="90"/>
    </row>
    <row r="4887" spans="2:8" x14ac:dyDescent="0.3">
      <c r="B4887" s="58"/>
      <c r="G4887" s="90"/>
      <c r="H4887" s="90"/>
    </row>
    <row r="4888" spans="2:8" x14ac:dyDescent="0.3">
      <c r="B4888" s="58"/>
      <c r="G4888" s="90"/>
      <c r="H4888" s="90"/>
    </row>
    <row r="4889" spans="2:8" x14ac:dyDescent="0.3">
      <c r="B4889" s="58"/>
      <c r="G4889" s="90"/>
      <c r="H4889" s="90"/>
    </row>
    <row r="4890" spans="2:8" x14ac:dyDescent="0.3">
      <c r="B4890" s="58"/>
      <c r="G4890" s="90"/>
      <c r="H4890" s="90"/>
    </row>
    <row r="4891" spans="2:8" x14ac:dyDescent="0.3">
      <c r="B4891" s="58"/>
      <c r="G4891" s="90"/>
      <c r="H4891" s="90"/>
    </row>
    <row r="4892" spans="2:8" x14ac:dyDescent="0.3">
      <c r="B4892" s="58"/>
      <c r="G4892" s="90"/>
      <c r="H4892" s="90"/>
    </row>
    <row r="4893" spans="2:8" x14ac:dyDescent="0.3">
      <c r="B4893" s="58"/>
      <c r="G4893" s="90"/>
      <c r="H4893" s="90"/>
    </row>
    <row r="4894" spans="2:8" x14ac:dyDescent="0.3">
      <c r="B4894" s="58"/>
      <c r="G4894" s="90"/>
      <c r="H4894" s="90"/>
    </row>
    <row r="4895" spans="2:8" x14ac:dyDescent="0.3">
      <c r="B4895" s="58"/>
      <c r="G4895" s="90"/>
      <c r="H4895" s="90"/>
    </row>
    <row r="4896" spans="2:8" x14ac:dyDescent="0.3">
      <c r="B4896" s="58"/>
      <c r="G4896" s="90"/>
      <c r="H4896" s="90"/>
    </row>
    <row r="4897" spans="2:8" x14ac:dyDescent="0.3">
      <c r="B4897" s="58"/>
      <c r="G4897" s="90"/>
      <c r="H4897" s="90"/>
    </row>
    <row r="4898" spans="2:8" x14ac:dyDescent="0.3">
      <c r="B4898" s="58"/>
      <c r="G4898" s="90"/>
      <c r="H4898" s="90"/>
    </row>
    <row r="4899" spans="2:8" x14ac:dyDescent="0.3">
      <c r="B4899" s="58"/>
      <c r="G4899" s="90"/>
      <c r="H4899" s="90"/>
    </row>
    <row r="4900" spans="2:8" x14ac:dyDescent="0.3">
      <c r="B4900" s="58"/>
      <c r="G4900" s="90"/>
      <c r="H4900" s="90"/>
    </row>
    <row r="4901" spans="2:8" x14ac:dyDescent="0.3">
      <c r="B4901" s="58"/>
      <c r="G4901" s="90"/>
      <c r="H4901" s="90"/>
    </row>
    <row r="4902" spans="2:8" x14ac:dyDescent="0.3">
      <c r="B4902" s="58"/>
      <c r="G4902" s="90"/>
      <c r="H4902" s="90"/>
    </row>
    <row r="4903" spans="2:8" x14ac:dyDescent="0.3">
      <c r="B4903" s="58"/>
      <c r="G4903" s="90"/>
      <c r="H4903" s="90"/>
    </row>
    <row r="4904" spans="2:8" x14ac:dyDescent="0.3">
      <c r="B4904" s="58"/>
      <c r="G4904" s="90"/>
      <c r="H4904" s="90"/>
    </row>
    <row r="4905" spans="2:8" x14ac:dyDescent="0.3">
      <c r="B4905" s="58"/>
      <c r="G4905" s="90"/>
      <c r="H4905" s="90"/>
    </row>
    <row r="4906" spans="2:8" x14ac:dyDescent="0.3">
      <c r="B4906" s="58"/>
      <c r="G4906" s="90"/>
      <c r="H4906" s="90"/>
    </row>
    <row r="4907" spans="2:8" x14ac:dyDescent="0.3">
      <c r="B4907" s="58"/>
      <c r="G4907" s="90"/>
      <c r="H4907" s="90"/>
    </row>
    <row r="4908" spans="2:8" x14ac:dyDescent="0.3">
      <c r="B4908" s="58"/>
      <c r="G4908" s="90"/>
      <c r="H4908" s="90"/>
    </row>
    <row r="4909" spans="2:8" x14ac:dyDescent="0.3">
      <c r="B4909" s="58"/>
      <c r="G4909" s="90"/>
      <c r="H4909" s="90"/>
    </row>
    <row r="4910" spans="2:8" x14ac:dyDescent="0.3">
      <c r="B4910" s="58"/>
      <c r="G4910" s="90"/>
      <c r="H4910" s="90"/>
    </row>
    <row r="4911" spans="2:8" x14ac:dyDescent="0.3">
      <c r="B4911" s="58"/>
      <c r="G4911" s="90"/>
      <c r="H4911" s="90"/>
    </row>
    <row r="4912" spans="2:8" x14ac:dyDescent="0.3">
      <c r="B4912" s="58"/>
      <c r="G4912" s="90"/>
      <c r="H4912" s="90"/>
    </row>
    <row r="4913" spans="2:8" x14ac:dyDescent="0.3">
      <c r="B4913" s="58"/>
      <c r="G4913" s="90"/>
      <c r="H4913" s="90"/>
    </row>
    <row r="4914" spans="2:8" x14ac:dyDescent="0.3">
      <c r="B4914" s="58"/>
      <c r="G4914" s="90"/>
      <c r="H4914" s="90"/>
    </row>
    <row r="4915" spans="2:8" x14ac:dyDescent="0.3">
      <c r="B4915" s="58"/>
      <c r="G4915" s="90"/>
      <c r="H4915" s="90"/>
    </row>
    <row r="4916" spans="2:8" x14ac:dyDescent="0.3">
      <c r="B4916" s="58"/>
      <c r="G4916" s="90"/>
      <c r="H4916" s="90"/>
    </row>
    <row r="4917" spans="2:8" x14ac:dyDescent="0.3">
      <c r="B4917" s="58"/>
      <c r="G4917" s="90"/>
      <c r="H4917" s="90"/>
    </row>
    <row r="4918" spans="2:8" x14ac:dyDescent="0.3">
      <c r="B4918" s="58"/>
      <c r="G4918" s="90"/>
      <c r="H4918" s="90"/>
    </row>
    <row r="4919" spans="2:8" x14ac:dyDescent="0.3">
      <c r="B4919" s="58"/>
      <c r="G4919" s="90"/>
      <c r="H4919" s="90"/>
    </row>
    <row r="4920" spans="2:8" x14ac:dyDescent="0.3">
      <c r="B4920" s="58"/>
      <c r="G4920" s="90"/>
      <c r="H4920" s="90"/>
    </row>
    <row r="4921" spans="2:8" x14ac:dyDescent="0.3">
      <c r="B4921" s="58"/>
      <c r="G4921" s="90"/>
      <c r="H4921" s="90"/>
    </row>
    <row r="4922" spans="2:8" x14ac:dyDescent="0.3">
      <c r="B4922" s="58"/>
      <c r="G4922" s="90"/>
      <c r="H4922" s="90"/>
    </row>
    <row r="4923" spans="2:8" x14ac:dyDescent="0.3">
      <c r="B4923" s="58"/>
      <c r="G4923" s="90"/>
      <c r="H4923" s="90"/>
    </row>
    <row r="4924" spans="2:8" x14ac:dyDescent="0.3">
      <c r="B4924" s="58"/>
      <c r="G4924" s="90"/>
      <c r="H4924" s="90"/>
    </row>
    <row r="4925" spans="2:8" x14ac:dyDescent="0.3">
      <c r="B4925" s="58"/>
      <c r="G4925" s="90"/>
      <c r="H4925" s="90"/>
    </row>
    <row r="4926" spans="2:8" x14ac:dyDescent="0.3">
      <c r="B4926" s="58"/>
      <c r="G4926" s="90"/>
      <c r="H4926" s="90"/>
    </row>
    <row r="4927" spans="2:8" x14ac:dyDescent="0.3">
      <c r="B4927" s="58"/>
      <c r="G4927" s="90"/>
      <c r="H4927" s="90"/>
    </row>
    <row r="4928" spans="2:8" x14ac:dyDescent="0.3">
      <c r="B4928" s="58"/>
      <c r="G4928" s="90"/>
      <c r="H4928" s="90"/>
    </row>
    <row r="4929" spans="2:8" x14ac:dyDescent="0.3">
      <c r="B4929" s="58"/>
      <c r="G4929" s="90"/>
      <c r="H4929" s="90"/>
    </row>
    <row r="4930" spans="2:8" x14ac:dyDescent="0.3">
      <c r="B4930" s="58"/>
      <c r="G4930" s="90"/>
      <c r="H4930" s="90"/>
    </row>
    <row r="4931" spans="2:8" x14ac:dyDescent="0.3">
      <c r="B4931" s="58"/>
      <c r="G4931" s="90"/>
      <c r="H4931" s="90"/>
    </row>
    <row r="4932" spans="2:8" x14ac:dyDescent="0.3">
      <c r="B4932" s="58"/>
      <c r="G4932" s="90"/>
      <c r="H4932" s="90"/>
    </row>
    <row r="4933" spans="2:8" x14ac:dyDescent="0.3">
      <c r="B4933" s="58"/>
      <c r="G4933" s="90"/>
      <c r="H4933" s="90"/>
    </row>
    <row r="4934" spans="2:8" x14ac:dyDescent="0.3">
      <c r="B4934" s="58"/>
      <c r="G4934" s="90"/>
      <c r="H4934" s="90"/>
    </row>
    <row r="4935" spans="2:8" x14ac:dyDescent="0.3">
      <c r="B4935" s="58"/>
      <c r="G4935" s="90"/>
      <c r="H4935" s="90"/>
    </row>
    <row r="4936" spans="2:8" x14ac:dyDescent="0.3">
      <c r="B4936" s="58"/>
      <c r="G4936" s="90"/>
      <c r="H4936" s="90"/>
    </row>
    <row r="4937" spans="2:8" x14ac:dyDescent="0.3">
      <c r="B4937" s="58"/>
      <c r="G4937" s="90"/>
      <c r="H4937" s="90"/>
    </row>
    <row r="4938" spans="2:8" x14ac:dyDescent="0.3">
      <c r="B4938" s="58"/>
      <c r="G4938" s="90"/>
      <c r="H4938" s="90"/>
    </row>
    <row r="4939" spans="2:8" x14ac:dyDescent="0.3">
      <c r="B4939" s="58"/>
      <c r="G4939" s="90"/>
      <c r="H4939" s="90"/>
    </row>
    <row r="4940" spans="2:8" x14ac:dyDescent="0.3">
      <c r="B4940" s="58"/>
      <c r="G4940" s="90"/>
      <c r="H4940" s="90"/>
    </row>
    <row r="4941" spans="2:8" x14ac:dyDescent="0.3">
      <c r="B4941" s="58"/>
      <c r="G4941" s="90"/>
      <c r="H4941" s="90"/>
    </row>
    <row r="4942" spans="2:8" x14ac:dyDescent="0.3">
      <c r="B4942" s="58"/>
      <c r="G4942" s="90"/>
      <c r="H4942" s="90"/>
    </row>
    <row r="4943" spans="2:8" x14ac:dyDescent="0.3">
      <c r="B4943" s="58"/>
      <c r="G4943" s="90"/>
      <c r="H4943" s="90"/>
    </row>
    <row r="4944" spans="2:8" x14ac:dyDescent="0.3">
      <c r="B4944" s="58"/>
      <c r="G4944" s="90"/>
      <c r="H4944" s="90"/>
    </row>
    <row r="4945" spans="2:8" x14ac:dyDescent="0.3">
      <c r="B4945" s="58"/>
      <c r="G4945" s="90"/>
      <c r="H4945" s="90"/>
    </row>
    <row r="4946" spans="2:8" x14ac:dyDescent="0.3">
      <c r="B4946" s="58"/>
      <c r="G4946" s="90"/>
      <c r="H4946" s="90"/>
    </row>
    <row r="4947" spans="2:8" x14ac:dyDescent="0.3">
      <c r="B4947" s="58"/>
      <c r="G4947" s="90"/>
      <c r="H4947" s="90"/>
    </row>
    <row r="4948" spans="2:8" x14ac:dyDescent="0.3">
      <c r="B4948" s="58"/>
      <c r="G4948" s="90"/>
      <c r="H4948" s="90"/>
    </row>
    <row r="4949" spans="2:8" x14ac:dyDescent="0.3">
      <c r="B4949" s="58"/>
      <c r="G4949" s="90"/>
      <c r="H4949" s="90"/>
    </row>
    <row r="4950" spans="2:8" x14ac:dyDescent="0.3">
      <c r="B4950" s="58"/>
      <c r="G4950" s="90"/>
      <c r="H4950" s="90"/>
    </row>
    <row r="4951" spans="2:8" x14ac:dyDescent="0.3">
      <c r="B4951" s="58"/>
      <c r="G4951" s="90"/>
      <c r="H4951" s="90"/>
    </row>
    <row r="4952" spans="2:8" x14ac:dyDescent="0.3">
      <c r="B4952" s="58"/>
      <c r="G4952" s="90"/>
      <c r="H4952" s="90"/>
    </row>
    <row r="4953" spans="2:8" x14ac:dyDescent="0.3">
      <c r="B4953" s="58"/>
      <c r="G4953" s="90"/>
      <c r="H4953" s="90"/>
    </row>
    <row r="4954" spans="2:8" x14ac:dyDescent="0.3">
      <c r="B4954" s="58"/>
      <c r="G4954" s="90"/>
      <c r="H4954" s="90"/>
    </row>
    <row r="4955" spans="2:8" x14ac:dyDescent="0.3">
      <c r="B4955" s="58"/>
      <c r="G4955" s="90"/>
      <c r="H4955" s="90"/>
    </row>
    <row r="4956" spans="2:8" x14ac:dyDescent="0.3">
      <c r="B4956" s="58"/>
      <c r="G4956" s="90"/>
      <c r="H4956" s="90"/>
    </row>
    <row r="4957" spans="2:8" x14ac:dyDescent="0.3">
      <c r="B4957" s="58"/>
      <c r="G4957" s="90"/>
      <c r="H4957" s="90"/>
    </row>
    <row r="4958" spans="2:8" x14ac:dyDescent="0.3">
      <c r="B4958" s="58"/>
      <c r="G4958" s="90"/>
      <c r="H4958" s="90"/>
    </row>
    <row r="4959" spans="2:8" x14ac:dyDescent="0.3">
      <c r="B4959" s="58"/>
      <c r="G4959" s="90"/>
      <c r="H4959" s="90"/>
    </row>
    <row r="4960" spans="2:8" x14ac:dyDescent="0.3">
      <c r="B4960" s="58"/>
      <c r="G4960" s="90"/>
      <c r="H4960" s="90"/>
    </row>
    <row r="4961" spans="2:14" x14ac:dyDescent="0.3">
      <c r="B4961" s="58"/>
      <c r="G4961" s="90"/>
      <c r="H4961" s="90"/>
    </row>
    <row r="4962" spans="2:14" x14ac:dyDescent="0.3">
      <c r="B4962" s="58"/>
      <c r="G4962" s="90"/>
      <c r="H4962" s="90"/>
    </row>
    <row r="4963" spans="2:14" x14ac:dyDescent="0.3">
      <c r="B4963" s="58"/>
      <c r="G4963" s="90"/>
      <c r="H4963" s="90"/>
    </row>
    <row r="4964" spans="2:14" x14ac:dyDescent="0.3">
      <c r="B4964" s="58"/>
      <c r="D4964" s="63"/>
      <c r="G4964" s="90"/>
      <c r="H4964" s="90"/>
    </row>
    <row r="4966" spans="2:14" x14ac:dyDescent="0.3">
      <c r="B4966" s="61"/>
      <c r="C4966" s="61"/>
      <c r="D4966" s="61"/>
      <c r="E4966" s="61"/>
      <c r="F4966" s="61"/>
      <c r="G4966" s="61"/>
      <c r="H4966" s="61"/>
      <c r="I4966" s="61"/>
      <c r="J4966" s="61"/>
      <c r="K4966" s="61"/>
      <c r="L4966" s="61"/>
      <c r="M4966" s="61"/>
      <c r="N4966" s="61"/>
    </row>
  </sheetData>
  <sortState ref="E9:E4965">
    <sortCondition descending="1" ref="E9:E4965"/>
  </sortState>
  <mergeCells count="1">
    <mergeCell ref="J7:N7"/>
  </mergeCells>
  <printOptions horizontalCentered="1" verticalCentered="1"/>
  <pageMargins left="0" right="0" top="0" bottom="0" header="0" footer="0"/>
  <pageSetup paperSize="9" scale="58" orientation="landscape" horizontalDpi="1200" verticalDpi="1200" r:id="rId1"/>
  <rowBreaks count="2" manualBreakCount="2">
    <brk id="66" max="16383" man="1"/>
    <brk id="100" max="16383" man="1"/>
  </rowBreaks>
  <colBreaks count="1" manualBreakCount="1">
    <brk id="14" max="1048575" man="1"/>
  </col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L41"/>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3" customWidth="1"/>
    <col min="2" max="2" width="44.77734375" style="3" customWidth="1"/>
    <col min="3" max="16384" width="16.77734375" style="3"/>
  </cols>
  <sheetData>
    <row r="1" spans="2:8" ht="15.6" x14ac:dyDescent="0.4">
      <c r="B1" s="104" t="s">
        <v>342</v>
      </c>
      <c r="C1" s="105"/>
      <c r="D1" s="105"/>
      <c r="E1" s="105"/>
      <c r="F1" s="105"/>
      <c r="G1" s="105"/>
    </row>
    <row r="2" spans="2:8" ht="23.4" x14ac:dyDescent="0.45">
      <c r="B2" s="106" t="s">
        <v>341</v>
      </c>
      <c r="C2" s="105"/>
      <c r="D2" s="105"/>
      <c r="E2" s="105"/>
      <c r="F2" s="105"/>
      <c r="G2" s="105"/>
    </row>
    <row r="3" spans="2:8" x14ac:dyDescent="0.3">
      <c r="B3" s="105" t="s">
        <v>343</v>
      </c>
      <c r="C3" s="105"/>
      <c r="D3" s="105"/>
      <c r="E3" s="105"/>
      <c r="F3" s="105"/>
      <c r="G3" s="105"/>
    </row>
    <row r="5" spans="2:8" x14ac:dyDescent="0.3">
      <c r="B5" s="107" t="s">
        <v>202</v>
      </c>
      <c r="C5" s="107"/>
      <c r="D5" s="107"/>
      <c r="E5" s="107"/>
      <c r="F5" s="107"/>
      <c r="G5" s="107"/>
    </row>
    <row r="7" spans="2:8" x14ac:dyDescent="0.3">
      <c r="B7" s="107" t="s">
        <v>1</v>
      </c>
      <c r="C7" s="110">
        <v>44440</v>
      </c>
      <c r="D7" s="110">
        <f>EDATE(C7,12)</f>
        <v>44805</v>
      </c>
      <c r="E7" s="110">
        <f t="shared" ref="E7:G7" si="0">EDATE(D7,12)</f>
        <v>45170</v>
      </c>
      <c r="F7" s="110">
        <f t="shared" si="0"/>
        <v>45536</v>
      </c>
      <c r="G7" s="110">
        <f t="shared" si="0"/>
        <v>45901</v>
      </c>
    </row>
    <row r="8" spans="2:8" ht="7.05" customHeight="1" x14ac:dyDescent="0.3"/>
    <row r="9" spans="2:8" x14ac:dyDescent="0.3">
      <c r="B9" s="56" t="s">
        <v>203</v>
      </c>
      <c r="C9" s="3">
        <f>'BALANCE SHEET'!C22-'BALANCE SHEET'!C52</f>
        <v>2775</v>
      </c>
      <c r="D9" s="3">
        <f>'BALANCE SHEET'!D22-'BALANCE SHEET'!D52</f>
        <v>-2671.8999999999978</v>
      </c>
      <c r="E9" s="3">
        <f>'BALANCE SHEET'!E22-'BALANCE SHEET'!E52</f>
        <v>-2646.3500000000058</v>
      </c>
      <c r="F9" s="3">
        <f>'BALANCE SHEET'!F22-'BALANCE SHEET'!F52</f>
        <v>-3761</v>
      </c>
      <c r="G9" s="3">
        <f>'BALANCE SHEET'!G22-'BALANCE SHEET'!G52</f>
        <v>-8822</v>
      </c>
    </row>
    <row r="10" spans="2:8" x14ac:dyDescent="0.3">
      <c r="B10" s="56" t="s">
        <v>43</v>
      </c>
      <c r="C10" s="3">
        <f>'BALANCE SHEET'!C38</f>
        <v>86270</v>
      </c>
      <c r="D10" s="3">
        <f>'BALANCE SHEET'!D38</f>
        <v>84028.810000000012</v>
      </c>
      <c r="E10" s="3">
        <f>'BALANCE SHEET'!E38</f>
        <v>90596.11</v>
      </c>
      <c r="F10" s="3">
        <f>'BALANCE SHEET'!F38</f>
        <v>99351</v>
      </c>
      <c r="G10" s="3">
        <f>'BALANCE SHEET'!G38</f>
        <v>132271</v>
      </c>
    </row>
    <row r="11" spans="2:8" ht="7.05" customHeight="1" x14ac:dyDescent="0.3"/>
    <row r="12" spans="2:8" x14ac:dyDescent="0.3">
      <c r="B12" s="4" t="s">
        <v>204</v>
      </c>
      <c r="C12" s="19">
        <f>C9/C10</f>
        <v>3.2166454155558133E-2</v>
      </c>
      <c r="D12" s="19">
        <f>D9/D10</f>
        <v>-3.1797427572757456E-2</v>
      </c>
      <c r="E12" s="19">
        <f>E9/E10</f>
        <v>-2.9210415325779504E-2</v>
      </c>
      <c r="F12" s="19">
        <f>F9/F10</f>
        <v>-3.7855683385169751E-2</v>
      </c>
      <c r="G12" s="19">
        <f t="shared" ref="G12" si="1">G9/G10</f>
        <v>-6.6696403595648324E-2</v>
      </c>
      <c r="H12" s="1"/>
    </row>
    <row r="13" spans="2:8" ht="7.05" customHeight="1" x14ac:dyDescent="0.3"/>
    <row r="14" spans="2:8" x14ac:dyDescent="0.3">
      <c r="B14" s="56" t="s">
        <v>13</v>
      </c>
      <c r="C14" s="3">
        <f>'INCOME STATEMENT'!C50</f>
        <v>5184</v>
      </c>
      <c r="D14" s="3">
        <f>'INCOME STATEMENT'!D50</f>
        <v>6107.6399999999976</v>
      </c>
      <c r="E14" s="3">
        <f>'INCOME STATEMENT'!E50</f>
        <v>3978.3700000000026</v>
      </c>
      <c r="F14" s="3">
        <f>'INCOME STATEMENT'!F50</f>
        <v>5963</v>
      </c>
      <c r="G14" s="3">
        <f>'INCOME STATEMENT'!G50</f>
        <v>4142</v>
      </c>
    </row>
    <row r="15" spans="2:8" x14ac:dyDescent="0.3">
      <c r="B15" s="56" t="s">
        <v>43</v>
      </c>
      <c r="C15" s="3">
        <f>C10</f>
        <v>86270</v>
      </c>
      <c r="D15" s="3">
        <f>D10</f>
        <v>84028.810000000012</v>
      </c>
      <c r="E15" s="3">
        <f>E10</f>
        <v>90596.11</v>
      </c>
      <c r="F15" s="3">
        <f>F10</f>
        <v>99351</v>
      </c>
      <c r="G15" s="3">
        <f t="shared" ref="G15" si="2">G10</f>
        <v>132271</v>
      </c>
    </row>
    <row r="16" spans="2:8" ht="7.05" customHeight="1" x14ac:dyDescent="0.3"/>
    <row r="17" spans="2:12" x14ac:dyDescent="0.3">
      <c r="B17" s="4" t="s">
        <v>205</v>
      </c>
      <c r="C17" s="19">
        <f t="shared" ref="C17:F17" si="3">C14/C15</f>
        <v>6.0090413817085894E-2</v>
      </c>
      <c r="D17" s="19">
        <f t="shared" si="3"/>
        <v>7.2685070751329184E-2</v>
      </c>
      <c r="E17" s="19">
        <f t="shared" si="3"/>
        <v>4.3913254112124711E-2</v>
      </c>
      <c r="F17" s="19">
        <f t="shared" si="3"/>
        <v>6.0019526728467755E-2</v>
      </c>
      <c r="G17" s="19">
        <f t="shared" ref="G17" si="4">G14/G15</f>
        <v>3.13144982649258E-2</v>
      </c>
      <c r="H17" s="1"/>
    </row>
    <row r="18" spans="2:12" ht="7.05" customHeight="1" x14ac:dyDescent="0.3"/>
    <row r="19" spans="2:12" x14ac:dyDescent="0.3">
      <c r="B19" s="56" t="s">
        <v>113</v>
      </c>
      <c r="C19" s="3">
        <f>'INCOME STATEMENT'!C34</f>
        <v>9581</v>
      </c>
      <c r="D19" s="3">
        <f>'INCOME STATEMENT'!D34</f>
        <v>9307.409999999998</v>
      </c>
      <c r="E19" s="3">
        <f>'INCOME STATEMENT'!E34</f>
        <v>8234.9400000000023</v>
      </c>
      <c r="F19" s="3">
        <f>'INCOME STATEMENT'!F34</f>
        <v>10443</v>
      </c>
      <c r="G19" s="3">
        <f>'INCOME STATEMENT'!G34</f>
        <v>9291</v>
      </c>
    </row>
    <row r="20" spans="2:12" x14ac:dyDescent="0.3">
      <c r="B20" s="56" t="s">
        <v>43</v>
      </c>
      <c r="C20" s="3">
        <f>'ALTSMAN Z SCORE'!C15</f>
        <v>86270</v>
      </c>
      <c r="D20" s="3">
        <f>'ALTSMAN Z SCORE'!D15</f>
        <v>84028.810000000012</v>
      </c>
      <c r="E20" s="3">
        <f>'ALTSMAN Z SCORE'!E15</f>
        <v>90596.11</v>
      </c>
      <c r="F20" s="3">
        <f>'ALTSMAN Z SCORE'!F15</f>
        <v>99351</v>
      </c>
      <c r="G20" s="3">
        <f>'ALTSMAN Z SCORE'!G15</f>
        <v>132271</v>
      </c>
    </row>
    <row r="21" spans="2:12" ht="7.05" customHeight="1" x14ac:dyDescent="0.3"/>
    <row r="22" spans="2:12" x14ac:dyDescent="0.3">
      <c r="B22" s="4" t="s">
        <v>206</v>
      </c>
      <c r="C22" s="19">
        <f t="shared" ref="C22:F22" si="5">C19/C20</f>
        <v>0.1110583053205054</v>
      </c>
      <c r="D22" s="19">
        <f t="shared" si="5"/>
        <v>0.11076451041017951</v>
      </c>
      <c r="E22" s="19">
        <f t="shared" si="5"/>
        <v>9.0897280247463186E-2</v>
      </c>
      <c r="F22" s="19">
        <f t="shared" si="5"/>
        <v>0.10511217803545007</v>
      </c>
      <c r="G22" s="19">
        <f t="shared" ref="G22" si="6">G19/G20</f>
        <v>7.0242154364902359E-2</v>
      </c>
      <c r="H22" s="1"/>
    </row>
    <row r="23" spans="2:12" ht="7.05" customHeight="1" x14ac:dyDescent="0.3"/>
    <row r="24" spans="2:12" x14ac:dyDescent="0.3">
      <c r="B24" s="56" t="s">
        <v>207</v>
      </c>
      <c r="C24" s="3">
        <f>'KEY FINANCIAL RATIOS'!C$19</f>
        <v>155239.7279881688</v>
      </c>
      <c r="D24" s="3">
        <f>'KEY FINANCIAL RATIOS'!D$19</f>
        <v>218683.70500441795</v>
      </c>
      <c r="E24" s="3">
        <f>'KEY FINANCIAL RATIOS'!E$19</f>
        <v>200968.43624530034</v>
      </c>
      <c r="F24" s="3">
        <f>'KEY FINANCIAL RATIOS'!F$19</f>
        <v>305183.94140898419</v>
      </c>
      <c r="G24" s="3">
        <f>'KEY FINANCIAL RATIOS'!G$19</f>
        <v>344909.05011456151</v>
      </c>
    </row>
    <row r="25" spans="2:12" x14ac:dyDescent="0.3">
      <c r="B25" s="56" t="s">
        <v>208</v>
      </c>
      <c r="C25" s="3">
        <f>'BALANCE SHEET'!C63</f>
        <v>21409</v>
      </c>
      <c r="D25" s="3">
        <f>'BALANCE SHEET'!D63</f>
        <v>13793.230000000001</v>
      </c>
      <c r="E25" s="3">
        <f>'BALANCE SHEET'!E63</f>
        <v>13999.789999999999</v>
      </c>
      <c r="F25" s="3">
        <f>'BALANCE SHEET'!F63</f>
        <v>13609</v>
      </c>
      <c r="G25" s="3">
        <f>'BALANCE SHEET'!G63</f>
        <v>27436</v>
      </c>
    </row>
    <row r="26" spans="2:12" ht="7.05" customHeight="1" x14ac:dyDescent="0.3"/>
    <row r="27" spans="2:12" x14ac:dyDescent="0.3">
      <c r="B27" s="4" t="s">
        <v>209</v>
      </c>
      <c r="C27" s="19">
        <f>C24/C25</f>
        <v>7.2511433503745524</v>
      </c>
      <c r="D27" s="19">
        <f t="shared" ref="D27:G27" si="7">D24/D25</f>
        <v>15.854423148487912</v>
      </c>
      <c r="E27" s="19">
        <f t="shared" si="7"/>
        <v>14.355103629790186</v>
      </c>
      <c r="F27" s="19">
        <f t="shared" si="7"/>
        <v>22.425155515393062</v>
      </c>
      <c r="G27" s="19">
        <f t="shared" si="7"/>
        <v>12.571404363411631</v>
      </c>
      <c r="H27" s="1"/>
      <c r="I27" s="50"/>
      <c r="J27" s="50"/>
      <c r="K27" s="50"/>
      <c r="L27" s="50"/>
    </row>
    <row r="28" spans="2:12" x14ac:dyDescent="0.3">
      <c r="B28" s="392" t="s">
        <v>2671</v>
      </c>
      <c r="C28" s="393">
        <f>C27</f>
        <v>7.2511433503745524</v>
      </c>
      <c r="D28" s="393">
        <f t="shared" ref="D28:G28" si="8">D27</f>
        <v>15.854423148487912</v>
      </c>
      <c r="E28" s="393">
        <f t="shared" si="8"/>
        <v>14.355103629790186</v>
      </c>
      <c r="F28" s="393">
        <f t="shared" si="8"/>
        <v>22.425155515393062</v>
      </c>
      <c r="G28" s="393">
        <f t="shared" si="8"/>
        <v>12.571404363411631</v>
      </c>
      <c r="H28" s="1"/>
    </row>
    <row r="29" spans="2:12" ht="7.05" customHeight="1" x14ac:dyDescent="0.3"/>
    <row r="30" spans="2:12" x14ac:dyDescent="0.3">
      <c r="B30" s="56" t="s">
        <v>16</v>
      </c>
      <c r="C30" s="3">
        <f>'INCOME STATEMENT'!C11</f>
        <v>44725</v>
      </c>
      <c r="D30" s="3">
        <f>'INCOME STATEMENT'!D11</f>
        <v>52598.83</v>
      </c>
      <c r="E30" s="3">
        <f>'INCOME STATEMENT'!E11</f>
        <v>63239.98</v>
      </c>
      <c r="F30" s="3">
        <f>'INCOME STATEMENT'!F11</f>
        <v>70908</v>
      </c>
      <c r="G30" s="3">
        <f>'INCOME STATEMENT'!G11</f>
        <v>75955</v>
      </c>
    </row>
    <row r="31" spans="2:12" x14ac:dyDescent="0.3">
      <c r="B31" s="56" t="s">
        <v>43</v>
      </c>
      <c r="C31" s="3">
        <f>C20</f>
        <v>86270</v>
      </c>
      <c r="D31" s="3">
        <f>D20</f>
        <v>84028.810000000012</v>
      </c>
      <c r="E31" s="3">
        <f>E20</f>
        <v>90596.11</v>
      </c>
      <c r="F31" s="3">
        <f>F20</f>
        <v>99351</v>
      </c>
      <c r="G31" s="3">
        <f t="shared" ref="G31" si="9">G20</f>
        <v>132271</v>
      </c>
    </row>
    <row r="32" spans="2:12" ht="7.05" customHeight="1" x14ac:dyDescent="0.3"/>
    <row r="33" spans="2:8" x14ac:dyDescent="0.3">
      <c r="B33" s="4" t="s">
        <v>210</v>
      </c>
      <c r="C33" s="19">
        <f t="shared" ref="C33:F33" si="10">C30/C31</f>
        <v>0.51843050886750897</v>
      </c>
      <c r="D33" s="19">
        <f t="shared" si="10"/>
        <v>0.62596185760574252</v>
      </c>
      <c r="E33" s="19">
        <f t="shared" si="10"/>
        <v>0.69804299544428561</v>
      </c>
      <c r="F33" s="19">
        <f t="shared" si="10"/>
        <v>0.71371199082042458</v>
      </c>
      <c r="G33" s="19">
        <f t="shared" ref="G33" si="11">G30/G31</f>
        <v>0.57423773918697218</v>
      </c>
      <c r="H33" s="1"/>
    </row>
    <row r="34" spans="2:8" ht="7.05" customHeight="1" x14ac:dyDescent="0.3"/>
    <row r="35" spans="2:8" x14ac:dyDescent="0.3">
      <c r="B35" s="1" t="s">
        <v>211</v>
      </c>
    </row>
    <row r="36" spans="2:8" ht="7.05" customHeight="1" x14ac:dyDescent="0.3"/>
    <row r="37" spans="2:8" x14ac:dyDescent="0.3">
      <c r="B37" s="366" t="s">
        <v>212</v>
      </c>
      <c r="C37" s="367">
        <f>(C12*1.2)+(C17*1.4)+(C22*3.3)+(C27*0.6)*(C33*1)</f>
        <v>2.7447470940918173</v>
      </c>
      <c r="D37" s="367">
        <f t="shared" ref="D37:G37" si="12">(D12*1.2)+(D17*1.4)+(D22*3.3)+(D27*0.6)*(D33*1)</f>
        <v>6.3836835694951306</v>
      </c>
      <c r="E37" s="367">
        <f t="shared" si="12"/>
        <v>6.3386748047737944</v>
      </c>
      <c r="F37" s="367">
        <f t="shared" si="12"/>
        <v>9.9885321372839204</v>
      </c>
      <c r="G37" s="367">
        <f t="shared" si="12"/>
        <v>4.526988614690735</v>
      </c>
    </row>
    <row r="38" spans="2:8" ht="14.4" customHeight="1" x14ac:dyDescent="0.3"/>
    <row r="39" spans="2:8" x14ac:dyDescent="0.3">
      <c r="B39" s="174" t="s">
        <v>213</v>
      </c>
      <c r="C39" s="175" t="str">
        <f>IF(C37&lt;1.81,"DISTRESSED",IF(C37&gt;3,"STRONG","GREY ZONE"))</f>
        <v>GREY ZONE</v>
      </c>
      <c r="D39" s="175" t="str">
        <f>IF(D37&lt;1.81,"DISTRESSED",IF(D37&gt;3,"STRONG","GREY ZONE"))</f>
        <v>STRONG</v>
      </c>
      <c r="E39" s="175" t="str">
        <f>IF(E37&lt;1.81,"DISTRESSED",IF(E37&gt;3,"STRONG","GREY ZONE"))</f>
        <v>STRONG</v>
      </c>
      <c r="F39" s="175" t="str">
        <f>IF(F37&lt;1.81,"DISTRESSED",IF(F37&gt;3,"STRONG","GREY ZONE"))</f>
        <v>STRONG</v>
      </c>
      <c r="G39" s="175" t="str">
        <f>IF(G37&lt;1.81,"DISTRESSED",IF(G37&gt;3,"STRONG","GREY ZONE"))</f>
        <v>STRONG</v>
      </c>
    </row>
    <row r="41" spans="2:8" x14ac:dyDescent="0.3">
      <c r="B41" s="105"/>
      <c r="C41" s="105"/>
      <c r="D41" s="105"/>
      <c r="E41" s="105"/>
      <c r="F41" s="105"/>
      <c r="G41" s="105"/>
    </row>
  </sheetData>
  <printOptions horizontalCentered="1" verticalCentered="1"/>
  <pageMargins left="0" right="0" top="0" bottom="0" header="0" footer="0"/>
  <pageSetup paperSize="9" scale="105" orientation="landscape" horizontalDpi="1200" verticalDpi="1200" r:id="rId1"/>
  <colBreaks count="1" manualBreakCount="1">
    <brk id="7"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G56"/>
  <sheetViews>
    <sheetView zoomScale="70" zoomScaleNormal="70" workbookViewId="0">
      <pane xSplit="2" ySplit="7" topLeftCell="C8" activePane="bottomRight" state="frozen"/>
      <selection pane="topRight" activeCell="C1" sqref="C1"/>
      <selection pane="bottomLeft" activeCell="A8" sqref="A8"/>
      <selection pane="bottomRight"/>
    </sheetView>
  </sheetViews>
  <sheetFormatPr defaultColWidth="16.77734375" defaultRowHeight="14.4" x14ac:dyDescent="0.3"/>
  <cols>
    <col min="1" max="1" width="2" style="3" customWidth="1"/>
    <col min="2" max="2" width="44.77734375" style="3" customWidth="1"/>
    <col min="3" max="16384" width="16.77734375" style="3"/>
  </cols>
  <sheetData>
    <row r="1" spans="2:7" ht="15.6" x14ac:dyDescent="0.4">
      <c r="B1" s="104" t="s">
        <v>342</v>
      </c>
      <c r="C1" s="105"/>
      <c r="D1" s="105"/>
      <c r="E1" s="105"/>
      <c r="F1" s="105"/>
      <c r="G1" s="105"/>
    </row>
    <row r="2" spans="2:7" ht="23.4" x14ac:dyDescent="0.45">
      <c r="B2" s="106" t="s">
        <v>341</v>
      </c>
      <c r="C2" s="105"/>
      <c r="D2" s="105"/>
      <c r="E2" s="105"/>
      <c r="F2" s="105"/>
      <c r="G2" s="105"/>
    </row>
    <row r="3" spans="2:7" x14ac:dyDescent="0.3">
      <c r="B3" s="105" t="s">
        <v>343</v>
      </c>
      <c r="C3" s="105"/>
      <c r="D3" s="105"/>
      <c r="E3" s="105"/>
      <c r="F3" s="105"/>
      <c r="G3" s="105"/>
    </row>
    <row r="5" spans="2:7" x14ac:dyDescent="0.3">
      <c r="B5" s="107" t="s">
        <v>190</v>
      </c>
      <c r="C5" s="107"/>
      <c r="D5" s="107"/>
      <c r="E5" s="107"/>
      <c r="F5" s="107"/>
      <c r="G5" s="107"/>
    </row>
    <row r="7" spans="2:7" x14ac:dyDescent="0.3">
      <c r="B7" s="107" t="s">
        <v>1</v>
      </c>
      <c r="C7" s="110">
        <v>44440</v>
      </c>
      <c r="D7" s="110">
        <f>EDATE(C7,12)</f>
        <v>44805</v>
      </c>
      <c r="E7" s="110">
        <f t="shared" ref="E7:G7" si="0">EDATE(D7,12)</f>
        <v>45170</v>
      </c>
      <c r="F7" s="110">
        <f t="shared" si="0"/>
        <v>45536</v>
      </c>
      <c r="G7" s="110">
        <f t="shared" si="0"/>
        <v>45901</v>
      </c>
    </row>
    <row r="8" spans="2:7" ht="7.05" customHeight="1" x14ac:dyDescent="0.3"/>
    <row r="9" spans="2:7" x14ac:dyDescent="0.3">
      <c r="B9" s="1" t="s">
        <v>191</v>
      </c>
    </row>
    <row r="10" spans="2:7" ht="7.05" customHeight="1" x14ac:dyDescent="0.3"/>
    <row r="11" spans="2:7" x14ac:dyDescent="0.3">
      <c r="B11" s="56" t="s">
        <v>12</v>
      </c>
      <c r="C11" s="3">
        <f>'INCOME STATEMENT'!C$42</f>
        <v>5558</v>
      </c>
      <c r="D11" s="3">
        <f>'INCOME STATEMENT'!D$42</f>
        <v>7172.6399999999976</v>
      </c>
      <c r="E11" s="3">
        <f>'INCOME STATEMENT'!E$42</f>
        <v>5069.3700000000026</v>
      </c>
      <c r="F11" s="3">
        <f>'INCOME STATEMENT'!F$42</f>
        <v>7057</v>
      </c>
      <c r="G11" s="3">
        <f>'INCOME STATEMENT'!G$42</f>
        <v>6153</v>
      </c>
    </row>
    <row r="12" spans="2:7" x14ac:dyDescent="0.3">
      <c r="B12" s="56" t="s">
        <v>192</v>
      </c>
      <c r="C12" s="3">
        <v>0</v>
      </c>
      <c r="D12" s="3">
        <f>('BALANCE SHEET'!D72+'BALANCE SHEET'!C72)/2</f>
        <v>47304.634999999995</v>
      </c>
      <c r="E12" s="3">
        <f>('BALANCE SHEET'!E72+'BALANCE SHEET'!D72)/2</f>
        <v>52379.904999999999</v>
      </c>
      <c r="F12" s="3">
        <f>('BALANCE SHEET'!F72+'BALANCE SHEET'!E72)/2</f>
        <v>57275.270000000004</v>
      </c>
      <c r="G12" s="3">
        <f>('BALANCE SHEET'!G72+'BALANCE SHEET'!F72)/2</f>
        <v>65465.5</v>
      </c>
    </row>
    <row r="13" spans="2:7" ht="7.05" customHeight="1" x14ac:dyDescent="0.3"/>
    <row r="14" spans="2:7" x14ac:dyDescent="0.3">
      <c r="B14" s="4" t="s">
        <v>193</v>
      </c>
      <c r="C14" s="4">
        <v>0</v>
      </c>
      <c r="D14" s="26">
        <f>D11/D12</f>
        <v>0.15162657950959771</v>
      </c>
      <c r="E14" s="26">
        <f t="shared" ref="E14:G14" si="1">E11/E12</f>
        <v>9.6780816994608956E-2</v>
      </c>
      <c r="F14" s="26">
        <f t="shared" si="1"/>
        <v>0.12321199009624921</v>
      </c>
      <c r="G14" s="26">
        <f t="shared" si="1"/>
        <v>9.3988436657476082E-2</v>
      </c>
    </row>
    <row r="15" spans="2:7" ht="7.05" customHeight="1" x14ac:dyDescent="0.3"/>
    <row r="16" spans="2:7" x14ac:dyDescent="0.3">
      <c r="B16" s="173" t="s">
        <v>194</v>
      </c>
    </row>
    <row r="17" spans="2:7" ht="7.05" customHeight="1" x14ac:dyDescent="0.3"/>
    <row r="18" spans="2:7" x14ac:dyDescent="0.3">
      <c r="B18" s="56" t="str">
        <f>B11</f>
        <v>Net Profit</v>
      </c>
      <c r="C18" s="3">
        <f>C$11</f>
        <v>5558</v>
      </c>
      <c r="D18" s="3">
        <f t="shared" ref="D18:G18" si="2">D$11</f>
        <v>7172.6399999999976</v>
      </c>
      <c r="E18" s="3">
        <f t="shared" si="2"/>
        <v>5069.3700000000026</v>
      </c>
      <c r="F18" s="3">
        <f t="shared" si="2"/>
        <v>7057</v>
      </c>
      <c r="G18" s="3">
        <f t="shared" si="2"/>
        <v>6153</v>
      </c>
    </row>
    <row r="19" spans="2:7" x14ac:dyDescent="0.3">
      <c r="B19" s="56" t="str">
        <f>'INCOME STATEMENT'!B$11</f>
        <v>Sales</v>
      </c>
      <c r="C19" s="3">
        <f>'INCOME STATEMENT'!C$11</f>
        <v>44725</v>
      </c>
      <c r="D19" s="3">
        <f>'INCOME STATEMENT'!D$11</f>
        <v>52598.83</v>
      </c>
      <c r="E19" s="3">
        <f>'INCOME STATEMENT'!E$11</f>
        <v>63239.98</v>
      </c>
      <c r="F19" s="3">
        <f>'INCOME STATEMENT'!F$11</f>
        <v>70908</v>
      </c>
      <c r="G19" s="3">
        <f>'INCOME STATEMENT'!G$11</f>
        <v>75955</v>
      </c>
    </row>
    <row r="20" spans="2:7" ht="7.05" customHeight="1" x14ac:dyDescent="0.3"/>
    <row r="21" spans="2:7" x14ac:dyDescent="0.3">
      <c r="B21" s="4" t="s">
        <v>162</v>
      </c>
      <c r="C21" s="19">
        <f>C18/C19</f>
        <v>0.12427054220234768</v>
      </c>
      <c r="D21" s="19">
        <f t="shared" ref="D21:G21" si="3">D18/D19</f>
        <v>0.1363650104004214</v>
      </c>
      <c r="E21" s="19">
        <f t="shared" si="3"/>
        <v>8.0160841290588675E-2</v>
      </c>
      <c r="F21" s="19">
        <f t="shared" si="3"/>
        <v>9.9523325999887183E-2</v>
      </c>
      <c r="G21" s="19">
        <f t="shared" si="3"/>
        <v>8.10084918701863E-2</v>
      </c>
    </row>
    <row r="22" spans="2:7" ht="7.05" customHeight="1" x14ac:dyDescent="0.3"/>
    <row r="23" spans="2:7" x14ac:dyDescent="0.3">
      <c r="B23" s="56" t="str">
        <f>B$19</f>
        <v>Sales</v>
      </c>
      <c r="C23" s="3">
        <f>C$19</f>
        <v>44725</v>
      </c>
      <c r="D23" s="3">
        <f t="shared" ref="D23:G23" si="4">D$19</f>
        <v>52598.83</v>
      </c>
      <c r="E23" s="3">
        <f t="shared" si="4"/>
        <v>63239.98</v>
      </c>
      <c r="F23" s="3">
        <f t="shared" si="4"/>
        <v>70908</v>
      </c>
      <c r="G23" s="3">
        <f t="shared" si="4"/>
        <v>75955</v>
      </c>
    </row>
    <row r="24" spans="2:7" x14ac:dyDescent="0.3">
      <c r="B24" s="56" t="s">
        <v>195</v>
      </c>
      <c r="C24" s="3">
        <v>0</v>
      </c>
      <c r="D24" s="3">
        <f>('BALANCE SHEET'!D38+'BALANCE SHEET'!C38)/2</f>
        <v>85149.404999999999</v>
      </c>
      <c r="E24" s="3">
        <f>('BALANCE SHEET'!E38+'BALANCE SHEET'!D38)/2</f>
        <v>87312.46</v>
      </c>
      <c r="F24" s="3">
        <f>('BALANCE SHEET'!F38+'BALANCE SHEET'!E38)/2</f>
        <v>94973.554999999993</v>
      </c>
      <c r="G24" s="3">
        <f>('BALANCE SHEET'!G38+'BALANCE SHEET'!F38)/2</f>
        <v>115811</v>
      </c>
    </row>
    <row r="25" spans="2:7" ht="7.05" customHeight="1" x14ac:dyDescent="0.3"/>
    <row r="26" spans="2:7" x14ac:dyDescent="0.3">
      <c r="B26" s="4" t="s">
        <v>196</v>
      </c>
      <c r="C26" s="4">
        <v>0</v>
      </c>
      <c r="D26" s="27">
        <f>D23/D24</f>
        <v>0.61772398761917369</v>
      </c>
      <c r="E26" s="27">
        <f t="shared" ref="E26:G26" si="5">E23/E24</f>
        <v>0.7242950204358003</v>
      </c>
      <c r="F26" s="27">
        <f t="shared" si="5"/>
        <v>0.74660783204335146</v>
      </c>
      <c r="G26" s="27">
        <f t="shared" si="5"/>
        <v>0.65585307095180945</v>
      </c>
    </row>
    <row r="27" spans="2:7" ht="7.05" customHeight="1" x14ac:dyDescent="0.3"/>
    <row r="28" spans="2:7" x14ac:dyDescent="0.3">
      <c r="B28" s="56" t="s">
        <v>195</v>
      </c>
      <c r="C28" s="3">
        <f>C24</f>
        <v>0</v>
      </c>
      <c r="D28" s="3">
        <f t="shared" ref="D28:G28" si="6">D24</f>
        <v>85149.404999999999</v>
      </c>
      <c r="E28" s="3">
        <f t="shared" si="6"/>
        <v>87312.46</v>
      </c>
      <c r="F28" s="3">
        <f t="shared" si="6"/>
        <v>94973.554999999993</v>
      </c>
      <c r="G28" s="3">
        <f t="shared" si="6"/>
        <v>115811</v>
      </c>
    </row>
    <row r="29" spans="2:7" x14ac:dyDescent="0.3">
      <c r="B29" s="56" t="s">
        <v>192</v>
      </c>
      <c r="C29" s="3">
        <f>C12</f>
        <v>0</v>
      </c>
      <c r="D29" s="3">
        <f t="shared" ref="D29:G29" si="7">D12</f>
        <v>47304.634999999995</v>
      </c>
      <c r="E29" s="3">
        <f t="shared" si="7"/>
        <v>52379.904999999999</v>
      </c>
      <c r="F29" s="3">
        <f t="shared" si="7"/>
        <v>57275.270000000004</v>
      </c>
      <c r="G29" s="3">
        <f t="shared" si="7"/>
        <v>65465.5</v>
      </c>
    </row>
    <row r="30" spans="2:7" ht="7.05" customHeight="1" x14ac:dyDescent="0.3"/>
    <row r="31" spans="2:7" x14ac:dyDescent="0.3">
      <c r="B31" s="4" t="s">
        <v>197</v>
      </c>
      <c r="C31" s="4">
        <v>0</v>
      </c>
      <c r="D31" s="27">
        <f>D28/D29</f>
        <v>1.8000224502313571</v>
      </c>
      <c r="E31" s="27">
        <f t="shared" ref="E31:G31" si="8">E28/E29</f>
        <v>1.6669075669381228</v>
      </c>
      <c r="F31" s="27">
        <f t="shared" si="8"/>
        <v>1.6581948020498198</v>
      </c>
      <c r="G31" s="27">
        <f t="shared" si="8"/>
        <v>1.7690386539474992</v>
      </c>
    </row>
    <row r="32" spans="2:7" ht="14.4" customHeight="1" x14ac:dyDescent="0.3"/>
    <row r="33" spans="2:7" x14ac:dyDescent="0.3">
      <c r="B33" s="4" t="s">
        <v>193</v>
      </c>
      <c r="C33" s="4">
        <f>C21*C26*C31</f>
        <v>0</v>
      </c>
      <c r="D33" s="19">
        <f t="shared" ref="D33:G33" si="9">D21*D26*D31</f>
        <v>0.15162657950959774</v>
      </c>
      <c r="E33" s="19">
        <f t="shared" si="9"/>
        <v>9.6780816994608956E-2</v>
      </c>
      <c r="F33" s="19">
        <f t="shared" si="9"/>
        <v>0.12321199009624921</v>
      </c>
      <c r="G33" s="19">
        <f t="shared" si="9"/>
        <v>9.3988436657476096E-2</v>
      </c>
    </row>
    <row r="34" spans="2:7" ht="7.05" customHeight="1" x14ac:dyDescent="0.3"/>
    <row r="35" spans="2:7" x14ac:dyDescent="0.3">
      <c r="B35" s="1" t="s">
        <v>198</v>
      </c>
    </row>
    <row r="36" spans="2:7" ht="7.05" customHeight="1" x14ac:dyDescent="0.3"/>
    <row r="37" spans="2:7" x14ac:dyDescent="0.3">
      <c r="B37" s="56" t="s">
        <v>12</v>
      </c>
      <c r="C37" s="3">
        <f>C18</f>
        <v>5558</v>
      </c>
      <c r="D37" s="3">
        <f t="shared" ref="D37:G37" si="10">D18</f>
        <v>7172.6399999999976</v>
      </c>
      <c r="E37" s="3">
        <f t="shared" si="10"/>
        <v>5069.3700000000026</v>
      </c>
      <c r="F37" s="3">
        <f t="shared" si="10"/>
        <v>7057</v>
      </c>
      <c r="G37" s="3">
        <f t="shared" si="10"/>
        <v>6153</v>
      </c>
    </row>
    <row r="38" spans="2:7" x14ac:dyDescent="0.3">
      <c r="B38" s="56" t="s">
        <v>199</v>
      </c>
      <c r="C38" s="3">
        <f>C28</f>
        <v>0</v>
      </c>
      <c r="D38" s="3">
        <f t="shared" ref="D38:G38" si="11">D28</f>
        <v>85149.404999999999</v>
      </c>
      <c r="E38" s="3">
        <f t="shared" si="11"/>
        <v>87312.46</v>
      </c>
      <c r="F38" s="3">
        <f t="shared" si="11"/>
        <v>94973.554999999993</v>
      </c>
      <c r="G38" s="3">
        <f t="shared" si="11"/>
        <v>115811</v>
      </c>
    </row>
    <row r="39" spans="2:7" ht="7.05" customHeight="1" x14ac:dyDescent="0.3"/>
    <row r="40" spans="2:7" x14ac:dyDescent="0.3">
      <c r="B40" s="4" t="s">
        <v>200</v>
      </c>
      <c r="C40" s="4">
        <v>0</v>
      </c>
      <c r="D40" s="19">
        <f>D37/D38</f>
        <v>8.423593799627839E-2</v>
      </c>
      <c r="E40" s="19">
        <f t="shared" ref="E40:G40" si="12">E37/E38</f>
        <v>5.8060098180717876E-2</v>
      </c>
      <c r="F40" s="19">
        <f t="shared" si="12"/>
        <v>7.430489466251948E-2</v>
      </c>
      <c r="G40" s="19">
        <f t="shared" si="12"/>
        <v>5.312966816623637E-2</v>
      </c>
    </row>
    <row r="41" spans="2:7" ht="7.05" customHeight="1" x14ac:dyDescent="0.3"/>
    <row r="42" spans="2:7" x14ac:dyDescent="0.3">
      <c r="B42" s="173" t="s">
        <v>201</v>
      </c>
    </row>
    <row r="43" spans="2:7" ht="7.05" customHeight="1" x14ac:dyDescent="0.3"/>
    <row r="44" spans="2:7" x14ac:dyDescent="0.3">
      <c r="B44" s="56" t="str">
        <f>B37</f>
        <v>Net Profit</v>
      </c>
      <c r="C44" s="3">
        <f t="shared" ref="C44:G44" si="13">C37</f>
        <v>5558</v>
      </c>
      <c r="D44" s="3">
        <f t="shared" si="13"/>
        <v>7172.6399999999976</v>
      </c>
      <c r="E44" s="3">
        <f t="shared" si="13"/>
        <v>5069.3700000000026</v>
      </c>
      <c r="F44" s="3">
        <f t="shared" si="13"/>
        <v>7057</v>
      </c>
      <c r="G44" s="3">
        <f t="shared" si="13"/>
        <v>6153</v>
      </c>
    </row>
    <row r="45" spans="2:7" x14ac:dyDescent="0.3">
      <c r="B45" s="56" t="str">
        <f>'INCOME STATEMENT'!B$11</f>
        <v>Sales</v>
      </c>
      <c r="C45" s="3">
        <f>C19</f>
        <v>44725</v>
      </c>
      <c r="D45" s="3">
        <f t="shared" ref="D45:G45" si="14">D19</f>
        <v>52598.83</v>
      </c>
      <c r="E45" s="3">
        <f t="shared" si="14"/>
        <v>63239.98</v>
      </c>
      <c r="F45" s="3">
        <f t="shared" si="14"/>
        <v>70908</v>
      </c>
      <c r="G45" s="3">
        <f t="shared" si="14"/>
        <v>75955</v>
      </c>
    </row>
    <row r="46" spans="2:7" ht="7.05" customHeight="1" x14ac:dyDescent="0.3"/>
    <row r="47" spans="2:7" x14ac:dyDescent="0.3">
      <c r="B47" s="4" t="s">
        <v>162</v>
      </c>
      <c r="C47" s="19">
        <f>C44/C45</f>
        <v>0.12427054220234768</v>
      </c>
      <c r="D47" s="19">
        <f t="shared" ref="D47:G47" si="15">D44/D45</f>
        <v>0.1363650104004214</v>
      </c>
      <c r="E47" s="19">
        <f t="shared" si="15"/>
        <v>8.0160841290588675E-2</v>
      </c>
      <c r="F47" s="19">
        <f t="shared" si="15"/>
        <v>9.9523325999887183E-2</v>
      </c>
      <c r="G47" s="19">
        <f t="shared" si="15"/>
        <v>8.10084918701863E-2</v>
      </c>
    </row>
    <row r="48" spans="2:7" ht="7.05" customHeight="1" x14ac:dyDescent="0.3"/>
    <row r="49" spans="2:7" x14ac:dyDescent="0.3">
      <c r="B49" s="56" t="str">
        <f>B$19</f>
        <v>Sales</v>
      </c>
      <c r="C49" s="3">
        <f>C45</f>
        <v>44725</v>
      </c>
      <c r="D49" s="3">
        <f t="shared" ref="D49:G49" si="16">D45</f>
        <v>52598.83</v>
      </c>
      <c r="E49" s="3">
        <f t="shared" si="16"/>
        <v>63239.98</v>
      </c>
      <c r="F49" s="3">
        <f t="shared" si="16"/>
        <v>70908</v>
      </c>
      <c r="G49" s="3">
        <f t="shared" si="16"/>
        <v>75955</v>
      </c>
    </row>
    <row r="50" spans="2:7" x14ac:dyDescent="0.3">
      <c r="B50" s="56" t="s">
        <v>195</v>
      </c>
      <c r="C50" s="3">
        <f>C$24</f>
        <v>0</v>
      </c>
      <c r="D50" s="3">
        <f t="shared" ref="D50:G50" si="17">D$24</f>
        <v>85149.404999999999</v>
      </c>
      <c r="E50" s="3">
        <f t="shared" si="17"/>
        <v>87312.46</v>
      </c>
      <c r="F50" s="3">
        <f t="shared" si="17"/>
        <v>94973.554999999993</v>
      </c>
      <c r="G50" s="3">
        <f t="shared" si="17"/>
        <v>115811</v>
      </c>
    </row>
    <row r="51" spans="2:7" ht="7.05" customHeight="1" x14ac:dyDescent="0.3"/>
    <row r="52" spans="2:7" x14ac:dyDescent="0.3">
      <c r="B52" s="4" t="s">
        <v>2651</v>
      </c>
      <c r="C52" s="4">
        <v>0</v>
      </c>
      <c r="D52" s="27">
        <f>D49/D50</f>
        <v>0.61772398761917369</v>
      </c>
      <c r="E52" s="27">
        <f t="shared" ref="E52:G52" si="18">E49/E50</f>
        <v>0.7242950204358003</v>
      </c>
      <c r="F52" s="27">
        <f t="shared" si="18"/>
        <v>0.74660783204335146</v>
      </c>
      <c r="G52" s="27">
        <f t="shared" si="18"/>
        <v>0.65585307095180945</v>
      </c>
    </row>
    <row r="54" spans="2:7" x14ac:dyDescent="0.3">
      <c r="B54" s="4" t="s">
        <v>200</v>
      </c>
      <c r="C54" s="4">
        <f>C47*C52</f>
        <v>0</v>
      </c>
      <c r="D54" s="19">
        <f>D47*D52</f>
        <v>8.4235937996278404E-2</v>
      </c>
      <c r="E54" s="19">
        <f t="shared" ref="E54:G54" si="19">E47*E52</f>
        <v>5.8060098180717869E-2</v>
      </c>
      <c r="F54" s="19">
        <f t="shared" si="19"/>
        <v>7.430489466251948E-2</v>
      </c>
      <c r="G54" s="19">
        <f t="shared" si="19"/>
        <v>5.3129668166236377E-2</v>
      </c>
    </row>
    <row r="56" spans="2:7" x14ac:dyDescent="0.3">
      <c r="B56" s="105"/>
      <c r="C56" s="105"/>
      <c r="D56" s="105"/>
      <c r="E56" s="105"/>
      <c r="F56" s="105"/>
      <c r="G56" s="105"/>
    </row>
  </sheetData>
  <printOptions horizontalCentered="1" verticalCentered="1"/>
  <pageMargins left="0" right="0" top="0" bottom="0" header="0" footer="0"/>
  <pageSetup paperSize="9" scale="80" orientation="landscape" horizontalDpi="1200" verticalDpi="120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L31"/>
  <sheetViews>
    <sheetView zoomScale="70" zoomScaleNormal="70" workbookViewId="0">
      <pane ySplit="7" topLeftCell="A8" activePane="bottomLeft" state="frozen"/>
      <selection pane="bottomLeft"/>
    </sheetView>
  </sheetViews>
  <sheetFormatPr defaultColWidth="16.77734375" defaultRowHeight="14.4" x14ac:dyDescent="0.3"/>
  <cols>
    <col min="1" max="1" width="2" style="3" customWidth="1"/>
    <col min="2" max="2" width="44.77734375" style="3" customWidth="1"/>
    <col min="3" max="16384" width="16.77734375" style="3"/>
  </cols>
  <sheetData>
    <row r="1" spans="2:12" ht="15.6" x14ac:dyDescent="0.4">
      <c r="B1" s="104" t="s">
        <v>342</v>
      </c>
      <c r="C1" s="105"/>
      <c r="D1" s="105"/>
      <c r="E1" s="105"/>
      <c r="F1" s="105"/>
      <c r="G1" s="105"/>
      <c r="H1" s="105"/>
      <c r="I1" s="105"/>
    </row>
    <row r="2" spans="2:12" ht="23.4" x14ac:dyDescent="0.45">
      <c r="B2" s="106" t="s">
        <v>341</v>
      </c>
      <c r="C2" s="105"/>
      <c r="D2" s="105"/>
      <c r="E2" s="105"/>
      <c r="F2" s="105"/>
      <c r="G2" s="105"/>
      <c r="H2" s="105"/>
      <c r="I2" s="105"/>
    </row>
    <row r="3" spans="2:12" x14ac:dyDescent="0.3">
      <c r="B3" s="105" t="s">
        <v>343</v>
      </c>
      <c r="C3" s="105"/>
      <c r="D3" s="105"/>
      <c r="E3" s="105"/>
      <c r="F3" s="105"/>
      <c r="G3" s="105"/>
      <c r="H3" s="105"/>
      <c r="I3" s="105"/>
    </row>
    <row r="5" spans="2:12" x14ac:dyDescent="0.3">
      <c r="B5" s="107" t="s">
        <v>148</v>
      </c>
      <c r="C5" s="107"/>
      <c r="D5" s="107"/>
      <c r="E5" s="107"/>
      <c r="F5" s="107"/>
      <c r="G5" s="537" t="s">
        <v>460</v>
      </c>
      <c r="H5" s="537"/>
      <c r="I5" s="201">
        <v>2</v>
      </c>
      <c r="J5" s="1"/>
      <c r="K5" s="1"/>
      <c r="L5" s="1"/>
    </row>
    <row r="7" spans="2:12" x14ac:dyDescent="0.3">
      <c r="B7" s="107" t="s">
        <v>1</v>
      </c>
      <c r="C7" s="107"/>
      <c r="D7" s="107"/>
      <c r="E7" s="107"/>
      <c r="F7" s="107"/>
      <c r="G7" s="107"/>
      <c r="H7" s="107"/>
      <c r="I7" s="107"/>
      <c r="J7" s="1"/>
    </row>
    <row r="8" spans="2:12" ht="14.4" customHeight="1" x14ac:dyDescent="0.3"/>
    <row r="9" spans="2:12" x14ac:dyDescent="0.3">
      <c r="F9" s="183" t="s">
        <v>149</v>
      </c>
      <c r="G9" s="183"/>
      <c r="H9" s="183"/>
      <c r="I9" s="183"/>
      <c r="J9" s="1"/>
    </row>
    <row r="10" spans="2:12" x14ac:dyDescent="0.3">
      <c r="G10" s="36" t="s">
        <v>150</v>
      </c>
      <c r="H10" s="36" t="s">
        <v>471</v>
      </c>
      <c r="I10" s="36" t="s">
        <v>151</v>
      </c>
    </row>
    <row r="11" spans="2:12" x14ac:dyDescent="0.3">
      <c r="F11" s="1" t="s">
        <v>467</v>
      </c>
      <c r="G11" s="102">
        <f>'RELATIVE VALUATION'!$P$26*'INCOME STATEMENT'!$G$45</f>
        <v>2742.3541049125729</v>
      </c>
      <c r="H11" s="102">
        <f>'RELATIVE VALUATION'!$P$23*'INCOME STATEMENT'!$G$45</f>
        <v>9530.4404493056572</v>
      </c>
      <c r="I11" s="208">
        <f>'RELATIVE VALUATION'!$P$21*'INCOME STATEMENT'!$G$45</f>
        <v>17910.887962962963</v>
      </c>
    </row>
    <row r="12" spans="2:12" x14ac:dyDescent="0.3">
      <c r="F12" s="1" t="s">
        <v>468</v>
      </c>
      <c r="G12" s="3">
        <f>CHOOSE($I$5,'DATA VALUATION &amp; OTHERS'!$D$43,'DATA VALUATION &amp; OTHERS'!$F$43,'DATA VALUATION &amp; OTHERS'!$H$43)</f>
        <v>879</v>
      </c>
      <c r="H12" s="208">
        <f>MEDIAN(I12,G12)</f>
        <v>1979</v>
      </c>
      <c r="I12" s="3">
        <f>CHOOSE($I$5,'DATA VALUATION &amp; OTHERS'!$C$43,'DATA VALUATION &amp; OTHERS'!$E$43,'DATA VALUATION &amp; OTHERS'!$G$43)</f>
        <v>3079</v>
      </c>
    </row>
    <row r="13" spans="2:12" x14ac:dyDescent="0.3">
      <c r="F13" s="1" t="s">
        <v>469</v>
      </c>
      <c r="G13" s="3">
        <f>'DATA VALUATION &amp; OTHERS'!C$49</f>
        <v>13339</v>
      </c>
      <c r="H13" s="3">
        <f>'DATA VALUATION &amp; OTHERS'!D$49</f>
        <v>14374.5</v>
      </c>
      <c r="I13" s="3">
        <f>'DATA VALUATION &amp; OTHERS'!E$49</f>
        <v>15410</v>
      </c>
    </row>
    <row r="14" spans="2:12" x14ac:dyDescent="0.3">
      <c r="F14" s="1" t="s">
        <v>152</v>
      </c>
      <c r="G14" s="3">
        <f>'DATA VALUATION &amp; OTHERS'!C$50</f>
        <v>10047</v>
      </c>
      <c r="H14" s="3">
        <f>'DATA VALUATION &amp; OTHERS'!D$50</f>
        <v>11572</v>
      </c>
      <c r="I14" s="3">
        <f>'DATA VALUATION &amp; OTHERS'!E$50</f>
        <v>13097</v>
      </c>
    </row>
    <row r="15" spans="2:12" x14ac:dyDescent="0.3">
      <c r="F15" s="1" t="s">
        <v>264</v>
      </c>
      <c r="G15" s="3">
        <f>'PV FCFF'!$C$52</f>
        <v>11499</v>
      </c>
      <c r="H15" s="3">
        <f>'PV FCFF'!$C$52</f>
        <v>11499</v>
      </c>
      <c r="I15" s="3">
        <f>'PV FCFF'!$C$52</f>
        <v>11499</v>
      </c>
    </row>
    <row r="16" spans="2:12" ht="7.05" customHeight="1" x14ac:dyDescent="0.3">
      <c r="F16" s="51"/>
      <c r="G16" s="51"/>
      <c r="H16" s="51"/>
      <c r="I16" s="51"/>
    </row>
    <row r="18" spans="2:9" x14ac:dyDescent="0.3">
      <c r="F18" s="538" t="s">
        <v>2838</v>
      </c>
      <c r="G18" s="538"/>
      <c r="H18" s="538"/>
      <c r="I18" s="538"/>
    </row>
    <row r="21" spans="2:9" x14ac:dyDescent="0.3">
      <c r="F21" s="183" t="s">
        <v>149</v>
      </c>
      <c r="G21" s="232"/>
      <c r="H21" s="232"/>
      <c r="I21" s="232"/>
    </row>
    <row r="22" spans="2:9" x14ac:dyDescent="0.3">
      <c r="G22" s="36" t="s">
        <v>472</v>
      </c>
      <c r="H22" s="36" t="s">
        <v>473</v>
      </c>
      <c r="I22" s="36" t="s">
        <v>151</v>
      </c>
    </row>
    <row r="23" spans="2:9" x14ac:dyDescent="0.3">
      <c r="F23" s="1" t="s">
        <v>474</v>
      </c>
      <c r="G23" s="3">
        <f>'RELATIVE VALUATION'!$O$26*'RELATIVE VALUATION'!$K$11</f>
        <v>173394.36041990668</v>
      </c>
      <c r="H23" s="3">
        <f>'RELATIVE VALUATION'!$O$23*'RELATIVE VALUATION'!$K$11</f>
        <v>323787.45542180684</v>
      </c>
      <c r="I23" s="3">
        <f>'RELATIVE VALUATION'!$O$21*'RELATIVE VALUATION'!$K$11</f>
        <v>520775.4108463435</v>
      </c>
    </row>
    <row r="24" spans="2:9" x14ac:dyDescent="0.3">
      <c r="F24" s="1" t="s">
        <v>475</v>
      </c>
      <c r="G24" s="3">
        <f>'RELATIVE VALUATION'!$N$26*'RELATIVE VALUATION'!$J$11</f>
        <v>127558.2767172704</v>
      </c>
      <c r="H24" s="3">
        <f>'RELATIVE VALUATION'!$N$23*'RELATIVE VALUATION'!$J$11</f>
        <v>314938.50235234579</v>
      </c>
      <c r="I24" s="3">
        <f>'RELATIVE VALUATION'!$N$21*'RELATIVE VALUATION'!$J$11</f>
        <v>539252.75157754903</v>
      </c>
    </row>
    <row r="25" spans="2:9" x14ac:dyDescent="0.3">
      <c r="F25" s="1" t="s">
        <v>136</v>
      </c>
      <c r="G25" s="3">
        <f>CHOOSE($I$5,'DATA VALUATION &amp; OTHERS'!$D$44,'DATA VALUATION &amp; OTHERS'!$F$44,'DATA VALUATION &amp; OTHERS'!$H$44)</f>
        <v>55623</v>
      </c>
      <c r="H25" s="3">
        <f>MEDIAN(G25,I25)</f>
        <v>104293</v>
      </c>
      <c r="I25" s="3">
        <f>CHOOSE($I$5,'DATA VALUATION &amp; OTHERS'!$C$44,'DATA VALUATION &amp; OTHERS'!$E$44,'DATA VALUATION &amp; OTHERS'!$G$44)</f>
        <v>152963</v>
      </c>
    </row>
    <row r="26" spans="2:9" x14ac:dyDescent="0.3">
      <c r="F26" s="1" t="s">
        <v>480</v>
      </c>
      <c r="G26" s="3">
        <f>CHOOSE($I$5,'DATA VALUATION &amp; OTHERS'!$D$45,'DATA VALUATION &amp; OTHERS'!$F$45,'DATA VALUATION &amp; OTHERS'!$H$45)</f>
        <v>51151</v>
      </c>
      <c r="H26" s="3">
        <f>MEDIAN(G26,I26)</f>
        <v>79626.5</v>
      </c>
      <c r="I26" s="3">
        <f>CHOOSE($I$5,'DATA VALUATION &amp; OTHERS'!$C$45,'DATA VALUATION &amp; OTHERS'!$E$45,'DATA VALUATION &amp; OTHERS'!$G$45)</f>
        <v>108102</v>
      </c>
    </row>
    <row r="27" spans="2:9" x14ac:dyDescent="0.3">
      <c r="F27" s="1" t="s">
        <v>476</v>
      </c>
      <c r="G27" s="3">
        <f>'ABOUT US'!$K$57</f>
        <v>367467.54857894994</v>
      </c>
      <c r="H27" s="3">
        <f>'ABOUT US'!$K$57</f>
        <v>367467.54857894994</v>
      </c>
      <c r="I27" s="3">
        <f>'ABOUT US'!$K$57</f>
        <v>367467.54857894994</v>
      </c>
    </row>
    <row r="29" spans="2:9" x14ac:dyDescent="0.3">
      <c r="F29" s="538" t="s">
        <v>2839</v>
      </c>
      <c r="G29" s="538"/>
      <c r="H29" s="538"/>
      <c r="I29" s="538"/>
    </row>
    <row r="31" spans="2:9" x14ac:dyDescent="0.3">
      <c r="B31" s="105"/>
      <c r="C31" s="105"/>
      <c r="D31" s="105"/>
      <c r="E31" s="105"/>
      <c r="F31" s="105"/>
      <c r="G31" s="105"/>
      <c r="H31" s="105"/>
      <c r="I31" s="105"/>
    </row>
  </sheetData>
  <mergeCells count="3">
    <mergeCell ref="F18:I18"/>
    <mergeCell ref="F29:I29"/>
    <mergeCell ref="G5:H5"/>
  </mergeCells>
  <printOptions horizontalCentered="1" verticalCentered="1"/>
  <pageMargins left="0.35" right="0" top="0" bottom="0" header="0" footer="0"/>
  <pageSetup paperSize="9" scale="80" orientation="landscape" horizontalDpi="1200" verticalDpi="12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workbookViewId="0"/>
  </sheetViews>
  <sheetFormatPr defaultRowHeight="14.4" x14ac:dyDescent="0.3"/>
  <cols>
    <col min="1" max="16384" width="8.88671875" style="53"/>
  </cols>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J45"/>
  <sheetViews>
    <sheetView zoomScale="70" zoomScaleNormal="70" workbookViewId="0">
      <pane xSplit="1" ySplit="5" topLeftCell="B6" activePane="bottomRight" state="frozen"/>
      <selection pane="topRight" activeCell="B1" sqref="B1"/>
      <selection pane="bottomLeft" activeCell="A6" sqref="A6"/>
      <selection pane="bottomRight" activeCell="F15" sqref="F15"/>
    </sheetView>
  </sheetViews>
  <sheetFormatPr defaultColWidth="16.77734375" defaultRowHeight="14.4" x14ac:dyDescent="0.3"/>
  <cols>
    <col min="1" max="1" width="2" style="53" customWidth="1"/>
    <col min="2" max="4" width="44.77734375" style="53" customWidth="1"/>
    <col min="5" max="16384" width="16.77734375" style="53"/>
  </cols>
  <sheetData>
    <row r="1" spans="2:10" ht="15.6" x14ac:dyDescent="0.4">
      <c r="B1" s="104" t="s">
        <v>342</v>
      </c>
      <c r="C1" s="105"/>
      <c r="D1" s="105"/>
      <c r="E1" s="3"/>
      <c r="F1" s="3"/>
      <c r="G1" s="3"/>
      <c r="H1" s="3"/>
      <c r="I1" s="3"/>
      <c r="J1" s="3"/>
    </row>
    <row r="2" spans="2:10" ht="23.4" x14ac:dyDescent="0.45">
      <c r="B2" s="106" t="s">
        <v>341</v>
      </c>
      <c r="C2" s="105"/>
      <c r="D2" s="105"/>
      <c r="E2" s="3"/>
      <c r="F2" s="3"/>
      <c r="G2" s="3"/>
      <c r="H2" s="3"/>
      <c r="I2" s="3"/>
      <c r="J2" s="3"/>
    </row>
    <row r="3" spans="2:10" x14ac:dyDescent="0.3">
      <c r="B3" s="105" t="s">
        <v>343</v>
      </c>
      <c r="C3" s="105"/>
      <c r="D3" s="105"/>
      <c r="E3" s="3"/>
      <c r="F3" s="3"/>
      <c r="G3" s="3"/>
      <c r="H3" s="3"/>
      <c r="I3" s="3"/>
      <c r="J3" s="3"/>
    </row>
    <row r="4" spans="2:10" x14ac:dyDescent="0.3">
      <c r="B4" s="3"/>
      <c r="C4" s="3"/>
      <c r="D4" s="3"/>
      <c r="E4" s="3"/>
      <c r="F4" s="3"/>
      <c r="G4" s="3"/>
      <c r="H4" s="3"/>
      <c r="I4" s="3"/>
      <c r="J4" s="3"/>
    </row>
    <row r="5" spans="2:10" x14ac:dyDescent="0.3">
      <c r="B5" s="107" t="s">
        <v>2648</v>
      </c>
      <c r="C5" s="107"/>
      <c r="D5" s="107"/>
      <c r="E5" s="1"/>
      <c r="F5" s="1"/>
      <c r="G5" s="1"/>
      <c r="H5" s="1"/>
      <c r="I5" s="1"/>
      <c r="J5" s="1"/>
    </row>
    <row r="6" spans="2:10" ht="13.95" customHeight="1" x14ac:dyDescent="0.3">
      <c r="B6" s="3"/>
      <c r="C6" s="3"/>
      <c r="D6" s="3"/>
      <c r="E6" s="3"/>
      <c r="F6" s="3"/>
      <c r="G6" s="3"/>
      <c r="H6" s="3"/>
      <c r="I6" s="3"/>
      <c r="J6" s="3"/>
    </row>
    <row r="7" spans="2:10" ht="13.95" customHeight="1" x14ac:dyDescent="0.3">
      <c r="B7" s="555" t="s">
        <v>2780</v>
      </c>
      <c r="C7" s="555"/>
      <c r="D7" s="555"/>
      <c r="E7" s="1"/>
      <c r="F7" s="1"/>
      <c r="G7" s="1"/>
      <c r="H7" s="1"/>
      <c r="I7" s="1"/>
      <c r="J7" s="1"/>
    </row>
    <row r="8" spans="2:10" ht="13.95" customHeight="1" x14ac:dyDescent="0.3">
      <c r="B8" s="556"/>
      <c r="C8" s="556"/>
      <c r="D8" s="556"/>
    </row>
    <row r="9" spans="2:10" ht="13.95" customHeight="1" x14ac:dyDescent="0.3">
      <c r="B9" s="370"/>
      <c r="C9" s="370"/>
      <c r="D9" s="370"/>
    </row>
    <row r="10" spans="2:10" ht="13.95" customHeight="1" x14ac:dyDescent="0.3">
      <c r="B10" s="554" t="s">
        <v>2781</v>
      </c>
      <c r="C10" s="554"/>
      <c r="D10" s="554"/>
    </row>
    <row r="11" spans="2:10" ht="13.95" customHeight="1" x14ac:dyDescent="0.3">
      <c r="B11" s="553"/>
      <c r="C11" s="553"/>
      <c r="D11" s="553"/>
    </row>
    <row r="12" spans="2:10" ht="13.95" customHeight="1" x14ac:dyDescent="0.3">
      <c r="B12" s="370"/>
      <c r="C12" s="370"/>
      <c r="D12" s="370"/>
    </row>
    <row r="13" spans="2:10" ht="13.95" customHeight="1" x14ac:dyDescent="0.3">
      <c r="B13" s="553" t="s">
        <v>2782</v>
      </c>
      <c r="C13" s="553"/>
      <c r="D13" s="553"/>
    </row>
    <row r="14" spans="2:10" ht="13.95" customHeight="1" x14ac:dyDescent="0.3">
      <c r="B14" s="394"/>
      <c r="C14" s="394"/>
      <c r="D14" s="394"/>
    </row>
    <row r="15" spans="2:10" ht="13.95" customHeight="1" x14ac:dyDescent="0.3">
      <c r="B15" s="557" t="s">
        <v>2783</v>
      </c>
      <c r="C15" s="557"/>
      <c r="D15" s="557"/>
    </row>
    <row r="16" spans="2:10" ht="13.95" customHeight="1" x14ac:dyDescent="0.3">
      <c r="B16" s="395"/>
      <c r="C16" s="395"/>
      <c r="D16" s="395"/>
    </row>
    <row r="17" spans="2:4" ht="13.95" customHeight="1" x14ac:dyDescent="0.3">
      <c r="B17" s="554" t="s">
        <v>2784</v>
      </c>
      <c r="C17" s="554"/>
      <c r="D17" s="554"/>
    </row>
    <row r="18" spans="2:4" ht="13.95" customHeight="1" x14ac:dyDescent="0.3">
      <c r="B18" s="554"/>
      <c r="C18" s="554"/>
      <c r="D18" s="554"/>
    </row>
    <row r="19" spans="2:4" ht="13.95" customHeight="1" x14ac:dyDescent="0.3">
      <c r="B19" s="553"/>
      <c r="C19" s="553"/>
      <c r="D19" s="553"/>
    </row>
    <row r="20" spans="2:4" ht="13.95" customHeight="1" x14ac:dyDescent="0.3">
      <c r="B20" s="54"/>
      <c r="C20" s="394"/>
      <c r="D20" s="394"/>
    </row>
    <row r="21" spans="2:4" ht="13.95" customHeight="1" x14ac:dyDescent="0.3">
      <c r="B21" s="558" t="s">
        <v>2785</v>
      </c>
      <c r="C21" s="558"/>
      <c r="D21" s="558"/>
    </row>
    <row r="22" spans="2:4" ht="13.95" customHeight="1" x14ac:dyDescent="0.3">
      <c r="B22" s="54"/>
      <c r="C22" s="54"/>
      <c r="D22" s="54"/>
    </row>
    <row r="23" spans="2:4" ht="13.95" customHeight="1" x14ac:dyDescent="0.3">
      <c r="B23" s="553" t="s">
        <v>2786</v>
      </c>
      <c r="C23" s="553"/>
      <c r="D23" s="553"/>
    </row>
    <row r="24" spans="2:4" ht="13.95" customHeight="1" x14ac:dyDescent="0.3">
      <c r="B24" s="62"/>
      <c r="C24" s="396"/>
      <c r="D24" s="62"/>
    </row>
    <row r="25" spans="2:4" ht="13.95" customHeight="1" x14ac:dyDescent="0.3">
      <c r="B25" s="54"/>
      <c r="C25" s="54"/>
      <c r="D25" s="54"/>
    </row>
    <row r="26" spans="2:4" ht="13.95" customHeight="1" x14ac:dyDescent="0.3">
      <c r="B26" s="54"/>
      <c r="C26" s="54"/>
      <c r="D26" s="54"/>
    </row>
    <row r="27" spans="2:4" ht="13.95" customHeight="1" x14ac:dyDescent="0.3">
      <c r="B27" s="54"/>
      <c r="C27" s="54"/>
      <c r="D27" s="54"/>
    </row>
    <row r="28" spans="2:4" ht="13.95" customHeight="1" x14ac:dyDescent="0.3">
      <c r="B28" s="54"/>
      <c r="C28" s="54"/>
      <c r="D28" s="54"/>
    </row>
    <row r="29" spans="2:4" ht="13.95" customHeight="1" x14ac:dyDescent="0.3">
      <c r="B29" s="54"/>
      <c r="C29" s="54"/>
      <c r="D29" s="54"/>
    </row>
    <row r="30" spans="2:4" ht="13.95" customHeight="1" x14ac:dyDescent="0.3">
      <c r="B30" s="54"/>
      <c r="C30" s="54"/>
      <c r="D30" s="54"/>
    </row>
    <row r="31" spans="2:4" ht="13.95" customHeight="1" x14ac:dyDescent="0.3">
      <c r="B31" s="54"/>
      <c r="C31" s="54"/>
      <c r="D31" s="54"/>
    </row>
    <row r="32" spans="2:4" ht="13.95" customHeight="1" x14ac:dyDescent="0.3"/>
    <row r="33" spans="2:4" ht="13.95" customHeight="1" x14ac:dyDescent="0.3">
      <c r="B33" s="371"/>
      <c r="C33" s="371"/>
      <c r="D33" s="371"/>
    </row>
    <row r="34" spans="2:4" ht="13.95" customHeight="1" x14ac:dyDescent="0.3">
      <c r="B34" s="371"/>
      <c r="C34" s="371"/>
      <c r="D34" s="371"/>
    </row>
    <row r="35" spans="2:4" ht="13.95" customHeight="1" x14ac:dyDescent="0.3">
      <c r="B35" s="371"/>
      <c r="C35" s="371"/>
      <c r="D35" s="371"/>
    </row>
    <row r="36" spans="2:4" ht="13.95" customHeight="1" x14ac:dyDescent="0.3">
      <c r="B36" s="371"/>
      <c r="C36" s="371"/>
      <c r="D36" s="371"/>
    </row>
    <row r="37" spans="2:4" ht="13.95" customHeight="1" x14ac:dyDescent="0.3"/>
    <row r="38" spans="2:4" ht="13.95" customHeight="1" x14ac:dyDescent="0.3">
      <c r="B38" s="5"/>
      <c r="C38" s="5"/>
      <c r="D38" s="5"/>
    </row>
    <row r="39" spans="2:4" ht="13.95" customHeight="1" x14ac:dyDescent="0.3"/>
    <row r="40" spans="2:4" ht="13.95" customHeight="1" x14ac:dyDescent="0.3"/>
    <row r="41" spans="2:4" ht="13.95" customHeight="1" x14ac:dyDescent="0.3"/>
    <row r="42" spans="2:4" ht="13.95" customHeight="1" x14ac:dyDescent="0.3"/>
    <row r="43" spans="2:4" ht="13.95" customHeight="1" x14ac:dyDescent="0.3">
      <c r="B43" s="552" t="s">
        <v>2654</v>
      </c>
      <c r="C43" s="552"/>
      <c r="D43" s="552"/>
    </row>
    <row r="44" spans="2:4" ht="13.95" customHeight="1" x14ac:dyDescent="0.3"/>
    <row r="45" spans="2:4" x14ac:dyDescent="0.3">
      <c r="B45" s="551" t="s">
        <v>2793</v>
      </c>
      <c r="C45" s="551"/>
      <c r="D45" s="551"/>
    </row>
  </sheetData>
  <mergeCells count="9">
    <mergeCell ref="B45:D45"/>
    <mergeCell ref="B43:D43"/>
    <mergeCell ref="B23:D23"/>
    <mergeCell ref="B17:D19"/>
    <mergeCell ref="B7:D8"/>
    <mergeCell ref="B10:D11"/>
    <mergeCell ref="B13:D13"/>
    <mergeCell ref="B15:D15"/>
    <mergeCell ref="B21:D21"/>
  </mergeCells>
  <printOptions horizontalCentered="1" verticalCentered="1"/>
  <pageMargins left="0" right="0" top="0" bottom="0" header="0" footer="0"/>
  <pageSetup paperSize="9" scale="86" orientation="landscape" horizontalDpi="1200" verticalDpi="1200" r:id="rId1"/>
  <rowBreaks count="1" manualBreakCount="1">
    <brk id="45" max="9" man="1"/>
  </rowBreaks>
  <colBreaks count="1" manualBreakCount="1">
    <brk id="4" max="49"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D47"/>
  <sheetViews>
    <sheetView zoomScale="70" zoomScaleNormal="70" workbookViewId="0">
      <pane xSplit="1" ySplit="5" topLeftCell="B6" activePane="bottomRight" state="frozen"/>
      <selection pane="topRight" activeCell="B1" sqref="B1"/>
      <selection pane="bottomLeft" activeCell="A6" sqref="A6"/>
      <selection pane="bottomRight"/>
    </sheetView>
  </sheetViews>
  <sheetFormatPr defaultRowHeight="14.4" x14ac:dyDescent="0.3"/>
  <cols>
    <col min="1" max="1" width="2" style="53" customWidth="1"/>
    <col min="2" max="4" width="44.77734375" style="53" customWidth="1"/>
    <col min="5" max="16384" width="8.88671875" style="53"/>
  </cols>
  <sheetData>
    <row r="1" spans="2:4" ht="15.6" x14ac:dyDescent="0.4">
      <c r="B1" s="104" t="s">
        <v>342</v>
      </c>
      <c r="C1" s="105"/>
      <c r="D1" s="105"/>
    </row>
    <row r="2" spans="2:4" ht="23.4" x14ac:dyDescent="0.45">
      <c r="B2" s="106" t="s">
        <v>341</v>
      </c>
      <c r="C2" s="105"/>
      <c r="D2" s="105"/>
    </row>
    <row r="3" spans="2:4" x14ac:dyDescent="0.3">
      <c r="B3" s="105" t="s">
        <v>343</v>
      </c>
      <c r="C3" s="105"/>
      <c r="D3" s="105"/>
    </row>
    <row r="4" spans="2:4" x14ac:dyDescent="0.3">
      <c r="B4" s="3"/>
      <c r="C4" s="3"/>
      <c r="D4" s="3"/>
    </row>
    <row r="5" spans="2:4" x14ac:dyDescent="0.3">
      <c r="B5" s="107" t="s">
        <v>2649</v>
      </c>
      <c r="C5" s="107"/>
      <c r="D5" s="107"/>
    </row>
    <row r="6" spans="2:4" ht="13.95" customHeight="1" x14ac:dyDescent="0.3"/>
    <row r="7" spans="2:4" ht="13.95" customHeight="1" x14ac:dyDescent="0.3">
      <c r="B7" s="559" t="s">
        <v>2958</v>
      </c>
      <c r="C7" s="559"/>
      <c r="D7" s="559"/>
    </row>
    <row r="8" spans="2:4" ht="13.95" customHeight="1" x14ac:dyDescent="0.3">
      <c r="B8" s="62"/>
    </row>
    <row r="9" spans="2:4" ht="13.95" customHeight="1" x14ac:dyDescent="0.3">
      <c r="B9" s="553" t="s">
        <v>2788</v>
      </c>
      <c r="C9" s="553"/>
      <c r="D9" s="553"/>
    </row>
    <row r="10" spans="2:4" ht="13.95" customHeight="1" x14ac:dyDescent="0.3">
      <c r="B10" s="54"/>
      <c r="C10" s="54"/>
      <c r="D10" s="54"/>
    </row>
    <row r="11" spans="2:4" ht="13.95" customHeight="1" x14ac:dyDescent="0.3">
      <c r="B11" s="554" t="s">
        <v>2787</v>
      </c>
      <c r="C11" s="554"/>
      <c r="D11" s="554"/>
    </row>
    <row r="12" spans="2:4" ht="13.95" customHeight="1" x14ac:dyDescent="0.3">
      <c r="B12" s="553"/>
      <c r="C12" s="553"/>
      <c r="D12" s="553"/>
    </row>
    <row r="13" spans="2:4" ht="13.95" customHeight="1" x14ac:dyDescent="0.3">
      <c r="B13" s="54"/>
      <c r="C13" s="54"/>
      <c r="D13" s="54"/>
    </row>
    <row r="14" spans="2:4" ht="13.95" customHeight="1" x14ac:dyDescent="0.3">
      <c r="B14" s="553" t="s">
        <v>2789</v>
      </c>
      <c r="C14" s="553"/>
      <c r="D14" s="553"/>
    </row>
    <row r="15" spans="2:4" ht="13.95" customHeight="1" x14ac:dyDescent="0.3">
      <c r="B15" s="54"/>
      <c r="C15" s="54"/>
      <c r="D15" s="54"/>
    </row>
    <row r="16" spans="2:4" ht="13.95" customHeight="1" x14ac:dyDescent="0.3">
      <c r="B16" s="554" t="s">
        <v>2792</v>
      </c>
      <c r="C16" s="554"/>
      <c r="D16" s="554"/>
    </row>
    <row r="17" spans="2:4" ht="13.95" customHeight="1" x14ac:dyDescent="0.3">
      <c r="B17" s="553"/>
      <c r="C17" s="553"/>
      <c r="D17" s="553"/>
    </row>
    <row r="18" spans="2:4" ht="13.95" customHeight="1" x14ac:dyDescent="0.3">
      <c r="B18" s="62"/>
    </row>
    <row r="19" spans="2:4" ht="13.95" customHeight="1" x14ac:dyDescent="0.3">
      <c r="B19" s="560" t="s">
        <v>2790</v>
      </c>
      <c r="C19" s="560"/>
      <c r="D19" s="560"/>
    </row>
    <row r="20" spans="2:4" ht="13.95" customHeight="1" x14ac:dyDescent="0.3">
      <c r="B20" s="559"/>
      <c r="C20" s="559"/>
      <c r="D20" s="559"/>
    </row>
    <row r="21" spans="2:4" ht="13.95" customHeight="1" x14ac:dyDescent="0.3"/>
    <row r="22" spans="2:4" ht="13.95" customHeight="1" x14ac:dyDescent="0.3">
      <c r="B22" s="560" t="s">
        <v>2791</v>
      </c>
      <c r="C22" s="560"/>
      <c r="D22" s="560"/>
    </row>
    <row r="23" spans="2:4" ht="13.95" customHeight="1" x14ac:dyDescent="0.3">
      <c r="B23" s="559"/>
      <c r="C23" s="559"/>
      <c r="D23" s="559"/>
    </row>
    <row r="24" spans="2:4" ht="13.95" customHeight="1" x14ac:dyDescent="0.3">
      <c r="B24" s="373"/>
      <c r="C24" s="369"/>
    </row>
    <row r="25" spans="2:4" ht="13.95" customHeight="1" x14ac:dyDescent="0.3">
      <c r="B25" s="370"/>
      <c r="C25" s="370"/>
      <c r="D25" s="370"/>
    </row>
    <row r="26" spans="2:4" ht="13.95" customHeight="1" x14ac:dyDescent="0.3">
      <c r="B26" s="370"/>
      <c r="C26" s="370"/>
      <c r="D26" s="370"/>
    </row>
    <row r="27" spans="2:4" ht="13.95" customHeight="1" x14ac:dyDescent="0.3">
      <c r="B27" s="54"/>
      <c r="C27" s="54"/>
      <c r="D27" s="54"/>
    </row>
    <row r="28" spans="2:4" ht="13.95" customHeight="1" x14ac:dyDescent="0.3">
      <c r="B28" s="54"/>
      <c r="C28" s="54"/>
      <c r="D28" s="54"/>
    </row>
    <row r="29" spans="2:4" ht="13.95" customHeight="1" x14ac:dyDescent="0.3">
      <c r="B29" s="368"/>
      <c r="C29" s="369"/>
      <c r="D29" s="5"/>
    </row>
    <row r="30" spans="2:4" ht="13.95" customHeight="1" x14ac:dyDescent="0.3">
      <c r="B30" s="373"/>
      <c r="C30" s="372"/>
    </row>
    <row r="31" spans="2:4" ht="13.95" customHeight="1" x14ac:dyDescent="0.3">
      <c r="B31" s="54"/>
      <c r="C31" s="54"/>
      <c r="D31" s="54"/>
    </row>
    <row r="32" spans="2:4" ht="13.95" customHeight="1" x14ac:dyDescent="0.3">
      <c r="B32" s="54"/>
      <c r="C32" s="54"/>
      <c r="D32" s="54"/>
    </row>
    <row r="33" spans="2:4" ht="13.95" customHeight="1" x14ac:dyDescent="0.3">
      <c r="B33" s="54"/>
      <c r="C33" s="54"/>
      <c r="D33" s="54"/>
    </row>
    <row r="34" spans="2:4" ht="13.95" customHeight="1" x14ac:dyDescent="0.3">
      <c r="B34" s="54"/>
      <c r="C34" s="54"/>
      <c r="D34" s="54"/>
    </row>
    <row r="35" spans="2:4" ht="13.95" customHeight="1" x14ac:dyDescent="0.3">
      <c r="B35" s="54"/>
      <c r="C35" s="54"/>
      <c r="D35" s="54"/>
    </row>
    <row r="36" spans="2:4" ht="13.95" customHeight="1" x14ac:dyDescent="0.3">
      <c r="B36" s="5"/>
    </row>
    <row r="37" spans="2:4" ht="13.95" customHeight="1" x14ac:dyDescent="0.3">
      <c r="C37" s="372"/>
    </row>
    <row r="38" spans="2:4" ht="13.95" customHeight="1" x14ac:dyDescent="0.3">
      <c r="B38" s="370"/>
      <c r="C38" s="370"/>
      <c r="D38" s="370"/>
    </row>
    <row r="39" spans="2:4" ht="13.95" customHeight="1" x14ac:dyDescent="0.3">
      <c r="B39" s="370"/>
      <c r="C39" s="370"/>
      <c r="D39" s="370"/>
    </row>
    <row r="40" spans="2:4" ht="13.95" customHeight="1" x14ac:dyDescent="0.3">
      <c r="B40" s="370"/>
      <c r="C40" s="370"/>
      <c r="D40" s="370"/>
    </row>
    <row r="41" spans="2:4" ht="13.95" customHeight="1" x14ac:dyDescent="0.3">
      <c r="B41" s="552" t="s">
        <v>2654</v>
      </c>
      <c r="C41" s="552"/>
      <c r="D41" s="552"/>
    </row>
    <row r="42" spans="2:4" ht="13.95" customHeight="1" x14ac:dyDescent="0.3">
      <c r="B42" s="5"/>
      <c r="C42" s="5"/>
      <c r="D42" s="5"/>
    </row>
    <row r="43" spans="2:4" ht="13.95" customHeight="1" x14ac:dyDescent="0.3">
      <c r="B43" s="551" t="s">
        <v>2793</v>
      </c>
      <c r="C43" s="551"/>
      <c r="D43" s="551"/>
    </row>
    <row r="44" spans="2:4" ht="13.95" customHeight="1" x14ac:dyDescent="0.3"/>
    <row r="45" spans="2:4" ht="13.95" customHeight="1" x14ac:dyDescent="0.3"/>
    <row r="46" spans="2:4" ht="13.95" customHeight="1" x14ac:dyDescent="0.3"/>
    <row r="47" spans="2:4" ht="13.95" customHeight="1" x14ac:dyDescent="0.3"/>
  </sheetData>
  <mergeCells count="9">
    <mergeCell ref="B43:D43"/>
    <mergeCell ref="B7:D7"/>
    <mergeCell ref="B9:D9"/>
    <mergeCell ref="B11:D12"/>
    <mergeCell ref="B14:D14"/>
    <mergeCell ref="B41:D41"/>
    <mergeCell ref="B16:D17"/>
    <mergeCell ref="B19:D20"/>
    <mergeCell ref="B22:D23"/>
  </mergeCells>
  <printOptions horizontalCentered="1" verticalCentered="1"/>
  <pageMargins left="0" right="0" top="0" bottom="0" header="0" footer="0"/>
  <pageSetup paperSize="9" scale="93" orientation="landscape" horizontalDpi="1200" verticalDpi="1200" r:id="rId1"/>
  <colBreaks count="1" manualBreakCount="1">
    <brk id="4" max="42" man="1"/>
  </col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workbookViewId="0"/>
  </sheetViews>
  <sheetFormatPr defaultRowHeight="14.4" x14ac:dyDescent="0.3"/>
  <cols>
    <col min="1" max="16384" width="8.88671875" style="53"/>
  </cols>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1:P56"/>
  <sheetViews>
    <sheetView tabSelected="1" zoomScale="70" zoomScaleNormal="70" workbookViewId="0">
      <selection activeCell="B2" sqref="B2:G2"/>
    </sheetView>
  </sheetViews>
  <sheetFormatPr defaultRowHeight="14.4" x14ac:dyDescent="0.3"/>
  <cols>
    <col min="1" max="1" width="2" style="53" customWidth="1"/>
    <col min="2" max="7" width="8.88671875" style="53"/>
    <col min="8" max="8" width="2.77734375" style="53" customWidth="1"/>
    <col min="9" max="10" width="8.88671875" style="53"/>
    <col min="11" max="11" width="10.21875" style="53" bestFit="1" customWidth="1"/>
    <col min="12" max="16384" width="8.88671875" style="53"/>
  </cols>
  <sheetData>
    <row r="1" spans="2:13" ht="20.399999999999999" x14ac:dyDescent="0.35">
      <c r="B1" s="581" t="s">
        <v>2678</v>
      </c>
      <c r="C1" s="581"/>
      <c r="D1" s="581"/>
      <c r="E1" s="581"/>
      <c r="F1" s="581"/>
      <c r="G1" s="581"/>
      <c r="I1" s="127"/>
      <c r="J1" s="127"/>
      <c r="K1" s="127"/>
      <c r="L1" s="127"/>
      <c r="M1" s="127"/>
    </row>
    <row r="2" spans="2:13" ht="30" x14ac:dyDescent="0.3">
      <c r="B2" s="582" t="s">
        <v>2679</v>
      </c>
      <c r="C2" s="582"/>
      <c r="D2" s="582"/>
      <c r="E2" s="582"/>
      <c r="F2" s="582"/>
      <c r="G2" s="582"/>
      <c r="I2" s="127"/>
      <c r="J2" s="127"/>
      <c r="K2" s="127"/>
      <c r="L2" s="127"/>
      <c r="M2" s="127"/>
    </row>
    <row r="3" spans="2:13" ht="18" x14ac:dyDescent="0.35">
      <c r="B3" s="583" t="s">
        <v>342</v>
      </c>
      <c r="C3" s="583"/>
      <c r="D3" s="583"/>
      <c r="E3" s="583"/>
      <c r="F3" s="583"/>
      <c r="G3" s="583"/>
      <c r="I3" s="127"/>
      <c r="J3" s="127"/>
      <c r="K3" s="127"/>
      <c r="L3" s="127"/>
      <c r="M3" s="127"/>
    </row>
    <row r="4" spans="2:13" x14ac:dyDescent="0.3">
      <c r="B4" s="68"/>
      <c r="C4" s="68"/>
      <c r="D4" s="68"/>
      <c r="E4" s="68"/>
      <c r="F4" s="68"/>
      <c r="G4" s="68"/>
      <c r="I4" s="127"/>
      <c r="J4" s="127"/>
      <c r="K4" s="127"/>
      <c r="L4" s="127"/>
      <c r="M4" s="127"/>
    </row>
    <row r="5" spans="2:13" x14ac:dyDescent="0.3">
      <c r="I5" s="127"/>
      <c r="J5" s="127"/>
      <c r="K5" s="127"/>
      <c r="L5" s="127"/>
      <c r="M5" s="127"/>
    </row>
    <row r="6" spans="2:13" ht="17.399999999999999" x14ac:dyDescent="0.3">
      <c r="B6" s="584" t="s">
        <v>2680</v>
      </c>
      <c r="C6" s="584"/>
      <c r="D6" s="584"/>
      <c r="E6" s="397"/>
      <c r="F6" s="397"/>
      <c r="G6" s="397"/>
      <c r="I6" s="127"/>
      <c r="J6" s="127"/>
      <c r="K6" s="127"/>
      <c r="L6" s="127"/>
      <c r="M6" s="127"/>
    </row>
    <row r="7" spans="2:13" x14ac:dyDescent="0.3">
      <c r="B7" s="569" t="s">
        <v>2707</v>
      </c>
      <c r="C7" s="569"/>
      <c r="D7" s="569"/>
      <c r="E7" s="569"/>
      <c r="F7" s="569"/>
      <c r="G7" s="569"/>
      <c r="I7" s="578" t="s">
        <v>2681</v>
      </c>
      <c r="J7" s="578"/>
      <c r="K7" s="578"/>
      <c r="L7" s="587" t="str">
        <f>IF($L$9&gt;$L$8,"BUY","SELL")</f>
        <v>BUY</v>
      </c>
      <c r="M7" s="587"/>
    </row>
    <row r="8" spans="2:13" x14ac:dyDescent="0.3">
      <c r="B8" s="569"/>
      <c r="C8" s="569"/>
      <c r="D8" s="569"/>
      <c r="E8" s="569"/>
      <c r="F8" s="569"/>
      <c r="G8" s="569"/>
      <c r="I8" s="578" t="s">
        <v>280</v>
      </c>
      <c r="J8" s="578"/>
      <c r="K8" s="578"/>
      <c r="L8" s="588">
        <f>'FOOTBALL FIELD ANALYSIS'!$G$15</f>
        <v>11499</v>
      </c>
      <c r="M8" s="588"/>
    </row>
    <row r="9" spans="2:13" x14ac:dyDescent="0.3">
      <c r="B9" s="569"/>
      <c r="C9" s="569"/>
      <c r="D9" s="569"/>
      <c r="E9" s="569"/>
      <c r="F9" s="569"/>
      <c r="G9" s="569"/>
      <c r="I9" s="578" t="s">
        <v>2682</v>
      </c>
      <c r="J9" s="578"/>
      <c r="K9" s="578"/>
      <c r="L9" s="588">
        <v>13837</v>
      </c>
      <c r="M9" s="588"/>
    </row>
    <row r="10" spans="2:13" x14ac:dyDescent="0.3">
      <c r="B10" s="569"/>
      <c r="C10" s="569"/>
      <c r="D10" s="569"/>
      <c r="E10" s="569"/>
      <c r="F10" s="569"/>
      <c r="G10" s="569"/>
      <c r="I10" s="578" t="s">
        <v>2683</v>
      </c>
      <c r="J10" s="578"/>
      <c r="K10" s="578"/>
      <c r="L10" s="579">
        <f>(($L$9-$L$8)/$L$8)</f>
        <v>0.20332202800243498</v>
      </c>
      <c r="M10" s="580"/>
    </row>
    <row r="11" spans="2:13" x14ac:dyDescent="0.3">
      <c r="B11" s="569"/>
      <c r="C11" s="569"/>
      <c r="D11" s="569"/>
      <c r="E11" s="569"/>
      <c r="F11" s="569"/>
      <c r="G11" s="569"/>
      <c r="I11" s="398"/>
      <c r="J11" s="398"/>
      <c r="K11" s="398"/>
      <c r="L11" s="398"/>
      <c r="M11" s="398"/>
    </row>
    <row r="12" spans="2:13" x14ac:dyDescent="0.3">
      <c r="B12" s="569"/>
      <c r="C12" s="569"/>
      <c r="D12" s="569"/>
      <c r="E12" s="569"/>
      <c r="F12" s="569"/>
      <c r="G12" s="569"/>
      <c r="I12" s="571" t="s">
        <v>2840</v>
      </c>
      <c r="J12" s="571"/>
      <c r="K12" s="571"/>
      <c r="L12" s="571"/>
      <c r="M12" s="571"/>
    </row>
    <row r="13" spans="2:13" x14ac:dyDescent="0.3">
      <c r="B13" s="569"/>
      <c r="C13" s="569"/>
      <c r="D13" s="569"/>
      <c r="E13" s="569"/>
      <c r="F13" s="569"/>
      <c r="G13" s="569"/>
      <c r="I13" s="399"/>
      <c r="J13" s="399"/>
      <c r="K13" s="399"/>
      <c r="L13" s="399"/>
      <c r="M13" s="399"/>
    </row>
    <row r="14" spans="2:13" x14ac:dyDescent="0.3">
      <c r="B14" s="569"/>
      <c r="C14" s="569"/>
      <c r="D14" s="569"/>
      <c r="E14" s="569"/>
      <c r="F14" s="569"/>
      <c r="G14" s="569"/>
      <c r="I14" s="400" t="s">
        <v>2684</v>
      </c>
      <c r="J14" s="400"/>
      <c r="K14" s="401"/>
      <c r="L14" s="585">
        <v>26027</v>
      </c>
      <c r="M14" s="573"/>
    </row>
    <row r="15" spans="2:13" x14ac:dyDescent="0.3">
      <c r="B15" s="569"/>
      <c r="C15" s="569"/>
      <c r="D15" s="569"/>
      <c r="E15" s="569"/>
      <c r="F15" s="569"/>
      <c r="G15" s="569"/>
      <c r="I15" s="561" t="s">
        <v>2685</v>
      </c>
      <c r="J15" s="561"/>
      <c r="K15" s="562"/>
      <c r="L15" s="586" t="s">
        <v>2706</v>
      </c>
      <c r="M15" s="564"/>
    </row>
    <row r="16" spans="2:13" x14ac:dyDescent="0.3">
      <c r="B16" s="569"/>
      <c r="C16" s="569"/>
      <c r="D16" s="569"/>
      <c r="E16" s="569"/>
      <c r="F16" s="569"/>
      <c r="G16" s="569"/>
      <c r="I16" s="561" t="s">
        <v>2686</v>
      </c>
      <c r="J16" s="561"/>
      <c r="K16" s="562"/>
      <c r="L16" s="576">
        <f>'KEY FINANCIAL RATIOS'!$G$19</f>
        <v>344909.05011456151</v>
      </c>
      <c r="M16" s="577"/>
    </row>
    <row r="17" spans="2:13" x14ac:dyDescent="0.3">
      <c r="B17" s="569"/>
      <c r="C17" s="569"/>
      <c r="D17" s="569"/>
      <c r="E17" s="569"/>
      <c r="F17" s="569"/>
      <c r="G17" s="569"/>
      <c r="I17" s="561" t="s">
        <v>2687</v>
      </c>
      <c r="J17" s="561"/>
      <c r="K17" s="562"/>
      <c r="L17" s="576">
        <f>'INCOME STATEMENT'!$G$44</f>
        <v>29.99561253839029</v>
      </c>
      <c r="M17" s="577"/>
    </row>
    <row r="18" spans="2:13" x14ac:dyDescent="0.3">
      <c r="B18" s="569"/>
      <c r="C18" s="569"/>
      <c r="D18" s="569"/>
      <c r="E18" s="569"/>
      <c r="F18" s="569"/>
      <c r="G18" s="569"/>
      <c r="I18" s="561" t="s">
        <v>2688</v>
      </c>
      <c r="J18" s="561"/>
      <c r="K18" s="562"/>
      <c r="L18" s="563">
        <f>'KEY FINANCIAL RATIOS'!$G$32</f>
        <v>5.8305225662592698E-3</v>
      </c>
      <c r="M18" s="564"/>
    </row>
    <row r="19" spans="2:13" x14ac:dyDescent="0.3">
      <c r="B19" s="569"/>
      <c r="C19" s="569"/>
      <c r="D19" s="569"/>
      <c r="E19" s="569"/>
      <c r="F19" s="569"/>
      <c r="G19" s="569"/>
      <c r="I19" s="404" t="s">
        <v>2689</v>
      </c>
      <c r="J19" s="404"/>
      <c r="K19" s="405"/>
      <c r="L19" s="565" t="str">
        <f>'RELATIVE VALUATION'!$C$11</f>
        <v>ULTRACEMCO</v>
      </c>
      <c r="M19" s="566"/>
    </row>
    <row r="20" spans="2:13" ht="7.05" customHeight="1" x14ac:dyDescent="0.3">
      <c r="B20" s="370"/>
      <c r="C20" s="370"/>
      <c r="D20" s="370"/>
      <c r="E20" s="370"/>
      <c r="F20" s="370"/>
      <c r="G20" s="370"/>
      <c r="I20" s="127"/>
      <c r="J20" s="127"/>
      <c r="K20" s="127"/>
      <c r="L20" s="127"/>
      <c r="M20" s="127"/>
    </row>
    <row r="21" spans="2:13" ht="17.399999999999999" x14ac:dyDescent="0.3">
      <c r="B21" s="567" t="s">
        <v>2690</v>
      </c>
      <c r="C21" s="567"/>
      <c r="D21" s="567"/>
      <c r="E21" s="567"/>
      <c r="F21" s="370"/>
      <c r="G21" s="370"/>
      <c r="I21" s="568" t="s">
        <v>2743</v>
      </c>
      <c r="J21" s="568"/>
      <c r="K21" s="568"/>
      <c r="L21" s="568"/>
      <c r="M21" s="568"/>
    </row>
    <row r="22" spans="2:13" x14ac:dyDescent="0.3">
      <c r="B22" s="569" t="s">
        <v>2968</v>
      </c>
      <c r="C22" s="570"/>
      <c r="D22" s="570"/>
      <c r="E22" s="570"/>
      <c r="F22" s="570"/>
      <c r="G22" s="570"/>
      <c r="I22" s="127"/>
      <c r="J22" s="127"/>
      <c r="K22" s="127"/>
      <c r="L22" s="127"/>
      <c r="M22" s="127"/>
    </row>
    <row r="23" spans="2:13" x14ac:dyDescent="0.3">
      <c r="B23" s="570"/>
      <c r="C23" s="570"/>
      <c r="D23" s="570"/>
      <c r="E23" s="570"/>
      <c r="F23" s="570"/>
      <c r="G23" s="570"/>
      <c r="I23" s="127"/>
      <c r="J23" s="127"/>
      <c r="K23" s="127"/>
      <c r="L23" s="127"/>
      <c r="M23" s="127"/>
    </row>
    <row r="24" spans="2:13" x14ac:dyDescent="0.3">
      <c r="B24" s="570"/>
      <c r="C24" s="570"/>
      <c r="D24" s="570"/>
      <c r="E24" s="570"/>
      <c r="F24" s="570"/>
      <c r="G24" s="570"/>
      <c r="I24" s="127"/>
      <c r="J24" s="127"/>
      <c r="K24" s="127"/>
      <c r="L24" s="127"/>
      <c r="M24" s="127"/>
    </row>
    <row r="25" spans="2:13" x14ac:dyDescent="0.3">
      <c r="B25" s="570"/>
      <c r="C25" s="570"/>
      <c r="D25" s="570"/>
      <c r="E25" s="570"/>
      <c r="F25" s="570"/>
      <c r="G25" s="570"/>
      <c r="I25" s="127"/>
      <c r="J25" s="127"/>
      <c r="K25" s="127"/>
      <c r="L25" s="127"/>
      <c r="M25" s="127"/>
    </row>
    <row r="26" spans="2:13" x14ac:dyDescent="0.3">
      <c r="B26" s="570"/>
      <c r="C26" s="570"/>
      <c r="D26" s="570"/>
      <c r="E26" s="570"/>
      <c r="F26" s="570"/>
      <c r="G26" s="570"/>
      <c r="I26" s="127"/>
      <c r="J26" s="127"/>
      <c r="K26" s="127"/>
      <c r="L26" s="127"/>
      <c r="M26" s="127"/>
    </row>
    <row r="27" spans="2:13" x14ac:dyDescent="0.3">
      <c r="B27" s="570"/>
      <c r="C27" s="570"/>
      <c r="D27" s="570"/>
      <c r="E27" s="570"/>
      <c r="F27" s="570"/>
      <c r="G27" s="570"/>
      <c r="I27" s="127"/>
      <c r="J27" s="127"/>
      <c r="K27" s="127"/>
      <c r="L27" s="127"/>
      <c r="M27" s="127"/>
    </row>
    <row r="28" spans="2:13" x14ac:dyDescent="0.3">
      <c r="B28" s="570"/>
      <c r="C28" s="570"/>
      <c r="D28" s="570"/>
      <c r="E28" s="570"/>
      <c r="F28" s="570"/>
      <c r="G28" s="570"/>
      <c r="I28" s="127"/>
      <c r="J28" s="127"/>
      <c r="K28" s="127"/>
      <c r="L28" s="127"/>
      <c r="M28" s="127"/>
    </row>
    <row r="29" spans="2:13" x14ac:dyDescent="0.3">
      <c r="B29" s="570"/>
      <c r="C29" s="570"/>
      <c r="D29" s="570"/>
      <c r="E29" s="570"/>
      <c r="F29" s="570"/>
      <c r="G29" s="570"/>
      <c r="I29" s="127"/>
      <c r="J29" s="127"/>
      <c r="K29" s="127"/>
      <c r="L29" s="127"/>
      <c r="M29" s="127"/>
    </row>
    <row r="30" spans="2:13" x14ac:dyDescent="0.3">
      <c r="B30" s="570"/>
      <c r="C30" s="570"/>
      <c r="D30" s="570"/>
      <c r="E30" s="570"/>
      <c r="F30" s="570"/>
      <c r="G30" s="570"/>
      <c r="I30" s="127"/>
      <c r="J30" s="127"/>
      <c r="K30" s="127"/>
      <c r="L30" s="127"/>
      <c r="M30" s="127"/>
    </row>
    <row r="31" spans="2:13" x14ac:dyDescent="0.3">
      <c r="B31" s="570"/>
      <c r="C31" s="570"/>
      <c r="D31" s="570"/>
      <c r="E31" s="570"/>
      <c r="F31" s="570"/>
      <c r="G31" s="570"/>
      <c r="I31" s="127"/>
      <c r="J31" s="127"/>
      <c r="K31" s="127"/>
      <c r="L31" s="127"/>
      <c r="M31" s="127"/>
    </row>
    <row r="32" spans="2:13" x14ac:dyDescent="0.3">
      <c r="B32" s="570"/>
      <c r="C32" s="570"/>
      <c r="D32" s="570"/>
      <c r="E32" s="570"/>
      <c r="F32" s="570"/>
      <c r="G32" s="570"/>
      <c r="I32" s="406"/>
      <c r="J32" s="406"/>
      <c r="K32" s="406"/>
      <c r="L32" s="406"/>
      <c r="M32" s="406"/>
    </row>
    <row r="33" spans="2:16" x14ac:dyDescent="0.3">
      <c r="B33" s="570"/>
      <c r="C33" s="570"/>
      <c r="D33" s="570"/>
      <c r="E33" s="570"/>
      <c r="F33" s="570"/>
      <c r="G33" s="570"/>
      <c r="I33" s="127"/>
      <c r="J33" s="127"/>
      <c r="K33" s="407" t="s">
        <v>2740</v>
      </c>
      <c r="L33" s="407" t="s">
        <v>2741</v>
      </c>
      <c r="M33" s="407" t="s">
        <v>2742</v>
      </c>
    </row>
    <row r="34" spans="2:16" x14ac:dyDescent="0.3">
      <c r="B34" s="570"/>
      <c r="C34" s="570"/>
      <c r="D34" s="570"/>
      <c r="E34" s="570"/>
      <c r="F34" s="570"/>
      <c r="G34" s="570"/>
      <c r="I34" s="571" t="s">
        <v>2691</v>
      </c>
      <c r="J34" s="571"/>
      <c r="K34" s="423">
        <f>'DATA HISTORICAL'!$C$46/'DATA HISTORICAL'!$C$59-1</f>
        <v>-8.8259496190905562E-3</v>
      </c>
      <c r="L34" s="423">
        <f>'DATA HISTORICAL'!$C$33/'DATA HISTORICAL'!$C$59-1</f>
        <v>-0.10382767499270029</v>
      </c>
      <c r="M34" s="423">
        <f>'DATA HISTORICAL'!$C$6/'DATA HISTORICAL'!$C$59-1</f>
        <v>0.12662472681584513</v>
      </c>
      <c r="N34" s="49"/>
    </row>
    <row r="35" spans="2:16" x14ac:dyDescent="0.3">
      <c r="B35" s="570"/>
      <c r="C35" s="570"/>
      <c r="D35" s="570"/>
      <c r="E35" s="570"/>
      <c r="F35" s="570"/>
      <c r="G35" s="570"/>
      <c r="I35" s="398"/>
      <c r="J35" s="398"/>
      <c r="K35" s="398"/>
      <c r="L35" s="398"/>
      <c r="M35" s="398"/>
    </row>
    <row r="36" spans="2:16" x14ac:dyDescent="0.3">
      <c r="B36" s="570"/>
      <c r="C36" s="570"/>
      <c r="D36" s="570"/>
      <c r="E36" s="570"/>
      <c r="F36" s="570"/>
      <c r="G36" s="570"/>
      <c r="I36" s="571" t="s">
        <v>2692</v>
      </c>
      <c r="J36" s="571"/>
      <c r="K36" s="571"/>
      <c r="L36" s="571"/>
      <c r="M36" s="571"/>
    </row>
    <row r="37" spans="2:16" x14ac:dyDescent="0.3">
      <c r="B37" s="570"/>
      <c r="C37" s="570"/>
      <c r="D37" s="570"/>
      <c r="E37" s="570"/>
      <c r="F37" s="570"/>
      <c r="G37" s="570"/>
      <c r="I37" s="398" t="s">
        <v>2693</v>
      </c>
      <c r="J37" s="398"/>
      <c r="K37" s="401"/>
      <c r="L37" s="572">
        <v>0.59230000000000005</v>
      </c>
      <c r="M37" s="573"/>
    </row>
    <row r="38" spans="2:16" x14ac:dyDescent="0.3">
      <c r="B38" s="570"/>
      <c r="C38" s="570"/>
      <c r="D38" s="570"/>
      <c r="E38" s="570"/>
      <c r="F38" s="570"/>
      <c r="G38" s="570"/>
      <c r="I38" s="398" t="s">
        <v>2694</v>
      </c>
      <c r="J38" s="398"/>
      <c r="K38" s="408"/>
      <c r="L38" s="574">
        <v>0.1517</v>
      </c>
      <c r="M38" s="564"/>
    </row>
    <row r="39" spans="2:16" x14ac:dyDescent="0.3">
      <c r="B39" s="570"/>
      <c r="C39" s="570"/>
      <c r="D39" s="570"/>
      <c r="E39" s="570"/>
      <c r="F39" s="570"/>
      <c r="G39" s="570"/>
      <c r="I39" s="398" t="s">
        <v>2695</v>
      </c>
      <c r="J39" s="398"/>
      <c r="K39" s="408"/>
      <c r="L39" s="574">
        <v>0.16789999999999999</v>
      </c>
      <c r="M39" s="564"/>
    </row>
    <row r="40" spans="2:16" x14ac:dyDescent="0.3">
      <c r="B40" s="570"/>
      <c r="C40" s="570"/>
      <c r="D40" s="570"/>
      <c r="E40" s="570"/>
      <c r="F40" s="570"/>
      <c r="G40" s="570"/>
      <c r="I40" s="398" t="s">
        <v>2696</v>
      </c>
      <c r="J40" s="398"/>
      <c r="K40" s="408"/>
      <c r="L40" s="574">
        <v>8.5699999999999998E-2</v>
      </c>
      <c r="M40" s="564"/>
    </row>
    <row r="41" spans="2:16" x14ac:dyDescent="0.3">
      <c r="B41" s="570"/>
      <c r="C41" s="570"/>
      <c r="D41" s="570"/>
      <c r="E41" s="570"/>
      <c r="F41" s="570"/>
      <c r="G41" s="570"/>
      <c r="I41" s="398" t="s">
        <v>2697</v>
      </c>
      <c r="J41" s="398"/>
      <c r="K41" s="408"/>
      <c r="L41" s="574">
        <v>5.0000000000000001E-4</v>
      </c>
      <c r="M41" s="564"/>
    </row>
    <row r="42" spans="2:16" x14ac:dyDescent="0.3">
      <c r="B42" s="570"/>
      <c r="C42" s="570"/>
      <c r="D42" s="570"/>
      <c r="E42" s="570"/>
      <c r="F42" s="570"/>
      <c r="G42" s="570"/>
      <c r="I42" s="404" t="s">
        <v>2557</v>
      </c>
      <c r="J42" s="404"/>
      <c r="K42" s="405"/>
      <c r="L42" s="575">
        <v>1.8E-3</v>
      </c>
      <c r="M42" s="566"/>
    </row>
    <row r="43" spans="2:16" x14ac:dyDescent="0.3">
      <c r="B43" s="570"/>
      <c r="C43" s="570"/>
      <c r="D43" s="570"/>
      <c r="E43" s="570"/>
      <c r="F43" s="570"/>
      <c r="G43" s="570"/>
      <c r="I43" s="398"/>
      <c r="J43" s="398"/>
      <c r="K43" s="398"/>
      <c r="L43" s="398"/>
      <c r="M43" s="398"/>
    </row>
    <row r="44" spans="2:16" x14ac:dyDescent="0.3">
      <c r="B44" s="570"/>
      <c r="C44" s="570"/>
      <c r="D44" s="570"/>
      <c r="E44" s="570"/>
      <c r="F44" s="570"/>
      <c r="G44" s="570"/>
      <c r="I44" s="571" t="s">
        <v>2698</v>
      </c>
      <c r="J44" s="571"/>
      <c r="K44" s="409" t="s">
        <v>2705</v>
      </c>
      <c r="L44" s="409" t="s">
        <v>2699</v>
      </c>
      <c r="M44" s="409" t="s">
        <v>2802</v>
      </c>
    </row>
    <row r="45" spans="2:16" x14ac:dyDescent="0.3">
      <c r="B45" s="570"/>
      <c r="C45" s="570"/>
      <c r="D45" s="570"/>
      <c r="E45" s="570"/>
      <c r="F45" s="570"/>
      <c r="G45" s="570"/>
      <c r="I45" s="561" t="s">
        <v>2700</v>
      </c>
      <c r="J45" s="562"/>
      <c r="K45" s="410">
        <f>'INCOME STATEMENT'!E$14</f>
        <v>63743.060000000005</v>
      </c>
      <c r="L45" s="410">
        <f>'INCOME STATEMENT'!F$14</f>
        <v>71525</v>
      </c>
      <c r="M45" s="402">
        <f>'INCOME STATEMENT'!G$14</f>
        <v>76699</v>
      </c>
    </row>
    <row r="46" spans="2:16" x14ac:dyDescent="0.3">
      <c r="B46" s="570"/>
      <c r="C46" s="570"/>
      <c r="D46" s="570"/>
      <c r="E46" s="570"/>
      <c r="F46" s="570"/>
      <c r="G46" s="570"/>
      <c r="I46" s="561" t="s">
        <v>7</v>
      </c>
      <c r="J46" s="562"/>
      <c r="K46" s="411">
        <f>'INCOME STATEMENT'!E$30</f>
        <v>11122.930000000002</v>
      </c>
      <c r="L46" s="411">
        <f>'INCOME STATEMENT'!F$30</f>
        <v>13588</v>
      </c>
      <c r="M46" s="403">
        <f>'INCOME STATEMENT'!G$30</f>
        <v>13305</v>
      </c>
    </row>
    <row r="47" spans="2:16" x14ac:dyDescent="0.3">
      <c r="B47" s="570"/>
      <c r="C47" s="570"/>
      <c r="D47" s="570"/>
      <c r="E47" s="570"/>
      <c r="F47" s="570"/>
      <c r="G47" s="570"/>
      <c r="I47" s="561" t="s">
        <v>159</v>
      </c>
      <c r="J47" s="562"/>
      <c r="K47" s="412">
        <f>'RATIO ANALYSIS'!E$17</f>
        <v>0.17449632948277038</v>
      </c>
      <c r="L47" s="412">
        <f>'RATIO ANALYSIS'!F$17</f>
        <v>0.18997553303040896</v>
      </c>
      <c r="M47" s="415">
        <f>'RATIO ANALYSIS'!G$17</f>
        <v>0.17347031903936166</v>
      </c>
      <c r="N47" s="416"/>
      <c r="O47" s="416"/>
      <c r="P47" s="416"/>
    </row>
    <row r="48" spans="2:16" x14ac:dyDescent="0.3">
      <c r="B48" s="570"/>
      <c r="C48" s="570"/>
      <c r="D48" s="570"/>
      <c r="E48" s="570"/>
      <c r="F48" s="570"/>
      <c r="G48" s="570"/>
      <c r="I48" s="561" t="s">
        <v>12</v>
      </c>
      <c r="J48" s="562"/>
      <c r="K48" s="411">
        <f>'INCOME STATEMENT'!E$42</f>
        <v>5069.3700000000026</v>
      </c>
      <c r="L48" s="411">
        <f>'INCOME STATEMENT'!F$42</f>
        <v>7057</v>
      </c>
      <c r="M48" s="403">
        <f>'INCOME STATEMENT'!G$42</f>
        <v>6153</v>
      </c>
    </row>
    <row r="49" spans="2:13" x14ac:dyDescent="0.3">
      <c r="B49" s="570"/>
      <c r="C49" s="570"/>
      <c r="D49" s="570"/>
      <c r="E49" s="570"/>
      <c r="F49" s="570"/>
      <c r="G49" s="570"/>
      <c r="I49" s="561" t="s">
        <v>2701</v>
      </c>
      <c r="J49" s="562"/>
      <c r="K49" s="413">
        <f>'INCOME STATEMENT'!E$45</f>
        <v>175.54</v>
      </c>
      <c r="L49" s="413">
        <f>'INCOME STATEMENT'!F$45</f>
        <v>242.87</v>
      </c>
      <c r="M49" s="417">
        <f>'INCOME STATEMENT'!G$45</f>
        <v>205.13</v>
      </c>
    </row>
    <row r="50" spans="2:13" x14ac:dyDescent="0.3">
      <c r="B50" s="570"/>
      <c r="C50" s="570"/>
      <c r="D50" s="570"/>
      <c r="E50" s="570"/>
      <c r="F50" s="570"/>
      <c r="G50" s="570"/>
      <c r="I50" s="561" t="s">
        <v>245</v>
      </c>
      <c r="J50" s="562"/>
      <c r="K50" s="414">
        <f>'KEY FINANCIAL RATIOS'!E$12</f>
        <v>39.643670958186171</v>
      </c>
      <c r="L50" s="414">
        <f>'KEY FINANCIAL RATIOS'!F$12</f>
        <v>43.245563470169223</v>
      </c>
      <c r="M50" s="418">
        <f>'KEY FINANCIAL RATIOS'!G$12</f>
        <v>56.055428265002682</v>
      </c>
    </row>
    <row r="51" spans="2:13" x14ac:dyDescent="0.3">
      <c r="B51" s="570"/>
      <c r="C51" s="570"/>
      <c r="D51" s="570"/>
      <c r="E51" s="570"/>
      <c r="F51" s="570"/>
      <c r="G51" s="570"/>
      <c r="I51" s="561" t="s">
        <v>486</v>
      </c>
      <c r="J51" s="562"/>
      <c r="K51" s="414">
        <f>'KEY FINANCIAL RATIOS'!E$17</f>
        <v>3.6994042884725826</v>
      </c>
      <c r="L51" s="414">
        <f>'KEY FINANCIAL RATIOS'!F$17</f>
        <v>5.067312147726633</v>
      </c>
      <c r="M51" s="418">
        <f>'KEY FINANCIAL RATIOS'!G$17</f>
        <v>4.8781422829299412</v>
      </c>
    </row>
    <row r="52" spans="2:13" x14ac:dyDescent="0.3">
      <c r="B52" s="570"/>
      <c r="C52" s="570"/>
      <c r="D52" s="570"/>
      <c r="E52" s="570"/>
      <c r="F52" s="570"/>
      <c r="G52" s="570"/>
      <c r="I52" s="561" t="s">
        <v>2702</v>
      </c>
      <c r="J52" s="562"/>
      <c r="K52" s="414">
        <f>'KEY FINANCIAL RATIOS'!E$22</f>
        <v>3.1527892800455506</v>
      </c>
      <c r="L52" s="414">
        <f>'KEY FINANCIAL RATIOS'!F$22</f>
        <v>4.2668149795034491</v>
      </c>
      <c r="M52" s="418">
        <f>'KEY FINANCIAL RATIOS'!G$22</f>
        <v>4.4969171712090317</v>
      </c>
    </row>
    <row r="53" spans="2:13" x14ac:dyDescent="0.3">
      <c r="B53" s="570"/>
      <c r="C53" s="570"/>
      <c r="D53" s="570"/>
      <c r="E53" s="570"/>
      <c r="F53" s="570"/>
      <c r="G53" s="570"/>
      <c r="I53" s="561" t="s">
        <v>2703</v>
      </c>
      <c r="J53" s="562"/>
      <c r="K53" s="412">
        <f>'RATIO ANALYSIS'!E$28</f>
        <v>9.3316390714030945E-2</v>
      </c>
      <c r="L53" s="412">
        <f>'RATIO ANALYSIS'!F$28</f>
        <v>0.11717530634609637</v>
      </c>
      <c r="M53" s="415">
        <f>'RATIO ANALYSIS'!G$28</f>
        <v>8.7023548546778864E-2</v>
      </c>
    </row>
    <row r="54" spans="2:13" x14ac:dyDescent="0.3">
      <c r="B54" s="570"/>
      <c r="C54" s="570"/>
      <c r="D54" s="570"/>
      <c r="E54" s="570"/>
      <c r="F54" s="570"/>
      <c r="G54" s="570"/>
      <c r="I54" s="561" t="s">
        <v>2704</v>
      </c>
      <c r="J54" s="562"/>
      <c r="K54" s="412">
        <f>'RATIO ANALYSIS'!E$26</f>
        <v>0.12052719726633254</v>
      </c>
      <c r="L54" s="412">
        <f>'RATIO ANALYSIS'!F$26</f>
        <v>0.14143698787837747</v>
      </c>
      <c r="M54" s="415">
        <f>'RATIO ANALYSIS'!G$26</f>
        <v>9.4669913695601224E-2</v>
      </c>
    </row>
    <row r="56" spans="2:13" x14ac:dyDescent="0.3">
      <c r="B56" s="127"/>
      <c r="C56" s="127"/>
      <c r="D56" s="127"/>
      <c r="E56" s="127"/>
      <c r="F56" s="127"/>
      <c r="G56" s="127"/>
      <c r="H56" s="127"/>
      <c r="I56" s="127"/>
      <c r="J56" s="127"/>
      <c r="K56" s="127"/>
      <c r="L56" s="127"/>
      <c r="M56" s="127"/>
    </row>
  </sheetData>
  <mergeCells count="46">
    <mergeCell ref="I7:K7"/>
    <mergeCell ref="I12:M12"/>
    <mergeCell ref="L14:M14"/>
    <mergeCell ref="I15:K15"/>
    <mergeCell ref="L15:M15"/>
    <mergeCell ref="L7:M7"/>
    <mergeCell ref="I8:K8"/>
    <mergeCell ref="L8:M8"/>
    <mergeCell ref="I9:K9"/>
    <mergeCell ref="L9:M9"/>
    <mergeCell ref="B1:G1"/>
    <mergeCell ref="B2:G2"/>
    <mergeCell ref="B3:G3"/>
    <mergeCell ref="B6:D6"/>
    <mergeCell ref="B7:G19"/>
    <mergeCell ref="I16:K16"/>
    <mergeCell ref="L16:M16"/>
    <mergeCell ref="I17:K17"/>
    <mergeCell ref="L17:M17"/>
    <mergeCell ref="I10:K10"/>
    <mergeCell ref="L10:M10"/>
    <mergeCell ref="I18:K18"/>
    <mergeCell ref="L18:M18"/>
    <mergeCell ref="I47:J47"/>
    <mergeCell ref="L19:M19"/>
    <mergeCell ref="B21:E21"/>
    <mergeCell ref="I21:M21"/>
    <mergeCell ref="B22:G54"/>
    <mergeCell ref="I34:J34"/>
    <mergeCell ref="I36:M36"/>
    <mergeCell ref="L37:M37"/>
    <mergeCell ref="L38:M38"/>
    <mergeCell ref="L39:M39"/>
    <mergeCell ref="L40:M40"/>
    <mergeCell ref="L41:M41"/>
    <mergeCell ref="L42:M42"/>
    <mergeCell ref="I44:J44"/>
    <mergeCell ref="I45:J45"/>
    <mergeCell ref="I46:J46"/>
    <mergeCell ref="I54:J54"/>
    <mergeCell ref="I48:J48"/>
    <mergeCell ref="I49:J49"/>
    <mergeCell ref="I50:J50"/>
    <mergeCell ref="I51:J51"/>
    <mergeCell ref="I52:J52"/>
    <mergeCell ref="I53:J53"/>
  </mergeCells>
  <printOptions horizontalCentered="1" verticalCentered="1"/>
  <pageMargins left="0" right="0" top="0" bottom="0" header="0" footer="0"/>
  <pageSetup paperSize="9" scale="95" orientation="portrait" horizontalDpi="1200" verticalDpi="1200" r:id="rId1"/>
  <colBreaks count="1" manualBreakCount="1">
    <brk id="13" max="1048575" man="1"/>
  </col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1:Q56"/>
  <sheetViews>
    <sheetView zoomScale="70" zoomScaleNormal="70" workbookViewId="0"/>
  </sheetViews>
  <sheetFormatPr defaultRowHeight="14.4" x14ac:dyDescent="0.3"/>
  <cols>
    <col min="1" max="1" width="2" style="53" customWidth="1"/>
    <col min="2" max="16384" width="8.88671875" style="53"/>
  </cols>
  <sheetData>
    <row r="1" spans="2:13" x14ac:dyDescent="0.3">
      <c r="B1" s="614" t="s">
        <v>2679</v>
      </c>
      <c r="C1" s="614"/>
      <c r="D1" s="614"/>
      <c r="E1" s="614"/>
      <c r="F1" s="614"/>
      <c r="G1" s="614"/>
      <c r="H1" s="614"/>
      <c r="I1" s="614"/>
      <c r="J1" s="614"/>
      <c r="K1" s="127"/>
      <c r="L1" s="127"/>
      <c r="M1" s="127"/>
    </row>
    <row r="2" spans="2:13" x14ac:dyDescent="0.3">
      <c r="B2" s="614"/>
      <c r="C2" s="614"/>
      <c r="D2" s="614"/>
      <c r="E2" s="614"/>
      <c r="F2" s="614"/>
      <c r="G2" s="614"/>
      <c r="H2" s="614"/>
      <c r="I2" s="614"/>
      <c r="J2" s="614"/>
      <c r="K2" s="127"/>
      <c r="L2" s="127"/>
      <c r="M2" s="127"/>
    </row>
    <row r="3" spans="2:13" x14ac:dyDescent="0.3">
      <c r="B3" s="614"/>
      <c r="C3" s="614"/>
      <c r="D3" s="614"/>
      <c r="E3" s="614"/>
      <c r="F3" s="614"/>
      <c r="G3" s="614"/>
      <c r="H3" s="614"/>
      <c r="I3" s="614"/>
      <c r="J3" s="614"/>
      <c r="K3" s="127"/>
      <c r="L3" s="127"/>
      <c r="M3" s="127"/>
    </row>
    <row r="4" spans="2:13" x14ac:dyDescent="0.3">
      <c r="B4" s="614"/>
      <c r="C4" s="614"/>
      <c r="D4" s="614"/>
      <c r="E4" s="614"/>
      <c r="F4" s="614"/>
      <c r="G4" s="614"/>
      <c r="H4" s="614"/>
      <c r="I4" s="614"/>
      <c r="J4" s="614"/>
      <c r="K4" s="127"/>
      <c r="L4" s="127"/>
      <c r="M4" s="127"/>
    </row>
    <row r="6" spans="2:13" ht="17.399999999999999" x14ac:dyDescent="0.3">
      <c r="B6" s="611" t="s">
        <v>2799</v>
      </c>
      <c r="C6" s="611"/>
      <c r="D6" s="611"/>
      <c r="E6" s="611"/>
      <c r="F6" s="611"/>
      <c r="G6" s="420"/>
      <c r="H6" s="420"/>
      <c r="I6" s="420"/>
      <c r="J6" s="420"/>
      <c r="K6" s="420"/>
      <c r="L6" s="420"/>
      <c r="M6" s="420"/>
    </row>
    <row r="8" spans="2:13" ht="30" customHeight="1" x14ac:dyDescent="0.65">
      <c r="B8" s="615" t="s">
        <v>2708</v>
      </c>
      <c r="C8" s="615"/>
      <c r="D8" s="615"/>
    </row>
    <row r="9" spans="2:13" ht="30" customHeight="1" x14ac:dyDescent="0.65">
      <c r="B9" s="615" t="s">
        <v>2709</v>
      </c>
      <c r="C9" s="615"/>
      <c r="D9" s="615"/>
      <c r="E9" s="612" t="s">
        <v>2714</v>
      </c>
      <c r="F9" s="612"/>
      <c r="G9" s="612"/>
    </row>
    <row r="10" spans="2:13" ht="30" customHeight="1" x14ac:dyDescent="0.65">
      <c r="B10" s="615" t="s">
        <v>2710</v>
      </c>
      <c r="C10" s="615"/>
      <c r="D10" s="615"/>
      <c r="E10" s="606" t="s">
        <v>2841</v>
      </c>
      <c r="F10" s="606"/>
      <c r="G10" s="606"/>
      <c r="H10" s="602" t="s">
        <v>2714</v>
      </c>
      <c r="I10" s="602"/>
      <c r="J10" s="602"/>
    </row>
    <row r="11" spans="2:13" ht="30" customHeight="1" x14ac:dyDescent="0.6">
      <c r="B11" s="604" t="s">
        <v>2761</v>
      </c>
      <c r="C11" s="604"/>
      <c r="D11" s="604"/>
      <c r="E11" s="601" t="s">
        <v>2716</v>
      </c>
      <c r="F11" s="601"/>
      <c r="G11" s="601"/>
      <c r="H11" s="603" t="s">
        <v>2717</v>
      </c>
      <c r="I11" s="603"/>
      <c r="J11" s="603"/>
      <c r="K11" s="608" t="s">
        <v>2718</v>
      </c>
      <c r="L11" s="608"/>
      <c r="M11" s="608"/>
    </row>
    <row r="12" spans="2:13" ht="14.4" customHeight="1" x14ac:dyDescent="0.3">
      <c r="B12" s="604"/>
      <c r="C12" s="604"/>
      <c r="D12" s="604"/>
      <c r="E12" s="601"/>
      <c r="F12" s="601"/>
      <c r="G12" s="601"/>
      <c r="H12" s="420"/>
      <c r="I12" s="420"/>
      <c r="J12" s="420"/>
      <c r="K12" s="609" t="s">
        <v>2720</v>
      </c>
      <c r="L12" s="609"/>
      <c r="M12" s="609"/>
    </row>
    <row r="13" spans="2:13" ht="14.4" customHeight="1" x14ac:dyDescent="0.3">
      <c r="B13" s="604"/>
      <c r="C13" s="604"/>
      <c r="D13" s="604"/>
      <c r="E13" s="601"/>
      <c r="F13" s="601"/>
      <c r="G13" s="601"/>
      <c r="H13" s="420"/>
      <c r="I13" s="420"/>
      <c r="J13" s="420"/>
      <c r="K13" s="609"/>
      <c r="L13" s="609"/>
      <c r="M13" s="609"/>
    </row>
    <row r="14" spans="2:13" ht="30" customHeight="1" x14ac:dyDescent="0.65">
      <c r="B14" s="604"/>
      <c r="C14" s="604"/>
      <c r="D14" s="604"/>
      <c r="E14" s="613" t="s">
        <v>2714</v>
      </c>
      <c r="F14" s="613"/>
      <c r="G14" s="613"/>
      <c r="H14" s="420"/>
      <c r="I14" s="420"/>
      <c r="J14" s="420"/>
      <c r="K14" s="609" t="s">
        <v>2719</v>
      </c>
      <c r="L14" s="609"/>
      <c r="M14" s="609"/>
    </row>
    <row r="15" spans="2:13" ht="30" customHeight="1" x14ac:dyDescent="0.65">
      <c r="B15" s="604"/>
      <c r="C15" s="604"/>
      <c r="D15" s="604"/>
      <c r="E15" s="613" t="s">
        <v>2715</v>
      </c>
      <c r="F15" s="613"/>
      <c r="G15" s="613"/>
      <c r="H15" s="420"/>
      <c r="I15" s="420"/>
      <c r="J15" s="420"/>
      <c r="K15" s="610"/>
      <c r="L15" s="610"/>
      <c r="M15" s="610"/>
    </row>
    <row r="16" spans="2:13" ht="14.4" customHeight="1" x14ac:dyDescent="0.3">
      <c r="B16" s="604"/>
      <c r="C16" s="604"/>
      <c r="D16" s="604"/>
      <c r="E16" s="601" t="s">
        <v>2760</v>
      </c>
      <c r="F16" s="601"/>
      <c r="G16" s="601"/>
      <c r="H16" s="420"/>
      <c r="I16" s="420"/>
      <c r="J16" s="420"/>
      <c r="K16" s="610"/>
      <c r="L16" s="610"/>
      <c r="M16" s="610"/>
    </row>
    <row r="17" spans="2:13" x14ac:dyDescent="0.3">
      <c r="B17" s="604"/>
      <c r="C17" s="604"/>
      <c r="D17" s="604"/>
      <c r="E17" s="601"/>
      <c r="F17" s="601"/>
      <c r="G17" s="601"/>
      <c r="H17" s="420"/>
      <c r="I17" s="420"/>
      <c r="J17" s="420"/>
      <c r="K17" s="610"/>
      <c r="L17" s="610"/>
      <c r="M17" s="610"/>
    </row>
    <row r="18" spans="2:13" x14ac:dyDescent="0.3">
      <c r="B18" s="604"/>
      <c r="C18" s="604"/>
      <c r="D18" s="604"/>
      <c r="E18" s="601"/>
      <c r="F18" s="601"/>
      <c r="G18" s="601"/>
      <c r="H18" s="420"/>
      <c r="I18" s="420"/>
      <c r="J18" s="420"/>
      <c r="K18" s="610"/>
      <c r="L18" s="610"/>
      <c r="M18" s="610"/>
    </row>
    <row r="19" spans="2:13" x14ac:dyDescent="0.3">
      <c r="B19" s="604"/>
      <c r="C19" s="604"/>
      <c r="D19" s="604"/>
      <c r="E19" s="601"/>
      <c r="F19" s="601"/>
      <c r="G19" s="601"/>
      <c r="H19" s="420"/>
      <c r="I19" s="420"/>
      <c r="J19" s="420"/>
      <c r="K19" s="610"/>
      <c r="L19" s="610"/>
      <c r="M19" s="610"/>
    </row>
    <row r="20" spans="2:13" x14ac:dyDescent="0.3">
      <c r="B20" s="604"/>
      <c r="C20" s="604"/>
      <c r="D20" s="604"/>
      <c r="E20" s="601"/>
      <c r="F20" s="601"/>
      <c r="G20" s="601"/>
      <c r="H20" s="420"/>
      <c r="I20" s="420"/>
      <c r="J20" s="420"/>
      <c r="K20" s="610"/>
      <c r="L20" s="610"/>
      <c r="M20" s="610"/>
    </row>
    <row r="21" spans="2:13" x14ac:dyDescent="0.3">
      <c r="B21" s="604"/>
      <c r="C21" s="604"/>
      <c r="D21" s="604"/>
      <c r="E21" s="601"/>
      <c r="F21" s="601"/>
      <c r="G21" s="601"/>
      <c r="H21" s="420"/>
      <c r="I21" s="420"/>
      <c r="J21" s="420"/>
      <c r="K21" s="610"/>
      <c r="L21" s="610"/>
      <c r="M21" s="610"/>
    </row>
    <row r="22" spans="2:13" x14ac:dyDescent="0.3">
      <c r="B22" s="604"/>
      <c r="C22" s="604"/>
      <c r="D22" s="604"/>
      <c r="E22" s="601"/>
      <c r="F22" s="601"/>
      <c r="G22" s="601"/>
      <c r="H22" s="420"/>
      <c r="I22" s="420"/>
      <c r="J22" s="420"/>
      <c r="K22" s="610"/>
      <c r="L22" s="610"/>
      <c r="M22" s="610"/>
    </row>
    <row r="23" spans="2:13" x14ac:dyDescent="0.3">
      <c r="B23" s="604"/>
      <c r="C23" s="604"/>
      <c r="D23" s="604"/>
      <c r="E23" s="601"/>
      <c r="F23" s="601"/>
      <c r="G23" s="601"/>
      <c r="H23" s="420"/>
      <c r="I23" s="420"/>
      <c r="J23" s="420"/>
      <c r="K23" s="610"/>
      <c r="L23" s="610"/>
      <c r="M23" s="610"/>
    </row>
    <row r="24" spans="2:13" x14ac:dyDescent="0.3">
      <c r="B24" s="604"/>
      <c r="C24" s="604"/>
      <c r="D24" s="604"/>
      <c r="E24" s="419"/>
      <c r="F24" s="419"/>
      <c r="G24" s="419"/>
      <c r="H24" s="420"/>
      <c r="I24" s="420"/>
      <c r="J24" s="420"/>
      <c r="K24" s="610"/>
      <c r="L24" s="610"/>
      <c r="M24" s="610"/>
    </row>
    <row r="25" spans="2:13" ht="30" customHeight="1" x14ac:dyDescent="0.6">
      <c r="B25" s="605" t="s">
        <v>2713</v>
      </c>
      <c r="C25" s="605"/>
      <c r="D25" s="605"/>
      <c r="E25" s="419"/>
      <c r="F25" s="419"/>
      <c r="G25" s="419"/>
      <c r="H25" s="420"/>
      <c r="I25" s="420"/>
      <c r="J25" s="420"/>
    </row>
    <row r="26" spans="2:13" x14ac:dyDescent="0.3">
      <c r="B26" s="561" t="s">
        <v>2711</v>
      </c>
      <c r="C26" s="561"/>
      <c r="D26" s="561"/>
      <c r="E26" s="419"/>
      <c r="F26" s="419"/>
      <c r="G26" s="419"/>
    </row>
    <row r="27" spans="2:13" x14ac:dyDescent="0.3">
      <c r="B27" s="561" t="s">
        <v>2712</v>
      </c>
      <c r="C27" s="561"/>
      <c r="D27" s="561"/>
    </row>
    <row r="29" spans="2:13" ht="17.399999999999999" x14ac:dyDescent="0.3">
      <c r="B29" s="611" t="s">
        <v>2842</v>
      </c>
      <c r="C29" s="611"/>
      <c r="D29" s="611"/>
      <c r="E29" s="611"/>
      <c r="F29" s="420"/>
      <c r="G29" s="420"/>
      <c r="H29" s="420"/>
      <c r="I29" s="420"/>
      <c r="J29" s="420"/>
      <c r="K29" s="420"/>
      <c r="L29" s="420"/>
      <c r="M29" s="420"/>
    </row>
    <row r="31" spans="2:13" ht="30" customHeight="1" x14ac:dyDescent="0.6">
      <c r="B31" s="589" t="s">
        <v>2721</v>
      </c>
      <c r="C31" s="589"/>
      <c r="D31" s="589"/>
      <c r="E31" s="589"/>
      <c r="F31" s="589"/>
      <c r="G31" s="589"/>
      <c r="J31" s="607"/>
      <c r="K31" s="607"/>
      <c r="L31" s="607"/>
      <c r="M31" s="607"/>
    </row>
    <row r="32" spans="2:13" ht="30" customHeight="1" x14ac:dyDescent="0.6">
      <c r="B32" s="589" t="s">
        <v>2722</v>
      </c>
      <c r="C32" s="589"/>
      <c r="D32" s="589"/>
      <c r="E32" s="589"/>
      <c r="F32" s="589"/>
      <c r="G32" s="589"/>
      <c r="J32" s="599"/>
      <c r="K32" s="600"/>
      <c r="L32" s="598"/>
      <c r="M32" s="598"/>
    </row>
    <row r="33" spans="2:13" x14ac:dyDescent="0.3">
      <c r="B33" s="590" t="s">
        <v>2803</v>
      </c>
      <c r="C33" s="590"/>
      <c r="D33" s="590"/>
      <c r="E33" s="590"/>
      <c r="F33" s="420"/>
      <c r="G33" s="420"/>
      <c r="J33" s="599"/>
      <c r="K33" s="600"/>
      <c r="L33" s="598"/>
      <c r="M33" s="598"/>
    </row>
    <row r="34" spans="2:13" ht="14.4" customHeight="1" x14ac:dyDescent="0.3">
      <c r="B34" s="590"/>
      <c r="C34" s="590"/>
      <c r="D34" s="590"/>
      <c r="E34" s="590"/>
      <c r="F34" s="420"/>
      <c r="G34" s="420"/>
      <c r="J34" s="599"/>
      <c r="K34" s="600"/>
      <c r="L34" s="598"/>
      <c r="M34" s="598"/>
    </row>
    <row r="35" spans="2:13" x14ac:dyDescent="0.3">
      <c r="B35" s="590"/>
      <c r="C35" s="590"/>
      <c r="D35" s="590"/>
      <c r="E35" s="590"/>
      <c r="F35" s="420"/>
      <c r="G35" s="420"/>
      <c r="J35" s="599"/>
      <c r="K35" s="600"/>
      <c r="L35" s="598"/>
      <c r="M35" s="598"/>
    </row>
    <row r="36" spans="2:13" x14ac:dyDescent="0.3">
      <c r="B36" s="590"/>
      <c r="C36" s="590"/>
      <c r="D36" s="590"/>
      <c r="E36" s="590"/>
      <c r="F36" s="420"/>
      <c r="G36" s="420"/>
      <c r="J36" s="599"/>
      <c r="K36" s="600"/>
      <c r="L36" s="598"/>
      <c r="M36" s="598"/>
    </row>
    <row r="37" spans="2:13" x14ac:dyDescent="0.3">
      <c r="B37" s="590"/>
      <c r="C37" s="590"/>
      <c r="D37" s="590"/>
      <c r="E37" s="590"/>
      <c r="F37" s="420"/>
      <c r="G37" s="420"/>
    </row>
    <row r="38" spans="2:13" ht="30" x14ac:dyDescent="0.5">
      <c r="B38" s="590"/>
      <c r="C38" s="590"/>
      <c r="D38" s="590"/>
      <c r="E38" s="590"/>
      <c r="F38" s="420"/>
      <c r="G38" s="420"/>
      <c r="H38" s="594" t="s">
        <v>2730</v>
      </c>
      <c r="I38" s="594"/>
      <c r="J38" s="594"/>
      <c r="K38" s="594"/>
      <c r="L38" s="594"/>
      <c r="M38" s="594"/>
    </row>
    <row r="39" spans="2:13" x14ac:dyDescent="0.3">
      <c r="B39" s="590"/>
      <c r="C39" s="590"/>
      <c r="D39" s="590"/>
      <c r="E39" s="590"/>
      <c r="F39" s="420"/>
      <c r="G39" s="420"/>
      <c r="H39" s="593" t="s">
        <v>2804</v>
      </c>
      <c r="I39" s="593"/>
      <c r="J39" s="593"/>
      <c r="K39" s="593"/>
      <c r="L39" s="593"/>
      <c r="M39" s="593"/>
    </row>
    <row r="40" spans="2:13" x14ac:dyDescent="0.3">
      <c r="B40" s="590"/>
      <c r="C40" s="590"/>
      <c r="D40" s="590"/>
      <c r="E40" s="590"/>
      <c r="F40" s="420"/>
      <c r="G40" s="420"/>
      <c r="H40" s="593"/>
      <c r="I40" s="593"/>
      <c r="J40" s="593"/>
      <c r="K40" s="593"/>
      <c r="L40" s="593"/>
      <c r="M40" s="593"/>
    </row>
    <row r="41" spans="2:13" x14ac:dyDescent="0.3">
      <c r="B41" s="420"/>
      <c r="C41" s="420"/>
      <c r="D41" s="420"/>
      <c r="E41" s="420"/>
      <c r="F41" s="420"/>
      <c r="G41" s="420"/>
      <c r="H41" s="593"/>
      <c r="I41" s="593"/>
      <c r="J41" s="593"/>
      <c r="K41" s="593"/>
      <c r="L41" s="593"/>
      <c r="M41" s="593"/>
    </row>
    <row r="42" spans="2:13" ht="24.6" x14ac:dyDescent="0.4">
      <c r="B42" s="420"/>
      <c r="C42" s="420"/>
      <c r="D42" s="420"/>
      <c r="E42" s="420"/>
      <c r="F42" s="421"/>
      <c r="G42" s="421"/>
      <c r="H42" s="595" t="s">
        <v>2731</v>
      </c>
      <c r="I42" s="595"/>
      <c r="J42" s="595"/>
      <c r="K42" s="595"/>
      <c r="L42" s="595"/>
      <c r="M42" s="595"/>
    </row>
    <row r="43" spans="2:13" x14ac:dyDescent="0.3">
      <c r="B43" s="420"/>
      <c r="C43" s="420"/>
      <c r="D43" s="420"/>
      <c r="E43" s="420"/>
      <c r="F43" s="421"/>
      <c r="G43" s="421"/>
      <c r="H43" s="596" t="s">
        <v>2732</v>
      </c>
      <c r="I43" s="596"/>
      <c r="J43" s="596"/>
      <c r="K43" s="596"/>
      <c r="L43" s="596"/>
      <c r="M43" s="596"/>
    </row>
    <row r="44" spans="2:13" ht="24.6" x14ac:dyDescent="0.4">
      <c r="B44" s="420"/>
      <c r="C44" s="420"/>
      <c r="D44" s="420"/>
      <c r="E44" s="420"/>
      <c r="F44" s="421"/>
      <c r="G44" s="421"/>
      <c r="H44" s="595" t="s">
        <v>2733</v>
      </c>
      <c r="I44" s="595"/>
      <c r="J44" s="595"/>
      <c r="K44" s="595"/>
      <c r="L44" s="595"/>
      <c r="M44" s="595"/>
    </row>
    <row r="45" spans="2:13" x14ac:dyDescent="0.3">
      <c r="F45" s="397"/>
      <c r="G45" s="397"/>
      <c r="H45" s="597" t="s">
        <v>2734</v>
      </c>
      <c r="I45" s="597"/>
      <c r="J45" s="597"/>
      <c r="K45" s="597"/>
      <c r="L45" s="597"/>
      <c r="M45" s="597"/>
    </row>
    <row r="46" spans="2:13" ht="25.05" customHeight="1" x14ac:dyDescent="0.4">
      <c r="F46" s="594" t="s">
        <v>2723</v>
      </c>
      <c r="G46" s="594"/>
      <c r="H46" s="595" t="s">
        <v>2735</v>
      </c>
      <c r="I46" s="595"/>
      <c r="J46" s="595"/>
      <c r="K46" s="595"/>
      <c r="L46" s="595"/>
      <c r="M46" s="595"/>
    </row>
    <row r="47" spans="2:13" ht="14.4" customHeight="1" x14ac:dyDescent="0.3">
      <c r="F47" s="594"/>
      <c r="G47" s="594"/>
      <c r="H47" s="597" t="s">
        <v>2737</v>
      </c>
      <c r="I47" s="597"/>
      <c r="J47" s="597"/>
      <c r="K47" s="597"/>
      <c r="L47" s="597"/>
      <c r="M47" s="597"/>
    </row>
    <row r="48" spans="2:13" ht="24.6" x14ac:dyDescent="0.4">
      <c r="F48" s="591" t="s">
        <v>2724</v>
      </c>
      <c r="G48" s="591"/>
      <c r="H48" s="595" t="s">
        <v>2875</v>
      </c>
      <c r="I48" s="595"/>
      <c r="J48" s="595"/>
      <c r="K48" s="595"/>
      <c r="L48" s="595"/>
      <c r="M48" s="595"/>
    </row>
    <row r="49" spans="2:17" x14ac:dyDescent="0.3">
      <c r="F49" s="397" t="s">
        <v>2725</v>
      </c>
      <c r="G49" s="397"/>
      <c r="H49" s="597" t="s">
        <v>2736</v>
      </c>
      <c r="I49" s="597"/>
      <c r="J49" s="597"/>
      <c r="K49" s="597"/>
      <c r="L49" s="597"/>
      <c r="M49" s="597"/>
      <c r="Q49"/>
    </row>
    <row r="50" spans="2:17" ht="24.6" x14ac:dyDescent="0.4">
      <c r="F50" s="591" t="s">
        <v>2726</v>
      </c>
      <c r="G50" s="591"/>
      <c r="H50" s="595">
        <v>1350</v>
      </c>
      <c r="I50" s="595"/>
      <c r="J50" s="595"/>
      <c r="K50" s="595"/>
      <c r="L50" s="595"/>
      <c r="M50" s="595"/>
    </row>
    <row r="51" spans="2:17" x14ac:dyDescent="0.3">
      <c r="F51" s="397" t="s">
        <v>2727</v>
      </c>
      <c r="G51" s="397"/>
      <c r="H51" s="597" t="s">
        <v>2738</v>
      </c>
      <c r="I51" s="597"/>
      <c r="J51" s="597"/>
      <c r="K51" s="597"/>
      <c r="L51" s="597"/>
      <c r="M51" s="597"/>
    </row>
    <row r="52" spans="2:17" ht="24.6" x14ac:dyDescent="0.4">
      <c r="F52" s="591" t="s">
        <v>2728</v>
      </c>
      <c r="G52" s="591"/>
      <c r="H52" s="595" t="s">
        <v>2876</v>
      </c>
      <c r="I52" s="595"/>
      <c r="J52" s="595"/>
      <c r="K52" s="595"/>
      <c r="L52" s="595"/>
      <c r="M52" s="595"/>
    </row>
    <row r="53" spans="2:17" x14ac:dyDescent="0.3">
      <c r="F53" s="592" t="s">
        <v>2729</v>
      </c>
      <c r="G53" s="592"/>
      <c r="H53" s="597" t="s">
        <v>2739</v>
      </c>
      <c r="I53" s="597"/>
      <c r="J53" s="597"/>
      <c r="K53" s="597"/>
      <c r="L53" s="597"/>
      <c r="M53" s="597"/>
    </row>
    <row r="56" spans="2:17" x14ac:dyDescent="0.3">
      <c r="B56" s="127"/>
      <c r="C56" s="127"/>
      <c r="D56" s="127"/>
      <c r="E56" s="127"/>
      <c r="F56" s="127"/>
      <c r="G56" s="127"/>
      <c r="H56" s="127"/>
      <c r="I56" s="127"/>
      <c r="J56" s="127"/>
      <c r="K56" s="127"/>
      <c r="L56" s="127"/>
      <c r="M56" s="127"/>
    </row>
  </sheetData>
  <mergeCells count="55">
    <mergeCell ref="E9:G9"/>
    <mergeCell ref="E14:G14"/>
    <mergeCell ref="E15:G15"/>
    <mergeCell ref="B1:J4"/>
    <mergeCell ref="B8:D8"/>
    <mergeCell ref="B9:D9"/>
    <mergeCell ref="B10:D10"/>
    <mergeCell ref="B6:F6"/>
    <mergeCell ref="B31:G31"/>
    <mergeCell ref="E16:G23"/>
    <mergeCell ref="H10:J10"/>
    <mergeCell ref="H11:J11"/>
    <mergeCell ref="E11:G13"/>
    <mergeCell ref="B11:D24"/>
    <mergeCell ref="B26:D26"/>
    <mergeCell ref="B27:D27"/>
    <mergeCell ref="B25:D25"/>
    <mergeCell ref="E10:G10"/>
    <mergeCell ref="J31:M31"/>
    <mergeCell ref="K11:M11"/>
    <mergeCell ref="K12:M13"/>
    <mergeCell ref="K14:M14"/>
    <mergeCell ref="K15:M24"/>
    <mergeCell ref="B29:E29"/>
    <mergeCell ref="L36:M36"/>
    <mergeCell ref="L35:M35"/>
    <mergeCell ref="L34:M34"/>
    <mergeCell ref="L33:M33"/>
    <mergeCell ref="J32:K32"/>
    <mergeCell ref="J33:K33"/>
    <mergeCell ref="J34:K34"/>
    <mergeCell ref="J35:K35"/>
    <mergeCell ref="J36:K36"/>
    <mergeCell ref="L32:M32"/>
    <mergeCell ref="F50:G50"/>
    <mergeCell ref="H44:M44"/>
    <mergeCell ref="H45:M45"/>
    <mergeCell ref="F46:G47"/>
    <mergeCell ref="H46:M46"/>
    <mergeCell ref="B32:G32"/>
    <mergeCell ref="B33:E40"/>
    <mergeCell ref="F52:G52"/>
    <mergeCell ref="F53:G53"/>
    <mergeCell ref="H39:M41"/>
    <mergeCell ref="H38:M38"/>
    <mergeCell ref="H42:M42"/>
    <mergeCell ref="H43:M43"/>
    <mergeCell ref="H47:M47"/>
    <mergeCell ref="H48:M48"/>
    <mergeCell ref="H50:M50"/>
    <mergeCell ref="H52:M52"/>
    <mergeCell ref="H53:M53"/>
    <mergeCell ref="H51:M51"/>
    <mergeCell ref="H49:M49"/>
    <mergeCell ref="F48:G48"/>
  </mergeCells>
  <printOptions horizontalCentered="1" verticalCentered="1"/>
  <pageMargins left="0" right="0" top="0" bottom="0" header="0" footer="0"/>
  <pageSetup paperSize="9" scale="78" orientation="portrait" horizontalDpi="1200" verticalDpi="1200" r:id="rId1"/>
  <colBreaks count="1" manualBreakCount="1">
    <brk id="17" max="1048575" man="1"/>
  </col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1:M64"/>
  <sheetViews>
    <sheetView zoomScale="70" zoomScaleNormal="70" workbookViewId="0"/>
  </sheetViews>
  <sheetFormatPr defaultRowHeight="13.8" x14ac:dyDescent="0.25"/>
  <cols>
    <col min="1" max="1" width="2" style="397" customWidth="1"/>
    <col min="2" max="16384" width="8.88671875" style="397"/>
  </cols>
  <sheetData>
    <row r="1" spans="2:13" x14ac:dyDescent="0.25">
      <c r="B1" s="614" t="s">
        <v>2679</v>
      </c>
      <c r="C1" s="614"/>
      <c r="D1" s="614"/>
      <c r="E1" s="614"/>
      <c r="F1" s="614"/>
      <c r="G1" s="614"/>
      <c r="H1" s="614"/>
      <c r="I1" s="614"/>
      <c r="J1" s="614"/>
      <c r="K1" s="398"/>
      <c r="L1" s="398"/>
      <c r="M1" s="398"/>
    </row>
    <row r="2" spans="2:13" x14ac:dyDescent="0.25">
      <c r="B2" s="614"/>
      <c r="C2" s="614"/>
      <c r="D2" s="614"/>
      <c r="E2" s="614"/>
      <c r="F2" s="614"/>
      <c r="G2" s="614"/>
      <c r="H2" s="614"/>
      <c r="I2" s="614"/>
      <c r="J2" s="614"/>
      <c r="K2" s="398"/>
      <c r="L2" s="398"/>
      <c r="M2" s="398"/>
    </row>
    <row r="3" spans="2:13" x14ac:dyDescent="0.25">
      <c r="B3" s="614"/>
      <c r="C3" s="614"/>
      <c r="D3" s="614"/>
      <c r="E3" s="614"/>
      <c r="F3" s="614"/>
      <c r="G3" s="614"/>
      <c r="H3" s="614"/>
      <c r="I3" s="614"/>
      <c r="J3" s="614"/>
      <c r="K3" s="398"/>
      <c r="L3" s="398"/>
      <c r="M3" s="398"/>
    </row>
    <row r="4" spans="2:13" x14ac:dyDescent="0.25">
      <c r="B4" s="614"/>
      <c r="C4" s="614"/>
      <c r="D4" s="614"/>
      <c r="E4" s="614"/>
      <c r="F4" s="614"/>
      <c r="G4" s="614"/>
      <c r="H4" s="614"/>
      <c r="I4" s="614"/>
      <c r="J4" s="614"/>
      <c r="K4" s="398"/>
      <c r="L4" s="398"/>
      <c r="M4" s="398"/>
    </row>
    <row r="6" spans="2:13" ht="17.399999999999999" x14ac:dyDescent="0.3">
      <c r="B6" s="619" t="s">
        <v>2967</v>
      </c>
      <c r="C6" s="619"/>
      <c r="D6" s="619"/>
      <c r="E6" s="619"/>
      <c r="F6" s="619"/>
      <c r="G6" s="619"/>
      <c r="H6" s="511"/>
      <c r="I6" s="511"/>
      <c r="J6" s="511"/>
      <c r="K6" s="511"/>
      <c r="L6" s="511"/>
      <c r="M6" s="511"/>
    </row>
    <row r="7" spans="2:13" ht="13.95" customHeight="1" thickBot="1" x14ac:dyDescent="0.35">
      <c r="B7" s="463"/>
      <c r="C7" s="463"/>
      <c r="D7" s="463"/>
      <c r="E7" s="463"/>
      <c r="F7" s="463"/>
      <c r="G7" s="463"/>
      <c r="H7" s="463"/>
      <c r="I7" s="463"/>
      <c r="J7" s="463"/>
      <c r="K7" s="463"/>
      <c r="L7" s="463"/>
      <c r="M7" s="463"/>
    </row>
    <row r="8" spans="2:13" ht="13.95" customHeight="1" x14ac:dyDescent="0.3">
      <c r="B8" s="620" t="s">
        <v>2878</v>
      </c>
      <c r="C8" s="621"/>
      <c r="D8" s="621"/>
      <c r="E8" s="621"/>
      <c r="F8" s="621"/>
      <c r="G8" s="622"/>
      <c r="H8" s="463"/>
      <c r="I8" s="463"/>
      <c r="J8" s="463"/>
      <c r="K8" s="463"/>
      <c r="L8" s="463"/>
      <c r="M8" s="463"/>
    </row>
    <row r="9" spans="2:13" ht="13.95" customHeight="1" thickBot="1" x14ac:dyDescent="0.35">
      <c r="B9" s="623"/>
      <c r="C9" s="624"/>
      <c r="D9" s="624"/>
      <c r="E9" s="624"/>
      <c r="F9" s="624"/>
      <c r="G9" s="625"/>
      <c r="H9" s="463"/>
      <c r="I9" s="463"/>
      <c r="J9" s="463"/>
      <c r="K9" s="463"/>
      <c r="L9" s="463"/>
      <c r="M9" s="463"/>
    </row>
    <row r="11" spans="2:13" x14ac:dyDescent="0.25">
      <c r="B11" s="618" t="s">
        <v>2843</v>
      </c>
      <c r="C11" s="618"/>
      <c r="D11" s="618"/>
      <c r="E11" s="618"/>
      <c r="F11" s="618"/>
      <c r="G11" s="618"/>
    </row>
    <row r="13" spans="2:13" ht="13.8" customHeight="1" x14ac:dyDescent="0.25">
      <c r="B13" s="617" t="s">
        <v>2844</v>
      </c>
      <c r="C13" s="617"/>
      <c r="D13" s="617"/>
      <c r="E13" s="617"/>
      <c r="F13" s="617"/>
      <c r="G13" s="617"/>
    </row>
    <row r="14" spans="2:13" x14ac:dyDescent="0.25">
      <c r="B14" s="617"/>
      <c r="C14" s="617"/>
      <c r="D14" s="617"/>
      <c r="E14" s="617"/>
      <c r="F14" s="617"/>
      <c r="G14" s="617"/>
    </row>
    <row r="15" spans="2:13" x14ac:dyDescent="0.25">
      <c r="B15" s="617"/>
      <c r="C15" s="617"/>
      <c r="D15" s="617"/>
      <c r="E15" s="617"/>
      <c r="F15" s="617"/>
      <c r="G15" s="617"/>
    </row>
    <row r="16" spans="2:13" x14ac:dyDescent="0.25">
      <c r="B16" s="617"/>
      <c r="C16" s="617"/>
      <c r="D16" s="617"/>
      <c r="E16" s="617"/>
      <c r="F16" s="617"/>
      <c r="G16" s="617"/>
    </row>
    <row r="17" spans="2:13" x14ac:dyDescent="0.25">
      <c r="B17" s="460"/>
      <c r="C17" s="460"/>
      <c r="D17" s="460"/>
      <c r="E17" s="460"/>
      <c r="F17" s="460"/>
      <c r="G17" s="460"/>
      <c r="H17" s="461"/>
      <c r="I17" s="461"/>
      <c r="J17" s="461"/>
      <c r="K17" s="461"/>
      <c r="L17" s="461"/>
      <c r="M17" s="461"/>
    </row>
    <row r="18" spans="2:13" x14ac:dyDescent="0.25">
      <c r="B18" s="459"/>
      <c r="C18" s="459"/>
      <c r="D18" s="459"/>
      <c r="E18" s="459"/>
      <c r="F18" s="459"/>
      <c r="G18" s="459"/>
    </row>
    <row r="19" spans="2:13" x14ac:dyDescent="0.25">
      <c r="B19" s="618" t="s">
        <v>2845</v>
      </c>
      <c r="C19" s="618"/>
      <c r="D19" s="618"/>
      <c r="E19" s="618"/>
      <c r="F19" s="618"/>
      <c r="G19" s="618"/>
    </row>
    <row r="21" spans="2:13" ht="13.8" customHeight="1" x14ac:dyDescent="0.25">
      <c r="B21" s="617" t="s">
        <v>2846</v>
      </c>
      <c r="C21" s="617"/>
      <c r="D21" s="617"/>
      <c r="E21" s="617"/>
      <c r="F21" s="617"/>
      <c r="G21" s="617"/>
    </row>
    <row r="22" spans="2:13" x14ac:dyDescent="0.25">
      <c r="B22" s="617"/>
      <c r="C22" s="617"/>
      <c r="D22" s="617"/>
      <c r="E22" s="617"/>
      <c r="F22" s="617"/>
      <c r="G22" s="617"/>
    </row>
    <row r="23" spans="2:13" x14ac:dyDescent="0.25">
      <c r="B23" s="617"/>
      <c r="C23" s="617"/>
      <c r="D23" s="617"/>
      <c r="E23" s="617"/>
      <c r="F23" s="617"/>
      <c r="G23" s="617"/>
    </row>
    <row r="24" spans="2:13" x14ac:dyDescent="0.25">
      <c r="B24" s="617"/>
      <c r="C24" s="617"/>
      <c r="D24" s="617"/>
      <c r="E24" s="617"/>
      <c r="F24" s="617"/>
      <c r="G24" s="617"/>
    </row>
    <row r="25" spans="2:13" ht="7.05" customHeight="1" x14ac:dyDescent="0.25">
      <c r="B25" s="424"/>
      <c r="C25" s="424"/>
      <c r="D25" s="424"/>
      <c r="E25" s="424"/>
      <c r="F25" s="424"/>
      <c r="G25" s="424"/>
    </row>
    <row r="26" spans="2:13" ht="13.8" customHeight="1" x14ac:dyDescent="0.25">
      <c r="B26" s="616" t="s">
        <v>2851</v>
      </c>
      <c r="C26" s="616"/>
      <c r="D26" s="616"/>
      <c r="E26" s="616"/>
      <c r="F26" s="616"/>
      <c r="G26" s="616"/>
    </row>
    <row r="27" spans="2:13" x14ac:dyDescent="0.25">
      <c r="B27" s="616"/>
      <c r="C27" s="616"/>
      <c r="D27" s="616"/>
      <c r="E27" s="616"/>
      <c r="F27" s="616"/>
      <c r="G27" s="616"/>
    </row>
    <row r="28" spans="2:13" x14ac:dyDescent="0.25">
      <c r="B28" s="616"/>
      <c r="C28" s="616"/>
      <c r="D28" s="616"/>
      <c r="E28" s="616"/>
      <c r="F28" s="616"/>
      <c r="G28" s="616"/>
    </row>
    <row r="29" spans="2:13" x14ac:dyDescent="0.25">
      <c r="B29" s="616"/>
      <c r="C29" s="616"/>
      <c r="D29" s="616"/>
      <c r="E29" s="616"/>
      <c r="F29" s="616"/>
      <c r="G29" s="616"/>
    </row>
    <row r="30" spans="2:13" ht="7.05" customHeight="1" x14ac:dyDescent="0.25">
      <c r="B30" s="458"/>
      <c r="C30" s="458"/>
      <c r="D30" s="458"/>
      <c r="E30" s="458"/>
      <c r="F30" s="458"/>
      <c r="G30" s="458"/>
    </row>
    <row r="31" spans="2:13" ht="13.95" customHeight="1" x14ac:dyDescent="0.25">
      <c r="B31" s="616" t="s">
        <v>2850</v>
      </c>
      <c r="C31" s="616"/>
      <c r="D31" s="616"/>
      <c r="E31" s="616"/>
      <c r="F31" s="616"/>
      <c r="G31" s="616"/>
    </row>
    <row r="32" spans="2:13" ht="13.95" customHeight="1" x14ac:dyDescent="0.25">
      <c r="B32" s="616"/>
      <c r="C32" s="616"/>
      <c r="D32" s="616"/>
      <c r="E32" s="616"/>
      <c r="F32" s="616"/>
      <c r="G32" s="616"/>
    </row>
    <row r="33" spans="2:13" ht="13.95" customHeight="1" x14ac:dyDescent="0.25">
      <c r="B33" s="616"/>
      <c r="C33" s="616"/>
      <c r="D33" s="616"/>
      <c r="E33" s="616"/>
      <c r="F33" s="616"/>
      <c r="G33" s="616"/>
    </row>
    <row r="34" spans="2:13" x14ac:dyDescent="0.25">
      <c r="B34" s="616"/>
      <c r="C34" s="616"/>
      <c r="D34" s="616"/>
      <c r="E34" s="616"/>
      <c r="F34" s="616"/>
      <c r="G34" s="616"/>
    </row>
    <row r="35" spans="2:13" x14ac:dyDescent="0.25">
      <c r="B35" s="616"/>
      <c r="C35" s="616"/>
      <c r="D35" s="616"/>
      <c r="E35" s="616"/>
      <c r="F35" s="616"/>
      <c r="G35" s="616"/>
    </row>
    <row r="36" spans="2:13" ht="13.95" customHeight="1" x14ac:dyDescent="0.25">
      <c r="B36" s="462"/>
      <c r="C36" s="462"/>
      <c r="D36" s="462"/>
      <c r="E36" s="462"/>
      <c r="F36" s="462"/>
      <c r="G36" s="462"/>
      <c r="H36" s="461"/>
      <c r="I36" s="461"/>
      <c r="J36" s="461"/>
      <c r="K36" s="461"/>
      <c r="L36" s="461"/>
      <c r="M36" s="461"/>
    </row>
    <row r="37" spans="2:13" x14ac:dyDescent="0.25">
      <c r="B37" s="424"/>
      <c r="C37" s="424"/>
      <c r="D37" s="424"/>
      <c r="E37" s="424"/>
      <c r="F37" s="424"/>
      <c r="G37" s="424"/>
    </row>
    <row r="38" spans="2:13" x14ac:dyDescent="0.25">
      <c r="B38" s="618" t="s">
        <v>2847</v>
      </c>
      <c r="C38" s="618"/>
      <c r="D38" s="618"/>
      <c r="E38" s="618"/>
      <c r="F38" s="618"/>
      <c r="G38" s="618"/>
    </row>
    <row r="40" spans="2:13" ht="13.8" customHeight="1" x14ac:dyDescent="0.25">
      <c r="B40" s="616" t="s">
        <v>2853</v>
      </c>
      <c r="C40" s="616"/>
      <c r="D40" s="616"/>
      <c r="E40" s="616"/>
      <c r="F40" s="616"/>
      <c r="G40" s="616"/>
    </row>
    <row r="41" spans="2:13" x14ac:dyDescent="0.25">
      <c r="B41" s="616"/>
      <c r="C41" s="616"/>
      <c r="D41" s="616"/>
      <c r="E41" s="616"/>
      <c r="F41" s="616"/>
      <c r="G41" s="616"/>
    </row>
    <row r="42" spans="2:13" x14ac:dyDescent="0.25">
      <c r="B42" s="616"/>
      <c r="C42" s="616"/>
      <c r="D42" s="616"/>
      <c r="E42" s="616"/>
      <c r="F42" s="616"/>
      <c r="G42" s="616"/>
    </row>
    <row r="43" spans="2:13" x14ac:dyDescent="0.25">
      <c r="B43" s="616"/>
      <c r="C43" s="616"/>
      <c r="D43" s="616"/>
      <c r="E43" s="616"/>
      <c r="F43" s="616"/>
      <c r="G43" s="616"/>
    </row>
    <row r="44" spans="2:13" ht="7.05" customHeight="1" x14ac:dyDescent="0.25">
      <c r="B44" s="424"/>
      <c r="C44" s="424"/>
      <c r="D44" s="424"/>
      <c r="E44" s="424"/>
      <c r="F44" s="424"/>
      <c r="G44" s="424"/>
    </row>
    <row r="45" spans="2:13" ht="13.8" customHeight="1" x14ac:dyDescent="0.25">
      <c r="B45" s="616" t="s">
        <v>2854</v>
      </c>
      <c r="C45" s="616"/>
      <c r="D45" s="616"/>
      <c r="E45" s="616"/>
      <c r="F45" s="616"/>
      <c r="G45" s="616"/>
    </row>
    <row r="46" spans="2:13" x14ac:dyDescent="0.25">
      <c r="B46" s="616"/>
      <c r="C46" s="616"/>
      <c r="D46" s="616"/>
      <c r="E46" s="616"/>
      <c r="F46" s="616"/>
      <c r="G46" s="616"/>
    </row>
    <row r="47" spans="2:13" x14ac:dyDescent="0.25">
      <c r="B47" s="616"/>
      <c r="C47" s="616"/>
      <c r="D47" s="616"/>
      <c r="E47" s="616"/>
      <c r="F47" s="616"/>
      <c r="G47" s="616"/>
    </row>
    <row r="48" spans="2:13" x14ac:dyDescent="0.25">
      <c r="B48" s="616"/>
      <c r="C48" s="616"/>
      <c r="D48" s="616"/>
      <c r="E48" s="616"/>
      <c r="F48" s="616"/>
      <c r="G48" s="616"/>
    </row>
    <row r="49" spans="2:13" x14ac:dyDescent="0.25">
      <c r="B49" s="616"/>
      <c r="C49" s="616"/>
      <c r="D49" s="616"/>
      <c r="E49" s="616"/>
      <c r="F49" s="616"/>
      <c r="G49" s="616"/>
    </row>
    <row r="50" spans="2:13" ht="7.05" customHeight="1" x14ac:dyDescent="0.25">
      <c r="B50" s="424"/>
      <c r="C50" s="424"/>
      <c r="D50" s="424"/>
      <c r="E50" s="424"/>
      <c r="F50" s="424"/>
      <c r="G50" s="424"/>
    </row>
    <row r="51" spans="2:13" ht="13.8" customHeight="1" x14ac:dyDescent="0.25">
      <c r="B51" s="616" t="s">
        <v>2848</v>
      </c>
      <c r="C51" s="616"/>
      <c r="D51" s="616"/>
      <c r="E51" s="616"/>
      <c r="F51" s="616"/>
      <c r="G51" s="616"/>
    </row>
    <row r="52" spans="2:13" x14ac:dyDescent="0.25">
      <c r="B52" s="616"/>
      <c r="C52" s="616"/>
      <c r="D52" s="616"/>
      <c r="E52" s="616"/>
      <c r="F52" s="616"/>
      <c r="G52" s="616"/>
    </row>
    <row r="53" spans="2:13" x14ac:dyDescent="0.25">
      <c r="B53" s="616"/>
      <c r="C53" s="616"/>
      <c r="D53" s="616"/>
      <c r="E53" s="616"/>
      <c r="F53" s="616"/>
      <c r="G53" s="616"/>
    </row>
    <row r="54" spans="2:13" x14ac:dyDescent="0.25">
      <c r="B54" s="462"/>
      <c r="C54" s="462"/>
      <c r="D54" s="462"/>
      <c r="E54" s="462"/>
      <c r="F54" s="462"/>
      <c r="G54" s="462"/>
      <c r="H54" s="461"/>
      <c r="I54" s="461"/>
      <c r="J54" s="461"/>
      <c r="K54" s="461"/>
      <c r="L54" s="461"/>
      <c r="M54" s="461"/>
    </row>
    <row r="55" spans="2:13" x14ac:dyDescent="0.25">
      <c r="B55" s="424"/>
      <c r="C55" s="424"/>
      <c r="D55" s="424"/>
      <c r="E55" s="424"/>
      <c r="F55" s="424"/>
      <c r="G55" s="424"/>
    </row>
    <row r="56" spans="2:13" x14ac:dyDescent="0.25">
      <c r="B56" s="617" t="s">
        <v>2849</v>
      </c>
      <c r="C56" s="617"/>
      <c r="D56" s="617"/>
      <c r="E56" s="617"/>
      <c r="F56" s="617"/>
      <c r="G56" s="617"/>
    </row>
    <row r="57" spans="2:13" x14ac:dyDescent="0.25">
      <c r="B57" s="424"/>
      <c r="C57" s="424"/>
      <c r="D57" s="424"/>
      <c r="E57" s="424"/>
      <c r="F57" s="424"/>
      <c r="G57" s="424"/>
    </row>
    <row r="58" spans="2:13" ht="13.8" customHeight="1" x14ac:dyDescent="0.25">
      <c r="B58" s="616" t="s">
        <v>2852</v>
      </c>
      <c r="C58" s="616"/>
      <c r="D58" s="616"/>
      <c r="E58" s="616"/>
      <c r="F58" s="616"/>
      <c r="G58" s="616"/>
    </row>
    <row r="59" spans="2:13" x14ac:dyDescent="0.25">
      <c r="B59" s="616"/>
      <c r="C59" s="616"/>
      <c r="D59" s="616"/>
      <c r="E59" s="616"/>
      <c r="F59" s="616"/>
      <c r="G59" s="616"/>
    </row>
    <row r="60" spans="2:13" x14ac:dyDescent="0.25">
      <c r="B60" s="616"/>
      <c r="C60" s="616"/>
      <c r="D60" s="616"/>
      <c r="E60" s="616"/>
      <c r="F60" s="616"/>
      <c r="G60" s="616"/>
    </row>
    <row r="61" spans="2:13" x14ac:dyDescent="0.25">
      <c r="B61" s="616"/>
      <c r="C61" s="616"/>
      <c r="D61" s="616"/>
      <c r="E61" s="616"/>
      <c r="F61" s="616"/>
      <c r="G61" s="616"/>
    </row>
    <row r="62" spans="2:13" x14ac:dyDescent="0.25">
      <c r="B62" s="424"/>
      <c r="C62" s="424"/>
      <c r="D62" s="424"/>
      <c r="E62" s="424"/>
      <c r="F62" s="424"/>
      <c r="G62" s="424"/>
    </row>
    <row r="63" spans="2:13" x14ac:dyDescent="0.25">
      <c r="B63" s="398"/>
      <c r="C63" s="398"/>
      <c r="D63" s="398"/>
      <c r="E63" s="398"/>
      <c r="F63" s="398"/>
      <c r="G63" s="398"/>
      <c r="H63" s="398"/>
      <c r="I63" s="398"/>
      <c r="J63" s="398"/>
      <c r="K63" s="398"/>
      <c r="L63" s="398"/>
      <c r="M63" s="398"/>
    </row>
    <row r="64" spans="2:13" x14ac:dyDescent="0.25">
      <c r="B64" s="424"/>
      <c r="C64" s="424"/>
      <c r="D64" s="424"/>
      <c r="E64" s="424"/>
      <c r="F64" s="424"/>
      <c r="G64" s="424"/>
    </row>
  </sheetData>
  <mergeCells count="15">
    <mergeCell ref="B21:G24"/>
    <mergeCell ref="B26:G29"/>
    <mergeCell ref="B38:G38"/>
    <mergeCell ref="B1:J4"/>
    <mergeCell ref="B11:G11"/>
    <mergeCell ref="B13:G16"/>
    <mergeCell ref="B19:G19"/>
    <mergeCell ref="B6:G6"/>
    <mergeCell ref="B8:G9"/>
    <mergeCell ref="B58:G61"/>
    <mergeCell ref="B31:G35"/>
    <mergeCell ref="B40:G43"/>
    <mergeCell ref="B45:G49"/>
    <mergeCell ref="B51:G53"/>
    <mergeCell ref="B56:G56"/>
  </mergeCells>
  <printOptions horizontalCentered="1" verticalCentered="1"/>
  <pageMargins left="0" right="0" top="0" bottom="0" header="0" footer="0"/>
  <pageSetup paperSize="9" scale="95" orientation="portrait" horizontalDpi="1200" verticalDpi="1200" r:id="rId1"/>
  <rowBreaks count="1" manualBreakCount="1">
    <brk id="63" max="16383" man="1"/>
  </rowBreaks>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1:M56"/>
  <sheetViews>
    <sheetView zoomScale="70" zoomScaleNormal="70" workbookViewId="0"/>
  </sheetViews>
  <sheetFormatPr defaultRowHeight="14.4" x14ac:dyDescent="0.3"/>
  <cols>
    <col min="1" max="1" width="2" style="53" customWidth="1"/>
    <col min="2" max="16384" width="8.88671875" style="53"/>
  </cols>
  <sheetData>
    <row r="1" spans="2:13" x14ac:dyDescent="0.3">
      <c r="B1" s="614" t="s">
        <v>2679</v>
      </c>
      <c r="C1" s="614"/>
      <c r="D1" s="614"/>
      <c r="E1" s="614"/>
      <c r="F1" s="614"/>
      <c r="G1" s="614"/>
      <c r="H1" s="614"/>
      <c r="I1" s="614"/>
      <c r="J1" s="614"/>
      <c r="K1" s="398"/>
      <c r="L1" s="398"/>
      <c r="M1" s="398"/>
    </row>
    <row r="2" spans="2:13" x14ac:dyDescent="0.3">
      <c r="B2" s="614"/>
      <c r="C2" s="614"/>
      <c r="D2" s="614"/>
      <c r="E2" s="614"/>
      <c r="F2" s="614"/>
      <c r="G2" s="614"/>
      <c r="H2" s="614"/>
      <c r="I2" s="614"/>
      <c r="J2" s="614"/>
      <c r="K2" s="398"/>
      <c r="L2" s="398"/>
      <c r="M2" s="398"/>
    </row>
    <row r="3" spans="2:13" x14ac:dyDescent="0.3">
      <c r="B3" s="614"/>
      <c r="C3" s="614"/>
      <c r="D3" s="614"/>
      <c r="E3" s="614"/>
      <c r="F3" s="614"/>
      <c r="G3" s="614"/>
      <c r="H3" s="614"/>
      <c r="I3" s="614"/>
      <c r="J3" s="614"/>
      <c r="K3" s="398"/>
      <c r="L3" s="398"/>
      <c r="M3" s="398"/>
    </row>
    <row r="4" spans="2:13" x14ac:dyDescent="0.3">
      <c r="B4" s="614"/>
      <c r="C4" s="614"/>
      <c r="D4" s="614"/>
      <c r="E4" s="614"/>
      <c r="F4" s="614"/>
      <c r="G4" s="614"/>
      <c r="H4" s="614"/>
      <c r="I4" s="614"/>
      <c r="J4" s="614"/>
      <c r="K4" s="398"/>
      <c r="L4" s="398"/>
      <c r="M4" s="398"/>
    </row>
    <row r="6" spans="2:13" ht="17.399999999999999" x14ac:dyDescent="0.3">
      <c r="B6" s="619" t="s">
        <v>2965</v>
      </c>
      <c r="C6" s="619"/>
      <c r="D6" s="619"/>
      <c r="E6" s="619"/>
      <c r="F6" s="619"/>
      <c r="G6" s="619"/>
      <c r="H6" s="619"/>
      <c r="I6" s="619"/>
      <c r="J6" s="619"/>
      <c r="K6" s="619"/>
      <c r="L6" s="619"/>
      <c r="M6" s="619"/>
    </row>
    <row r="29" spans="2:13" ht="17.399999999999999" x14ac:dyDescent="0.3">
      <c r="B29" s="619" t="s">
        <v>2966</v>
      </c>
      <c r="C29" s="619"/>
      <c r="D29" s="619"/>
      <c r="E29" s="619"/>
      <c r="F29" s="619"/>
      <c r="G29" s="619"/>
      <c r="H29" s="619"/>
      <c r="I29" s="619"/>
      <c r="J29" s="619"/>
      <c r="K29" s="619"/>
      <c r="L29" s="619"/>
      <c r="M29" s="619"/>
    </row>
    <row r="56" spans="2:13" x14ac:dyDescent="0.3">
      <c r="B56" s="127"/>
      <c r="C56" s="127"/>
      <c r="D56" s="127"/>
      <c r="E56" s="127"/>
      <c r="F56" s="127"/>
      <c r="G56" s="127"/>
      <c r="H56" s="127"/>
      <c r="I56" s="127"/>
      <c r="J56" s="127"/>
      <c r="K56" s="127"/>
      <c r="L56" s="127"/>
      <c r="M56" s="127"/>
    </row>
  </sheetData>
  <mergeCells count="3">
    <mergeCell ref="B1:J4"/>
    <mergeCell ref="B6:M6"/>
    <mergeCell ref="B29:M29"/>
  </mergeCells>
  <printOptions horizontalCentered="1" verticalCentered="1"/>
  <pageMargins left="0" right="0" top="0" bottom="0" header="0" footer="0"/>
  <pageSetup paperSize="9" scale="95" orientation="portrait" horizontalDpi="1200" verticalDpi="12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1:M61"/>
  <sheetViews>
    <sheetView zoomScale="70" zoomScaleNormal="70" workbookViewId="0"/>
  </sheetViews>
  <sheetFormatPr defaultRowHeight="14.4" x14ac:dyDescent="0.3"/>
  <cols>
    <col min="1" max="1" width="2" style="53" customWidth="1"/>
    <col min="2" max="16384" width="8.88671875" style="53"/>
  </cols>
  <sheetData>
    <row r="1" spans="2:13" x14ac:dyDescent="0.3">
      <c r="B1" s="614" t="s">
        <v>2679</v>
      </c>
      <c r="C1" s="614"/>
      <c r="D1" s="614"/>
      <c r="E1" s="614"/>
      <c r="F1" s="614"/>
      <c r="G1" s="614"/>
      <c r="H1" s="614"/>
      <c r="I1" s="614"/>
      <c r="J1" s="614"/>
      <c r="K1" s="127"/>
      <c r="L1" s="127"/>
      <c r="M1" s="127"/>
    </row>
    <row r="2" spans="2:13" x14ac:dyDescent="0.3">
      <c r="B2" s="614"/>
      <c r="C2" s="614"/>
      <c r="D2" s="614"/>
      <c r="E2" s="614"/>
      <c r="F2" s="614"/>
      <c r="G2" s="614"/>
      <c r="H2" s="614"/>
      <c r="I2" s="614"/>
      <c r="J2" s="614"/>
      <c r="K2" s="127"/>
      <c r="L2" s="127"/>
      <c r="M2" s="127"/>
    </row>
    <row r="3" spans="2:13" x14ac:dyDescent="0.3">
      <c r="B3" s="614"/>
      <c r="C3" s="614"/>
      <c r="D3" s="614"/>
      <c r="E3" s="614"/>
      <c r="F3" s="614"/>
      <c r="G3" s="614"/>
      <c r="H3" s="614"/>
      <c r="I3" s="614"/>
      <c r="J3" s="614"/>
      <c r="K3" s="127"/>
      <c r="L3" s="127"/>
      <c r="M3" s="127"/>
    </row>
    <row r="4" spans="2:13" x14ac:dyDescent="0.3">
      <c r="B4" s="614"/>
      <c r="C4" s="614"/>
      <c r="D4" s="614"/>
      <c r="E4" s="614"/>
      <c r="F4" s="614"/>
      <c r="G4" s="614"/>
      <c r="H4" s="614"/>
      <c r="I4" s="614"/>
      <c r="J4" s="614"/>
      <c r="K4" s="127"/>
      <c r="L4" s="127"/>
      <c r="M4" s="127"/>
    </row>
    <row r="6" spans="2:13" ht="17.399999999999999" x14ac:dyDescent="0.3">
      <c r="B6" s="611" t="s">
        <v>2801</v>
      </c>
      <c r="C6" s="611"/>
      <c r="D6" s="611"/>
      <c r="E6" s="611"/>
      <c r="F6" s="611"/>
      <c r="G6" s="611"/>
      <c r="H6" s="611"/>
      <c r="I6" s="611"/>
      <c r="J6" s="611"/>
      <c r="K6" s="611"/>
      <c r="L6" s="611"/>
      <c r="M6" s="611"/>
    </row>
    <row r="7" spans="2:13" x14ac:dyDescent="0.3">
      <c r="B7" s="397"/>
      <c r="C7" s="397"/>
      <c r="D7" s="397"/>
      <c r="E7" s="397"/>
      <c r="F7" s="397"/>
      <c r="G7" s="397"/>
      <c r="H7" s="397"/>
      <c r="I7" s="397"/>
      <c r="J7" s="397"/>
      <c r="K7" s="397"/>
      <c r="L7" s="397"/>
      <c r="M7" s="397"/>
    </row>
    <row r="8" spans="2:13" x14ac:dyDescent="0.3">
      <c r="B8" s="626" t="s">
        <v>2810</v>
      </c>
      <c r="C8" s="626"/>
      <c r="D8" s="626"/>
      <c r="E8" s="626"/>
      <c r="F8" s="626"/>
      <c r="G8" s="626"/>
      <c r="H8" s="626"/>
      <c r="I8" s="626"/>
      <c r="J8" s="626"/>
      <c r="K8" s="626"/>
      <c r="L8" s="626"/>
      <c r="M8" s="626"/>
    </row>
    <row r="9" spans="2:13" ht="14.4" customHeight="1" x14ac:dyDescent="0.3">
      <c r="B9" s="424"/>
      <c r="C9" s="424"/>
      <c r="D9" s="424"/>
      <c r="E9" s="424"/>
      <c r="F9" s="424"/>
      <c r="G9" s="424"/>
      <c r="H9" s="424"/>
      <c r="I9" s="424"/>
      <c r="J9" s="424"/>
      <c r="K9" s="424"/>
      <c r="L9" s="424"/>
      <c r="M9" s="424"/>
    </row>
    <row r="10" spans="2:13" x14ac:dyDescent="0.3">
      <c r="B10" s="627" t="s">
        <v>2811</v>
      </c>
      <c r="C10" s="627"/>
      <c r="D10" s="627"/>
      <c r="E10" s="627"/>
      <c r="F10" s="627"/>
      <c r="G10" s="627"/>
      <c r="H10" s="627"/>
      <c r="I10" s="627"/>
      <c r="J10" s="627"/>
      <c r="K10" s="627"/>
      <c r="L10" s="627"/>
      <c r="M10" s="627"/>
    </row>
    <row r="11" spans="2:13" x14ac:dyDescent="0.3">
      <c r="B11" s="627"/>
      <c r="C11" s="627"/>
      <c r="D11" s="627"/>
      <c r="E11" s="627"/>
      <c r="F11" s="627"/>
      <c r="G11" s="627"/>
      <c r="H11" s="627"/>
      <c r="I11" s="627"/>
      <c r="J11" s="627"/>
      <c r="K11" s="627"/>
      <c r="L11" s="627"/>
      <c r="M11" s="627"/>
    </row>
    <row r="12" spans="2:13" ht="14.4" customHeight="1" x14ac:dyDescent="0.3">
      <c r="B12" s="627"/>
      <c r="C12" s="627"/>
      <c r="D12" s="627"/>
      <c r="E12" s="627"/>
      <c r="F12" s="627"/>
      <c r="G12" s="627"/>
      <c r="H12" s="627"/>
      <c r="I12" s="627"/>
      <c r="J12" s="627"/>
      <c r="K12" s="627"/>
      <c r="L12" s="627"/>
      <c r="M12" s="627"/>
    </row>
    <row r="13" spans="2:13" x14ac:dyDescent="0.3">
      <c r="B13" s="627"/>
      <c r="C13" s="627"/>
      <c r="D13" s="627"/>
      <c r="E13" s="627"/>
      <c r="F13" s="627"/>
      <c r="G13" s="627"/>
      <c r="H13" s="627"/>
      <c r="I13" s="627"/>
      <c r="J13" s="627"/>
      <c r="K13" s="627"/>
      <c r="L13" s="627"/>
      <c r="M13" s="627"/>
    </row>
    <row r="14" spans="2:13" x14ac:dyDescent="0.3">
      <c r="B14" s="627"/>
      <c r="C14" s="627"/>
      <c r="D14" s="627"/>
      <c r="E14" s="627"/>
      <c r="F14" s="627"/>
      <c r="G14" s="627"/>
      <c r="H14" s="627"/>
      <c r="I14" s="627"/>
      <c r="J14" s="627"/>
      <c r="K14" s="627"/>
      <c r="L14" s="627"/>
      <c r="M14" s="627"/>
    </row>
    <row r="15" spans="2:13" x14ac:dyDescent="0.3">
      <c r="B15" s="627"/>
      <c r="C15" s="627"/>
      <c r="D15" s="627"/>
      <c r="E15" s="627"/>
      <c r="F15" s="627"/>
      <c r="G15" s="627"/>
      <c r="H15" s="627"/>
      <c r="I15" s="627"/>
      <c r="J15" s="627"/>
      <c r="K15" s="627"/>
      <c r="L15" s="627"/>
      <c r="M15" s="627"/>
    </row>
    <row r="16" spans="2:13" x14ac:dyDescent="0.3">
      <c r="B16" s="627"/>
      <c r="C16" s="627"/>
      <c r="D16" s="627"/>
      <c r="E16" s="627"/>
      <c r="F16" s="627"/>
      <c r="G16" s="627"/>
      <c r="H16" s="627"/>
      <c r="I16" s="627"/>
      <c r="J16" s="627"/>
      <c r="K16" s="627"/>
      <c r="L16" s="627"/>
      <c r="M16" s="627"/>
    </row>
    <row r="17" spans="2:13" ht="7.05" customHeight="1" x14ac:dyDescent="0.3">
      <c r="B17" s="95"/>
      <c r="C17" s="95"/>
      <c r="D17" s="95"/>
      <c r="E17" s="95"/>
      <c r="F17" s="95"/>
      <c r="G17" s="95"/>
      <c r="H17" s="95"/>
      <c r="I17" s="95"/>
      <c r="J17" s="95"/>
      <c r="K17" s="95"/>
      <c r="L17" s="95"/>
      <c r="M17" s="95"/>
    </row>
    <row r="18" spans="2:13" x14ac:dyDescent="0.3">
      <c r="B18" s="626" t="s">
        <v>2812</v>
      </c>
      <c r="C18" s="626"/>
      <c r="D18" s="626"/>
      <c r="E18" s="626"/>
      <c r="F18" s="626"/>
      <c r="G18" s="626"/>
      <c r="H18" s="626"/>
      <c r="I18" s="626"/>
      <c r="J18" s="626"/>
      <c r="K18" s="626"/>
      <c r="L18" s="626"/>
      <c r="M18" s="626"/>
    </row>
    <row r="19" spans="2:13" x14ac:dyDescent="0.3">
      <c r="B19" s="454"/>
      <c r="C19" s="454"/>
      <c r="D19" s="454"/>
      <c r="E19" s="454"/>
      <c r="F19" s="454"/>
      <c r="G19" s="454"/>
      <c r="H19" s="454"/>
      <c r="I19" s="454"/>
      <c r="J19" s="454"/>
      <c r="K19" s="454"/>
      <c r="L19" s="454"/>
      <c r="M19" s="454"/>
    </row>
    <row r="20" spans="2:13" x14ac:dyDescent="0.3">
      <c r="B20" s="627" t="s">
        <v>2816</v>
      </c>
      <c r="C20" s="628"/>
      <c r="D20" s="628"/>
      <c r="E20" s="628"/>
      <c r="F20" s="628"/>
      <c r="G20" s="628"/>
      <c r="H20" s="628"/>
      <c r="I20" s="628"/>
      <c r="J20" s="628"/>
      <c r="K20" s="628"/>
      <c r="L20" s="628"/>
      <c r="M20" s="628"/>
    </row>
    <row r="21" spans="2:13" x14ac:dyDescent="0.3">
      <c r="B21" s="628"/>
      <c r="C21" s="628"/>
      <c r="D21" s="628"/>
      <c r="E21" s="628"/>
      <c r="F21" s="628"/>
      <c r="G21" s="628"/>
      <c r="H21" s="628"/>
      <c r="I21" s="628"/>
      <c r="J21" s="628"/>
      <c r="K21" s="628"/>
      <c r="L21" s="628"/>
      <c r="M21" s="628"/>
    </row>
    <row r="22" spans="2:13" x14ac:dyDescent="0.3">
      <c r="B22" s="628"/>
      <c r="C22" s="628"/>
      <c r="D22" s="628"/>
      <c r="E22" s="628"/>
      <c r="F22" s="628"/>
      <c r="G22" s="628"/>
      <c r="H22" s="628"/>
      <c r="I22" s="628"/>
      <c r="J22" s="628"/>
      <c r="K22" s="628"/>
      <c r="L22" s="628"/>
      <c r="M22" s="628"/>
    </row>
    <row r="23" spans="2:13" x14ac:dyDescent="0.3">
      <c r="B23" s="628"/>
      <c r="C23" s="628"/>
      <c r="D23" s="628"/>
      <c r="E23" s="628"/>
      <c r="F23" s="628"/>
      <c r="G23" s="628"/>
      <c r="H23" s="628"/>
      <c r="I23" s="628"/>
      <c r="J23" s="628"/>
      <c r="K23" s="628"/>
      <c r="L23" s="628"/>
      <c r="M23" s="628"/>
    </row>
    <row r="24" spans="2:13" x14ac:dyDescent="0.3">
      <c r="B24" s="628"/>
      <c r="C24" s="628"/>
      <c r="D24" s="628"/>
      <c r="E24" s="628"/>
      <c r="F24" s="628"/>
      <c r="G24" s="628"/>
      <c r="H24" s="628"/>
      <c r="I24" s="628"/>
      <c r="J24" s="628"/>
      <c r="K24" s="628"/>
      <c r="L24" s="628"/>
      <c r="M24" s="628"/>
    </row>
    <row r="25" spans="2:13" x14ac:dyDescent="0.3">
      <c r="B25" s="628"/>
      <c r="C25" s="628"/>
      <c r="D25" s="628"/>
      <c r="E25" s="628"/>
      <c r="F25" s="628"/>
      <c r="G25" s="628"/>
      <c r="H25" s="628"/>
      <c r="I25" s="628"/>
      <c r="J25" s="628"/>
      <c r="K25" s="628"/>
      <c r="L25" s="628"/>
      <c r="M25" s="628"/>
    </row>
    <row r="26" spans="2:13" x14ac:dyDescent="0.3">
      <c r="B26" s="628"/>
      <c r="C26" s="628"/>
      <c r="D26" s="628"/>
      <c r="E26" s="628"/>
      <c r="F26" s="628"/>
      <c r="G26" s="628"/>
      <c r="H26" s="628"/>
      <c r="I26" s="628"/>
      <c r="J26" s="628"/>
      <c r="K26" s="628"/>
      <c r="L26" s="628"/>
      <c r="M26" s="628"/>
    </row>
    <row r="27" spans="2:13" ht="7.05" customHeight="1" x14ac:dyDescent="0.3">
      <c r="B27" s="449"/>
      <c r="C27" s="449"/>
      <c r="D27" s="449"/>
      <c r="E27" s="449"/>
      <c r="F27" s="449"/>
      <c r="G27" s="449"/>
      <c r="H27" s="449"/>
      <c r="I27" s="449"/>
      <c r="J27" s="449"/>
      <c r="K27" s="449"/>
      <c r="L27" s="449"/>
      <c r="M27" s="449"/>
    </row>
    <row r="28" spans="2:13" x14ac:dyDescent="0.3">
      <c r="B28" s="630" t="s">
        <v>2813</v>
      </c>
      <c r="C28" s="630"/>
      <c r="D28" s="630"/>
      <c r="E28" s="630"/>
      <c r="F28" s="630"/>
      <c r="G28" s="630"/>
      <c r="H28" s="630"/>
      <c r="I28" s="630"/>
      <c r="J28" s="630"/>
      <c r="K28" s="630"/>
      <c r="L28" s="630"/>
      <c r="M28" s="630"/>
    </row>
    <row r="29" spans="2:13" x14ac:dyDescent="0.3">
      <c r="B29" s="397"/>
      <c r="C29" s="397"/>
      <c r="D29" s="397"/>
      <c r="E29" s="397"/>
      <c r="F29" s="397"/>
      <c r="G29" s="397"/>
      <c r="H29" s="397"/>
      <c r="I29" s="397"/>
      <c r="J29" s="397"/>
      <c r="K29" s="397"/>
      <c r="L29" s="397"/>
      <c r="M29" s="397"/>
    </row>
    <row r="30" spans="2:13" ht="14.4" customHeight="1" x14ac:dyDescent="0.3">
      <c r="B30" s="627" t="s">
        <v>2836</v>
      </c>
      <c r="C30" s="627"/>
      <c r="D30" s="627"/>
      <c r="E30" s="627"/>
      <c r="F30" s="627"/>
      <c r="G30" s="627"/>
      <c r="H30" s="627"/>
      <c r="I30" s="627"/>
      <c r="J30" s="627"/>
      <c r="K30" s="627"/>
      <c r="L30" s="627"/>
      <c r="M30" s="627"/>
    </row>
    <row r="31" spans="2:13" x14ac:dyDescent="0.3">
      <c r="B31" s="627"/>
      <c r="C31" s="627"/>
      <c r="D31" s="627"/>
      <c r="E31" s="627"/>
      <c r="F31" s="627"/>
      <c r="G31" s="627"/>
      <c r="H31" s="627"/>
      <c r="I31" s="627"/>
      <c r="J31" s="627"/>
      <c r="K31" s="627"/>
      <c r="L31" s="627"/>
      <c r="M31" s="627"/>
    </row>
    <row r="32" spans="2:13" x14ac:dyDescent="0.3">
      <c r="B32" s="627"/>
      <c r="C32" s="627"/>
      <c r="D32" s="627"/>
      <c r="E32" s="627"/>
      <c r="F32" s="627"/>
      <c r="G32" s="627"/>
      <c r="H32" s="627"/>
      <c r="I32" s="627"/>
      <c r="J32" s="627"/>
      <c r="K32" s="627"/>
      <c r="L32" s="627"/>
      <c r="M32" s="627"/>
    </row>
    <row r="33" spans="2:13" x14ac:dyDescent="0.3">
      <c r="B33" s="627"/>
      <c r="C33" s="627"/>
      <c r="D33" s="627"/>
      <c r="E33" s="627"/>
      <c r="F33" s="627"/>
      <c r="G33" s="627"/>
      <c r="H33" s="627"/>
      <c r="I33" s="627"/>
      <c r="J33" s="627"/>
      <c r="K33" s="627"/>
      <c r="L33" s="627"/>
      <c r="M33" s="627"/>
    </row>
    <row r="34" spans="2:13" x14ac:dyDescent="0.3">
      <c r="B34" s="627"/>
      <c r="C34" s="627"/>
      <c r="D34" s="627"/>
      <c r="E34" s="627"/>
      <c r="F34" s="627"/>
      <c r="G34" s="627"/>
      <c r="H34" s="627"/>
      <c r="I34" s="627"/>
      <c r="J34" s="627"/>
      <c r="K34" s="627"/>
      <c r="L34" s="627"/>
      <c r="M34" s="627"/>
    </row>
    <row r="35" spans="2:13" x14ac:dyDescent="0.3">
      <c r="B35" s="627"/>
      <c r="C35" s="627"/>
      <c r="D35" s="627"/>
      <c r="E35" s="627"/>
      <c r="F35" s="627"/>
      <c r="G35" s="627"/>
      <c r="H35" s="627"/>
      <c r="I35" s="627"/>
      <c r="J35" s="627"/>
      <c r="K35" s="627"/>
      <c r="L35" s="627"/>
      <c r="M35" s="627"/>
    </row>
    <row r="36" spans="2:13" ht="7.05" customHeight="1" x14ac:dyDescent="0.3">
      <c r="B36" s="449"/>
      <c r="C36" s="449"/>
      <c r="D36" s="449"/>
      <c r="E36" s="449"/>
      <c r="F36" s="449"/>
      <c r="G36" s="449"/>
      <c r="H36" s="449"/>
      <c r="I36" s="449"/>
      <c r="J36" s="449"/>
      <c r="K36" s="449"/>
      <c r="L36" s="449"/>
      <c r="M36" s="449"/>
    </row>
    <row r="37" spans="2:13" x14ac:dyDescent="0.3">
      <c r="B37" s="626" t="s">
        <v>2814</v>
      </c>
      <c r="C37" s="626"/>
      <c r="D37" s="626"/>
      <c r="E37" s="626"/>
      <c r="F37" s="626"/>
      <c r="G37" s="626"/>
      <c r="H37" s="626"/>
      <c r="I37" s="626"/>
      <c r="J37" s="626"/>
      <c r="K37" s="626"/>
      <c r="L37" s="626"/>
      <c r="M37" s="626"/>
    </row>
    <row r="38" spans="2:13" x14ac:dyDescent="0.3">
      <c r="B38" s="452"/>
      <c r="C38" s="452"/>
      <c r="D38" s="452"/>
      <c r="E38" s="452"/>
      <c r="F38" s="452"/>
      <c r="G38" s="452"/>
      <c r="H38" s="452"/>
      <c r="I38" s="452"/>
      <c r="J38" s="452"/>
      <c r="K38" s="452"/>
      <c r="L38" s="452"/>
      <c r="M38" s="452"/>
    </row>
    <row r="39" spans="2:13" x14ac:dyDescent="0.3">
      <c r="B39" s="627" t="s">
        <v>2817</v>
      </c>
      <c r="C39" s="627"/>
      <c r="D39" s="627"/>
      <c r="E39" s="627"/>
      <c r="F39" s="627"/>
      <c r="G39" s="627"/>
      <c r="H39" s="627"/>
      <c r="I39" s="627"/>
      <c r="J39" s="627"/>
      <c r="K39" s="627"/>
      <c r="L39" s="627"/>
      <c r="M39" s="627"/>
    </row>
    <row r="40" spans="2:13" ht="14.4" customHeight="1" x14ac:dyDescent="0.3">
      <c r="B40" s="627"/>
      <c r="C40" s="627"/>
      <c r="D40" s="627"/>
      <c r="E40" s="627"/>
      <c r="F40" s="627"/>
      <c r="G40" s="627"/>
      <c r="H40" s="627"/>
      <c r="I40" s="627"/>
      <c r="J40" s="627"/>
      <c r="K40" s="627"/>
      <c r="L40" s="627"/>
      <c r="M40" s="627"/>
    </row>
    <row r="41" spans="2:13" x14ac:dyDescent="0.3">
      <c r="B41" s="627"/>
      <c r="C41" s="627"/>
      <c r="D41" s="627"/>
      <c r="E41" s="627"/>
      <c r="F41" s="627"/>
      <c r="G41" s="627"/>
      <c r="H41" s="627"/>
      <c r="I41" s="627"/>
      <c r="J41" s="627"/>
      <c r="K41" s="627"/>
      <c r="L41" s="627"/>
      <c r="M41" s="627"/>
    </row>
    <row r="42" spans="2:13" x14ac:dyDescent="0.3">
      <c r="B42" s="627"/>
      <c r="C42" s="627"/>
      <c r="D42" s="627"/>
      <c r="E42" s="627"/>
      <c r="F42" s="627"/>
      <c r="G42" s="627"/>
      <c r="H42" s="627"/>
      <c r="I42" s="627"/>
      <c r="J42" s="627"/>
      <c r="K42" s="627"/>
      <c r="L42" s="627"/>
      <c r="M42" s="627"/>
    </row>
    <row r="43" spans="2:13" x14ac:dyDescent="0.3">
      <c r="B43" s="627"/>
      <c r="C43" s="627"/>
      <c r="D43" s="627"/>
      <c r="E43" s="627"/>
      <c r="F43" s="627"/>
      <c r="G43" s="627"/>
      <c r="H43" s="627"/>
      <c r="I43" s="627"/>
      <c r="J43" s="627"/>
      <c r="K43" s="627"/>
      <c r="L43" s="627"/>
      <c r="M43" s="627"/>
    </row>
    <row r="44" spans="2:13" x14ac:dyDescent="0.3">
      <c r="B44" s="629"/>
      <c r="C44" s="629"/>
      <c r="D44" s="629"/>
      <c r="E44" s="629"/>
      <c r="F44" s="629"/>
      <c r="G44" s="629"/>
      <c r="H44" s="629"/>
      <c r="I44" s="629"/>
      <c r="J44" s="629"/>
      <c r="K44" s="629"/>
      <c r="L44" s="629"/>
      <c r="M44" s="629"/>
    </row>
    <row r="45" spans="2:13" ht="7.05" customHeight="1" x14ac:dyDescent="0.3">
      <c r="B45" s="449"/>
      <c r="C45" s="449"/>
      <c r="D45" s="449"/>
      <c r="E45" s="449"/>
      <c r="F45" s="449"/>
      <c r="G45" s="449"/>
      <c r="H45" s="449"/>
      <c r="I45" s="449"/>
      <c r="J45" s="449"/>
      <c r="K45" s="449"/>
      <c r="L45" s="449"/>
      <c r="M45" s="449"/>
    </row>
    <row r="46" spans="2:13" x14ac:dyDescent="0.3">
      <c r="B46" s="626" t="s">
        <v>2815</v>
      </c>
      <c r="C46" s="626"/>
      <c r="D46" s="626"/>
      <c r="E46" s="626"/>
      <c r="F46" s="626"/>
      <c r="G46" s="626"/>
      <c r="H46" s="626"/>
      <c r="I46" s="626"/>
      <c r="J46" s="626"/>
      <c r="K46" s="626"/>
      <c r="L46" s="626"/>
      <c r="M46" s="626"/>
    </row>
    <row r="47" spans="2:13" x14ac:dyDescent="0.3">
      <c r="B47" s="397"/>
      <c r="C47" s="397"/>
      <c r="D47" s="397"/>
      <c r="E47" s="397"/>
      <c r="F47" s="397"/>
      <c r="G47" s="397"/>
      <c r="H47" s="397"/>
      <c r="I47" s="397"/>
      <c r="J47" s="397"/>
      <c r="K47" s="397"/>
      <c r="L47" s="397"/>
      <c r="M47" s="397"/>
    </row>
    <row r="48" spans="2:13" ht="14.4" customHeight="1" x14ac:dyDescent="0.3">
      <c r="B48" s="627" t="s">
        <v>2837</v>
      </c>
      <c r="C48" s="627"/>
      <c r="D48" s="627"/>
      <c r="E48" s="627"/>
      <c r="F48" s="627"/>
      <c r="G48" s="627"/>
      <c r="H48" s="627"/>
      <c r="I48" s="627"/>
      <c r="J48" s="627"/>
      <c r="K48" s="627"/>
      <c r="L48" s="627"/>
      <c r="M48" s="627"/>
    </row>
    <row r="49" spans="2:13" x14ac:dyDescent="0.3">
      <c r="B49" s="627"/>
      <c r="C49" s="627"/>
      <c r="D49" s="627"/>
      <c r="E49" s="627"/>
      <c r="F49" s="627"/>
      <c r="G49" s="627"/>
      <c r="H49" s="627"/>
      <c r="I49" s="627"/>
      <c r="J49" s="627"/>
      <c r="K49" s="627"/>
      <c r="L49" s="627"/>
      <c r="M49" s="627"/>
    </row>
    <row r="50" spans="2:13" x14ac:dyDescent="0.3">
      <c r="B50" s="627"/>
      <c r="C50" s="627"/>
      <c r="D50" s="627"/>
      <c r="E50" s="627"/>
      <c r="F50" s="627"/>
      <c r="G50" s="627"/>
      <c r="H50" s="627"/>
      <c r="I50" s="627"/>
      <c r="J50" s="627"/>
      <c r="K50" s="627"/>
      <c r="L50" s="627"/>
      <c r="M50" s="627"/>
    </row>
    <row r="51" spans="2:13" x14ac:dyDescent="0.3">
      <c r="B51" s="627"/>
      <c r="C51" s="627"/>
      <c r="D51" s="627"/>
      <c r="E51" s="627"/>
      <c r="F51" s="627"/>
      <c r="G51" s="627"/>
      <c r="H51" s="627"/>
      <c r="I51" s="627"/>
      <c r="J51" s="627"/>
      <c r="K51" s="627"/>
      <c r="L51" s="627"/>
      <c r="M51" s="627"/>
    </row>
    <row r="52" spans="2:13" x14ac:dyDescent="0.3">
      <c r="B52" s="627"/>
      <c r="C52" s="627"/>
      <c r="D52" s="627"/>
      <c r="E52" s="627"/>
      <c r="F52" s="627"/>
      <c r="G52" s="627"/>
      <c r="H52" s="627"/>
      <c r="I52" s="627"/>
      <c r="J52" s="627"/>
      <c r="K52" s="627"/>
      <c r="L52" s="627"/>
      <c r="M52" s="627"/>
    </row>
    <row r="53" spans="2:13" x14ac:dyDescent="0.3">
      <c r="B53" s="397"/>
      <c r="C53" s="397"/>
      <c r="D53" s="397"/>
      <c r="E53" s="397"/>
      <c r="F53" s="397"/>
      <c r="G53" s="397"/>
      <c r="H53" s="397"/>
      <c r="I53" s="397"/>
      <c r="J53" s="397"/>
      <c r="K53" s="397"/>
      <c r="L53" s="397"/>
      <c r="M53" s="397"/>
    </row>
    <row r="54" spans="2:13" x14ac:dyDescent="0.3">
      <c r="B54" s="398"/>
      <c r="C54" s="398"/>
      <c r="D54" s="398"/>
      <c r="E54" s="398"/>
      <c r="F54" s="398"/>
      <c r="G54" s="398"/>
      <c r="H54" s="398"/>
      <c r="I54" s="398"/>
      <c r="J54" s="398"/>
      <c r="K54" s="398"/>
      <c r="L54" s="398"/>
      <c r="M54" s="398"/>
    </row>
    <row r="55" spans="2:13" x14ac:dyDescent="0.3">
      <c r="B55" s="397"/>
      <c r="C55" s="397"/>
      <c r="D55" s="397"/>
      <c r="E55" s="397"/>
      <c r="F55" s="397"/>
      <c r="G55" s="397"/>
      <c r="H55" s="397"/>
      <c r="I55" s="397"/>
      <c r="J55" s="397"/>
      <c r="K55" s="397"/>
      <c r="L55" s="397"/>
      <c r="M55" s="397"/>
    </row>
    <row r="56" spans="2:13" x14ac:dyDescent="0.3">
      <c r="B56" s="513" t="s">
        <v>2744</v>
      </c>
      <c r="C56" s="513"/>
      <c r="D56" s="513"/>
      <c r="E56" s="513"/>
      <c r="F56" s="513"/>
      <c r="G56" s="513"/>
      <c r="H56" s="513"/>
      <c r="I56" s="513"/>
      <c r="J56" s="513"/>
      <c r="K56" s="513"/>
      <c r="L56" s="513"/>
      <c r="M56" s="513"/>
    </row>
    <row r="58" spans="2:13" x14ac:dyDescent="0.3">
      <c r="B58" s="397"/>
      <c r="C58" s="397"/>
      <c r="D58" s="397"/>
      <c r="E58" s="397"/>
      <c r="F58" s="397"/>
      <c r="G58" s="397"/>
      <c r="H58" s="397"/>
      <c r="I58" s="397"/>
      <c r="J58" s="397"/>
      <c r="K58" s="397"/>
      <c r="L58" s="397"/>
      <c r="M58" s="397"/>
    </row>
    <row r="59" spans="2:13" x14ac:dyDescent="0.3">
      <c r="B59" s="397"/>
      <c r="C59" s="397"/>
      <c r="D59" s="397"/>
      <c r="E59" s="397"/>
      <c r="F59" s="397"/>
      <c r="G59" s="397"/>
      <c r="H59" s="397"/>
      <c r="I59" s="397"/>
      <c r="J59" s="397"/>
      <c r="K59" s="397"/>
      <c r="L59" s="397"/>
      <c r="M59" s="397"/>
    </row>
    <row r="60" spans="2:13" x14ac:dyDescent="0.3">
      <c r="B60" s="397"/>
      <c r="C60" s="397"/>
      <c r="D60" s="397"/>
      <c r="E60" s="397"/>
      <c r="F60" s="397"/>
      <c r="G60" s="397"/>
      <c r="H60" s="397"/>
      <c r="I60" s="397"/>
      <c r="J60" s="397"/>
      <c r="K60" s="397"/>
      <c r="L60" s="397"/>
      <c r="M60" s="397"/>
    </row>
    <row r="61" spans="2:13" x14ac:dyDescent="0.3">
      <c r="B61" s="397"/>
      <c r="C61" s="397"/>
      <c r="D61" s="397"/>
      <c r="E61" s="397"/>
      <c r="F61" s="397"/>
      <c r="G61" s="397"/>
      <c r="H61" s="397"/>
      <c r="I61" s="397"/>
      <c r="J61" s="397"/>
      <c r="K61" s="397"/>
      <c r="L61" s="397"/>
      <c r="M61" s="397"/>
    </row>
  </sheetData>
  <mergeCells count="13">
    <mergeCell ref="B20:M26"/>
    <mergeCell ref="B30:M35"/>
    <mergeCell ref="B37:M37"/>
    <mergeCell ref="B56:M56"/>
    <mergeCell ref="B46:M46"/>
    <mergeCell ref="B48:M52"/>
    <mergeCell ref="B39:M44"/>
    <mergeCell ref="B28:M28"/>
    <mergeCell ref="B1:J4"/>
    <mergeCell ref="B6:M6"/>
    <mergeCell ref="B8:M8"/>
    <mergeCell ref="B10:M16"/>
    <mergeCell ref="B18:M18"/>
  </mergeCells>
  <printOptions horizontalCentered="1" verticalCentered="1"/>
  <pageMargins left="0" right="0" top="0" bottom="0" header="0" footer="0"/>
  <pageSetup paperSize="9" scale="95" orientation="portrait" horizontalDpi="1200" verticalDpi="1200" r:id="rId1"/>
  <rowBreaks count="1" manualBreakCount="1">
    <brk id="56" max="16383" man="1"/>
  </rowBreaks>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1:M63"/>
  <sheetViews>
    <sheetView zoomScale="70" zoomScaleNormal="70" workbookViewId="0"/>
  </sheetViews>
  <sheetFormatPr defaultRowHeight="14.4" x14ac:dyDescent="0.3"/>
  <cols>
    <col min="1" max="1" width="2" style="53" customWidth="1"/>
    <col min="2" max="16384" width="8.88671875" style="53"/>
  </cols>
  <sheetData>
    <row r="1" spans="2:13" x14ac:dyDescent="0.3">
      <c r="B1" s="614" t="s">
        <v>2679</v>
      </c>
      <c r="C1" s="614"/>
      <c r="D1" s="614"/>
      <c r="E1" s="614"/>
      <c r="F1" s="614"/>
      <c r="G1" s="614"/>
      <c r="H1" s="614"/>
      <c r="I1" s="614"/>
      <c r="J1" s="614"/>
      <c r="K1" s="127"/>
      <c r="L1" s="127"/>
      <c r="M1" s="127"/>
    </row>
    <row r="2" spans="2:13" x14ac:dyDescent="0.3">
      <c r="B2" s="614"/>
      <c r="C2" s="614"/>
      <c r="D2" s="614"/>
      <c r="E2" s="614"/>
      <c r="F2" s="614"/>
      <c r="G2" s="614"/>
      <c r="H2" s="614"/>
      <c r="I2" s="614"/>
      <c r="J2" s="614"/>
      <c r="K2" s="127"/>
      <c r="L2" s="127"/>
      <c r="M2" s="127"/>
    </row>
    <row r="3" spans="2:13" x14ac:dyDescent="0.3">
      <c r="B3" s="614"/>
      <c r="C3" s="614"/>
      <c r="D3" s="614"/>
      <c r="E3" s="614"/>
      <c r="F3" s="614"/>
      <c r="G3" s="614"/>
      <c r="H3" s="614"/>
      <c r="I3" s="614"/>
      <c r="J3" s="614"/>
      <c r="K3" s="127"/>
      <c r="L3" s="127"/>
      <c r="M3" s="127"/>
    </row>
    <row r="4" spans="2:13" x14ac:dyDescent="0.3">
      <c r="B4" s="614"/>
      <c r="C4" s="614"/>
      <c r="D4" s="614"/>
      <c r="E4" s="614"/>
      <c r="F4" s="614"/>
      <c r="G4" s="614"/>
      <c r="H4" s="614"/>
      <c r="I4" s="614"/>
      <c r="J4" s="614"/>
      <c r="K4" s="127"/>
      <c r="L4" s="127"/>
      <c r="M4" s="127"/>
    </row>
    <row r="5" spans="2:13" x14ac:dyDescent="0.3">
      <c r="B5" s="397"/>
      <c r="C5" s="397"/>
      <c r="D5" s="397"/>
      <c r="E5" s="397"/>
      <c r="F5" s="397"/>
      <c r="G5" s="397"/>
      <c r="H5" s="397"/>
      <c r="I5" s="397"/>
      <c r="J5" s="397"/>
      <c r="K5" s="397"/>
      <c r="L5" s="397"/>
      <c r="M5" s="397"/>
    </row>
    <row r="6" spans="2:13" ht="17.399999999999999" x14ac:dyDescent="0.3">
      <c r="B6" s="611" t="s">
        <v>2800</v>
      </c>
      <c r="C6" s="611"/>
      <c r="D6" s="611"/>
      <c r="E6" s="611"/>
      <c r="F6" s="611"/>
      <c r="G6" s="611"/>
      <c r="H6" s="611"/>
      <c r="I6" s="611"/>
      <c r="J6" s="611"/>
      <c r="K6" s="611"/>
      <c r="L6" s="611"/>
      <c r="M6" s="611"/>
    </row>
    <row r="7" spans="2:13" x14ac:dyDescent="0.3">
      <c r="B7" s="397"/>
      <c r="C7" s="397"/>
      <c r="D7" s="397"/>
      <c r="E7" s="397"/>
      <c r="F7" s="397"/>
      <c r="G7" s="397"/>
      <c r="H7" s="397"/>
      <c r="I7" s="397"/>
      <c r="J7" s="397"/>
      <c r="K7" s="397"/>
      <c r="L7" s="397"/>
      <c r="M7" s="397"/>
    </row>
    <row r="8" spans="2:13" x14ac:dyDescent="0.3">
      <c r="B8" s="626" t="s">
        <v>2819</v>
      </c>
      <c r="C8" s="626"/>
      <c r="D8" s="626"/>
      <c r="E8" s="626"/>
      <c r="F8" s="626"/>
      <c r="G8" s="626"/>
      <c r="H8" s="626"/>
      <c r="I8" s="626"/>
      <c r="J8" s="626"/>
      <c r="K8" s="626"/>
      <c r="L8" s="626"/>
      <c r="M8" s="626"/>
    </row>
    <row r="9" spans="2:13" x14ac:dyDescent="0.3">
      <c r="B9" s="397"/>
      <c r="C9" s="397"/>
      <c r="D9" s="397"/>
      <c r="E9" s="397"/>
      <c r="F9" s="397"/>
      <c r="G9" s="397"/>
      <c r="H9" s="397"/>
      <c r="I9" s="397"/>
      <c r="J9" s="397"/>
      <c r="K9" s="397"/>
      <c r="L9" s="397"/>
      <c r="M9" s="397"/>
    </row>
    <row r="10" spans="2:13" ht="14.4" customHeight="1" x14ac:dyDescent="0.3">
      <c r="B10" s="627" t="s">
        <v>2833</v>
      </c>
      <c r="C10" s="627"/>
      <c r="D10" s="627"/>
      <c r="E10" s="627"/>
      <c r="F10" s="627"/>
      <c r="G10" s="627"/>
      <c r="H10" s="627"/>
      <c r="I10" s="627"/>
      <c r="J10" s="627"/>
      <c r="K10" s="627"/>
      <c r="L10" s="627"/>
      <c r="M10" s="627"/>
    </row>
    <row r="11" spans="2:13" x14ac:dyDescent="0.3">
      <c r="B11" s="627"/>
      <c r="C11" s="627"/>
      <c r="D11" s="627"/>
      <c r="E11" s="627"/>
      <c r="F11" s="627"/>
      <c r="G11" s="627"/>
      <c r="H11" s="627"/>
      <c r="I11" s="627"/>
      <c r="J11" s="627"/>
      <c r="K11" s="627"/>
      <c r="L11" s="627"/>
      <c r="M11" s="627"/>
    </row>
    <row r="12" spans="2:13" x14ac:dyDescent="0.3">
      <c r="B12" s="627"/>
      <c r="C12" s="627"/>
      <c r="D12" s="627"/>
      <c r="E12" s="627"/>
      <c r="F12" s="627"/>
      <c r="G12" s="627"/>
      <c r="H12" s="627"/>
      <c r="I12" s="627"/>
      <c r="J12" s="627"/>
      <c r="K12" s="627"/>
      <c r="L12" s="627"/>
      <c r="M12" s="627"/>
    </row>
    <row r="13" spans="2:13" x14ac:dyDescent="0.3">
      <c r="B13" s="627"/>
      <c r="C13" s="627"/>
      <c r="D13" s="627"/>
      <c r="E13" s="627"/>
      <c r="F13" s="627"/>
      <c r="G13" s="627"/>
      <c r="H13" s="627"/>
      <c r="I13" s="627"/>
      <c r="J13" s="627"/>
      <c r="K13" s="627"/>
      <c r="L13" s="627"/>
      <c r="M13" s="627"/>
    </row>
    <row r="14" spans="2:13" x14ac:dyDescent="0.3">
      <c r="B14" s="627"/>
      <c r="C14" s="627"/>
      <c r="D14" s="627"/>
      <c r="E14" s="627"/>
      <c r="F14" s="627"/>
      <c r="G14" s="627"/>
      <c r="H14" s="627"/>
      <c r="I14" s="627"/>
      <c r="J14" s="627"/>
      <c r="K14" s="627"/>
      <c r="L14" s="627"/>
      <c r="M14" s="627"/>
    </row>
    <row r="15" spans="2:13" ht="7.05" customHeight="1" x14ac:dyDescent="0.3">
      <c r="B15" s="449"/>
      <c r="C15" s="449"/>
      <c r="D15" s="449"/>
      <c r="E15" s="449"/>
      <c r="F15" s="449"/>
      <c r="G15" s="449"/>
      <c r="H15" s="449"/>
      <c r="I15" s="449"/>
      <c r="J15" s="449"/>
      <c r="K15" s="449"/>
      <c r="L15" s="449"/>
      <c r="M15" s="449"/>
    </row>
    <row r="16" spans="2:13" x14ac:dyDescent="0.3">
      <c r="B16" s="626" t="s">
        <v>2820</v>
      </c>
      <c r="C16" s="626"/>
      <c r="D16" s="626"/>
      <c r="E16" s="626"/>
      <c r="F16" s="626"/>
      <c r="G16" s="626"/>
      <c r="H16" s="626"/>
      <c r="I16" s="626"/>
      <c r="J16" s="626"/>
      <c r="K16" s="626"/>
      <c r="L16" s="626"/>
      <c r="M16" s="626"/>
    </row>
    <row r="17" spans="2:13" x14ac:dyDescent="0.3">
      <c r="B17" s="453"/>
      <c r="C17" s="453"/>
      <c r="D17" s="453"/>
      <c r="E17" s="453"/>
      <c r="F17" s="453"/>
      <c r="G17" s="453"/>
      <c r="H17" s="453"/>
      <c r="I17" s="453"/>
      <c r="J17" s="453"/>
      <c r="K17" s="453"/>
      <c r="L17" s="453"/>
      <c r="M17" s="453"/>
    </row>
    <row r="18" spans="2:13" x14ac:dyDescent="0.3">
      <c r="B18" s="627" t="s">
        <v>2834</v>
      </c>
      <c r="C18" s="628"/>
      <c r="D18" s="628"/>
      <c r="E18" s="628"/>
      <c r="F18" s="628"/>
      <c r="G18" s="628"/>
      <c r="H18" s="628"/>
      <c r="I18" s="628"/>
      <c r="J18" s="628"/>
      <c r="K18" s="628"/>
      <c r="L18" s="628"/>
      <c r="M18" s="628"/>
    </row>
    <row r="19" spans="2:13" x14ac:dyDescent="0.3">
      <c r="B19" s="628"/>
      <c r="C19" s="628"/>
      <c r="D19" s="628"/>
      <c r="E19" s="628"/>
      <c r="F19" s="628"/>
      <c r="G19" s="628"/>
      <c r="H19" s="628"/>
      <c r="I19" s="628"/>
      <c r="J19" s="628"/>
      <c r="K19" s="628"/>
      <c r="L19" s="628"/>
      <c r="M19" s="628"/>
    </row>
    <row r="20" spans="2:13" x14ac:dyDescent="0.3">
      <c r="B20" s="628"/>
      <c r="C20" s="628"/>
      <c r="D20" s="628"/>
      <c r="E20" s="628"/>
      <c r="F20" s="628"/>
      <c r="G20" s="628"/>
      <c r="H20" s="628"/>
      <c r="I20" s="628"/>
      <c r="J20" s="628"/>
      <c r="K20" s="628"/>
      <c r="L20" s="628"/>
      <c r="M20" s="628"/>
    </row>
    <row r="21" spans="2:13" x14ac:dyDescent="0.3">
      <c r="B21" s="628"/>
      <c r="C21" s="628"/>
      <c r="D21" s="628"/>
      <c r="E21" s="628"/>
      <c r="F21" s="628"/>
      <c r="G21" s="628"/>
      <c r="H21" s="628"/>
      <c r="I21" s="628"/>
      <c r="J21" s="628"/>
      <c r="K21" s="628"/>
      <c r="L21" s="628"/>
      <c r="M21" s="628"/>
    </row>
    <row r="22" spans="2:13" x14ac:dyDescent="0.3">
      <c r="B22" s="628"/>
      <c r="C22" s="628"/>
      <c r="D22" s="628"/>
      <c r="E22" s="628"/>
      <c r="F22" s="628"/>
      <c r="G22" s="628"/>
      <c r="H22" s="628"/>
      <c r="I22" s="628"/>
      <c r="J22" s="628"/>
      <c r="K22" s="628"/>
      <c r="L22" s="628"/>
      <c r="M22" s="628"/>
    </row>
    <row r="23" spans="2:13" x14ac:dyDescent="0.3">
      <c r="B23" s="628"/>
      <c r="C23" s="628"/>
      <c r="D23" s="628"/>
      <c r="E23" s="628"/>
      <c r="F23" s="628"/>
      <c r="G23" s="628"/>
      <c r="H23" s="628"/>
      <c r="I23" s="628"/>
      <c r="J23" s="628"/>
      <c r="K23" s="628"/>
      <c r="L23" s="628"/>
      <c r="M23" s="628"/>
    </row>
    <row r="24" spans="2:13" x14ac:dyDescent="0.3">
      <c r="B24" s="628"/>
      <c r="C24" s="628"/>
      <c r="D24" s="628"/>
      <c r="E24" s="628"/>
      <c r="F24" s="628"/>
      <c r="G24" s="628"/>
      <c r="H24" s="628"/>
      <c r="I24" s="628"/>
      <c r="J24" s="628"/>
      <c r="K24" s="628"/>
      <c r="L24" s="628"/>
      <c r="M24" s="628"/>
    </row>
    <row r="25" spans="2:13" ht="7.05" customHeight="1" x14ac:dyDescent="0.3">
      <c r="B25" s="449"/>
      <c r="C25" s="449"/>
      <c r="D25" s="449"/>
      <c r="E25" s="449"/>
      <c r="F25" s="449"/>
      <c r="G25" s="449"/>
      <c r="H25" s="449"/>
      <c r="I25" s="449"/>
      <c r="J25" s="449"/>
      <c r="K25" s="449"/>
      <c r="L25" s="449"/>
      <c r="M25" s="449"/>
    </row>
    <row r="26" spans="2:13" x14ac:dyDescent="0.3">
      <c r="B26" s="626" t="s">
        <v>2818</v>
      </c>
      <c r="C26" s="626"/>
      <c r="D26" s="626"/>
      <c r="E26" s="626"/>
      <c r="F26" s="626"/>
      <c r="G26" s="626"/>
      <c r="H26" s="626"/>
      <c r="I26" s="626"/>
      <c r="J26" s="626"/>
      <c r="K26" s="626"/>
      <c r="L26" s="626"/>
      <c r="M26" s="626"/>
    </row>
    <row r="27" spans="2:13" x14ac:dyDescent="0.3">
      <c r="B27" s="397"/>
      <c r="C27" s="397"/>
      <c r="D27" s="397"/>
      <c r="E27" s="397"/>
      <c r="F27" s="397"/>
      <c r="G27" s="397"/>
      <c r="H27" s="397"/>
      <c r="I27" s="397"/>
      <c r="J27" s="397"/>
      <c r="K27" s="397"/>
      <c r="L27" s="397"/>
      <c r="M27" s="397"/>
    </row>
    <row r="28" spans="2:13" ht="14.4" customHeight="1" x14ac:dyDescent="0.3">
      <c r="B28" s="627" t="s">
        <v>2835</v>
      </c>
      <c r="C28" s="627"/>
      <c r="D28" s="627"/>
      <c r="E28" s="627"/>
      <c r="F28" s="627"/>
      <c r="G28" s="627"/>
      <c r="H28" s="627"/>
      <c r="I28" s="627"/>
      <c r="J28" s="627"/>
      <c r="K28" s="627"/>
      <c r="L28" s="627"/>
      <c r="M28" s="627"/>
    </row>
    <row r="29" spans="2:13" x14ac:dyDescent="0.3">
      <c r="B29" s="627"/>
      <c r="C29" s="627"/>
      <c r="D29" s="627"/>
      <c r="E29" s="627"/>
      <c r="F29" s="627"/>
      <c r="G29" s="627"/>
      <c r="H29" s="627"/>
      <c r="I29" s="627"/>
      <c r="J29" s="627"/>
      <c r="K29" s="627"/>
      <c r="L29" s="627"/>
      <c r="M29" s="627"/>
    </row>
    <row r="30" spans="2:13" x14ac:dyDescent="0.3">
      <c r="B30" s="627"/>
      <c r="C30" s="627"/>
      <c r="D30" s="627"/>
      <c r="E30" s="627"/>
      <c r="F30" s="627"/>
      <c r="G30" s="627"/>
      <c r="H30" s="627"/>
      <c r="I30" s="627"/>
      <c r="J30" s="627"/>
      <c r="K30" s="627"/>
      <c r="L30" s="627"/>
      <c r="M30" s="627"/>
    </row>
    <row r="31" spans="2:13" x14ac:dyDescent="0.3">
      <c r="B31" s="627"/>
      <c r="C31" s="627"/>
      <c r="D31" s="627"/>
      <c r="E31" s="627"/>
      <c r="F31" s="627"/>
      <c r="G31" s="627"/>
      <c r="H31" s="627"/>
      <c r="I31" s="627"/>
      <c r="J31" s="627"/>
      <c r="K31" s="627"/>
      <c r="L31" s="627"/>
      <c r="M31" s="627"/>
    </row>
    <row r="32" spans="2:13" x14ac:dyDescent="0.3">
      <c r="B32" s="627"/>
      <c r="C32" s="627"/>
      <c r="D32" s="627"/>
      <c r="E32" s="627"/>
      <c r="F32" s="627"/>
      <c r="G32" s="627"/>
      <c r="H32" s="627"/>
      <c r="I32" s="627"/>
      <c r="J32" s="627"/>
      <c r="K32" s="627"/>
      <c r="L32" s="627"/>
      <c r="M32" s="627"/>
    </row>
    <row r="33" spans="2:13" ht="7.05" customHeight="1" x14ac:dyDescent="0.3">
      <c r="B33" s="449"/>
      <c r="C33" s="449"/>
      <c r="D33" s="449"/>
      <c r="E33" s="449"/>
      <c r="F33" s="449"/>
      <c r="G33" s="449"/>
      <c r="H33" s="449"/>
      <c r="I33" s="449"/>
      <c r="J33" s="449"/>
      <c r="K33" s="449"/>
      <c r="L33" s="449"/>
      <c r="M33" s="449"/>
    </row>
    <row r="34" spans="2:13" x14ac:dyDescent="0.3">
      <c r="B34" s="626" t="s">
        <v>2821</v>
      </c>
      <c r="C34" s="626"/>
      <c r="D34" s="626"/>
      <c r="E34" s="626"/>
      <c r="F34" s="626"/>
      <c r="G34" s="626"/>
      <c r="H34" s="626"/>
      <c r="I34" s="626"/>
      <c r="J34" s="626"/>
      <c r="K34" s="626"/>
      <c r="L34" s="626"/>
      <c r="M34" s="626"/>
    </row>
    <row r="35" spans="2:13" x14ac:dyDescent="0.3">
      <c r="B35" s="397"/>
      <c r="C35" s="397"/>
      <c r="D35" s="397"/>
      <c r="E35" s="397"/>
      <c r="F35" s="397"/>
      <c r="G35" s="397"/>
      <c r="H35" s="397"/>
      <c r="I35" s="397"/>
      <c r="J35" s="397"/>
      <c r="K35" s="397"/>
      <c r="L35" s="397"/>
      <c r="M35" s="397"/>
    </row>
    <row r="36" spans="2:13" ht="14.4" customHeight="1" x14ac:dyDescent="0.3">
      <c r="B36" s="639" t="s">
        <v>2825</v>
      </c>
      <c r="C36" s="639"/>
      <c r="D36" s="639"/>
      <c r="E36" s="639"/>
      <c r="F36" s="639"/>
      <c r="G36" s="639"/>
      <c r="H36" s="639" t="s">
        <v>2823</v>
      </c>
      <c r="I36" s="639"/>
      <c r="J36" s="639"/>
      <c r="K36" s="639" t="s">
        <v>2824</v>
      </c>
      <c r="L36" s="639"/>
      <c r="M36" s="639"/>
    </row>
    <row r="37" spans="2:13" ht="13.95" customHeight="1" x14ac:dyDescent="0.3">
      <c r="B37" s="449"/>
      <c r="C37" s="449"/>
      <c r="D37" s="449"/>
      <c r="E37" s="449"/>
      <c r="F37" s="449"/>
      <c r="G37" s="450"/>
      <c r="H37" s="397"/>
      <c r="I37" s="397"/>
      <c r="J37" s="397"/>
      <c r="K37" s="397"/>
      <c r="L37" s="397"/>
      <c r="M37" s="397"/>
    </row>
    <row r="38" spans="2:13" ht="13.95" customHeight="1" x14ac:dyDescent="0.3">
      <c r="B38" s="632" t="s">
        <v>2822</v>
      </c>
      <c r="C38" s="632"/>
      <c r="D38" s="632"/>
      <c r="E38" s="632"/>
      <c r="F38" s="632"/>
      <c r="G38" s="633"/>
      <c r="H38" s="636" t="s">
        <v>2657</v>
      </c>
      <c r="I38" s="636"/>
      <c r="J38" s="636"/>
      <c r="K38" s="636" t="s">
        <v>2831</v>
      </c>
      <c r="L38" s="636"/>
      <c r="M38" s="636"/>
    </row>
    <row r="39" spans="2:13" ht="7.05" customHeight="1" x14ac:dyDescent="0.3">
      <c r="B39" s="457"/>
      <c r="C39" s="397"/>
      <c r="D39" s="397"/>
      <c r="E39" s="397"/>
      <c r="F39" s="397"/>
      <c r="G39" s="451"/>
      <c r="H39" s="397"/>
      <c r="I39" s="397"/>
      <c r="J39" s="397"/>
      <c r="K39" s="397"/>
      <c r="L39" s="397"/>
      <c r="M39" s="397"/>
    </row>
    <row r="40" spans="2:13" ht="13.95" customHeight="1" x14ac:dyDescent="0.3">
      <c r="B40" s="634" t="s">
        <v>2826</v>
      </c>
      <c r="C40" s="634"/>
      <c r="D40" s="634"/>
      <c r="E40" s="634"/>
      <c r="F40" s="634"/>
      <c r="G40" s="635"/>
      <c r="H40" s="631" t="s">
        <v>2832</v>
      </c>
      <c r="I40" s="631"/>
      <c r="J40" s="631"/>
      <c r="K40" s="631"/>
      <c r="L40" s="631"/>
      <c r="M40" s="631"/>
    </row>
    <row r="41" spans="2:13" ht="7.05" customHeight="1" x14ac:dyDescent="0.3">
      <c r="B41" s="455"/>
      <c r="C41" s="455"/>
      <c r="D41" s="455"/>
      <c r="E41" s="455"/>
      <c r="F41" s="455"/>
      <c r="G41" s="456"/>
      <c r="H41" s="455"/>
      <c r="I41" s="455"/>
      <c r="J41" s="455"/>
      <c r="K41" s="455"/>
      <c r="L41" s="455"/>
      <c r="M41" s="455"/>
    </row>
    <row r="42" spans="2:13" ht="13.95" customHeight="1" x14ac:dyDescent="0.3">
      <c r="B42" s="632" t="s">
        <v>2827</v>
      </c>
      <c r="C42" s="632"/>
      <c r="D42" s="632"/>
      <c r="E42" s="632"/>
      <c r="F42" s="632"/>
      <c r="G42" s="633"/>
      <c r="H42" s="636" t="s">
        <v>2578</v>
      </c>
      <c r="I42" s="636"/>
      <c r="J42" s="636"/>
      <c r="K42" s="636" t="s">
        <v>2831</v>
      </c>
      <c r="L42" s="636"/>
      <c r="M42" s="636"/>
    </row>
    <row r="43" spans="2:13" ht="7.05" customHeight="1" x14ac:dyDescent="0.3">
      <c r="B43" s="397"/>
      <c r="C43" s="397"/>
      <c r="D43" s="397"/>
      <c r="E43" s="397"/>
      <c r="F43" s="397"/>
      <c r="G43" s="451"/>
      <c r="H43" s="397"/>
      <c r="I43" s="397"/>
      <c r="J43" s="397"/>
      <c r="K43" s="397"/>
      <c r="L43" s="397"/>
      <c r="M43" s="397"/>
    </row>
    <row r="44" spans="2:13" ht="13.95" customHeight="1" x14ac:dyDescent="0.3">
      <c r="B44" s="634" t="s">
        <v>2826</v>
      </c>
      <c r="C44" s="634"/>
      <c r="D44" s="634"/>
      <c r="E44" s="634"/>
      <c r="F44" s="634"/>
      <c r="G44" s="635"/>
      <c r="H44" s="631" t="s">
        <v>2832</v>
      </c>
      <c r="I44" s="631"/>
      <c r="J44" s="631"/>
      <c r="K44" s="631"/>
      <c r="L44" s="631"/>
      <c r="M44" s="631"/>
    </row>
    <row r="45" spans="2:13" ht="7.05" customHeight="1" x14ac:dyDescent="0.3">
      <c r="B45" s="397"/>
      <c r="C45" s="397"/>
      <c r="D45" s="397"/>
      <c r="E45" s="397"/>
      <c r="F45" s="397"/>
      <c r="G45" s="451"/>
      <c r="H45" s="397"/>
      <c r="I45" s="397"/>
      <c r="J45" s="397"/>
      <c r="K45" s="397"/>
      <c r="L45" s="397"/>
      <c r="M45" s="397"/>
    </row>
    <row r="46" spans="2:13" ht="13.95" customHeight="1" x14ac:dyDescent="0.3">
      <c r="B46" s="637" t="s">
        <v>2828</v>
      </c>
      <c r="C46" s="637"/>
      <c r="D46" s="637"/>
      <c r="E46" s="637"/>
      <c r="F46" s="637"/>
      <c r="G46" s="638"/>
      <c r="H46" s="636" t="s">
        <v>2578</v>
      </c>
      <c r="I46" s="636"/>
      <c r="J46" s="636"/>
      <c r="K46" s="636" t="s">
        <v>2831</v>
      </c>
      <c r="L46" s="636"/>
      <c r="M46" s="636"/>
    </row>
    <row r="47" spans="2:13" ht="7.05" customHeight="1" x14ac:dyDescent="0.3">
      <c r="B47" s="397"/>
      <c r="C47" s="397"/>
      <c r="D47" s="397"/>
      <c r="E47" s="397"/>
      <c r="F47" s="397"/>
      <c r="G47" s="451"/>
      <c r="H47" s="397"/>
      <c r="I47" s="397"/>
      <c r="J47" s="397"/>
      <c r="K47" s="397"/>
      <c r="L47" s="397"/>
      <c r="M47" s="397"/>
    </row>
    <row r="48" spans="2:13" ht="13.95" customHeight="1" x14ac:dyDescent="0.3">
      <c r="B48" s="634" t="s">
        <v>2826</v>
      </c>
      <c r="C48" s="634"/>
      <c r="D48" s="634"/>
      <c r="E48" s="634"/>
      <c r="F48" s="634"/>
      <c r="G48" s="635"/>
      <c r="H48" s="631" t="s">
        <v>2832</v>
      </c>
      <c r="I48" s="631"/>
      <c r="J48" s="631"/>
      <c r="K48" s="631"/>
      <c r="L48" s="631"/>
      <c r="M48" s="631"/>
    </row>
    <row r="49" spans="2:13" ht="7.05" customHeight="1" x14ac:dyDescent="0.3">
      <c r="B49" s="397"/>
      <c r="C49" s="397"/>
      <c r="D49" s="397"/>
      <c r="E49" s="397"/>
      <c r="F49" s="397"/>
      <c r="G49" s="451"/>
      <c r="H49" s="397"/>
      <c r="I49" s="397"/>
      <c r="J49" s="397"/>
      <c r="K49" s="397"/>
      <c r="L49" s="397"/>
      <c r="M49" s="397"/>
    </row>
    <row r="50" spans="2:13" ht="13.95" customHeight="1" x14ac:dyDescent="0.3">
      <c r="B50" s="632" t="s">
        <v>2829</v>
      </c>
      <c r="C50" s="632"/>
      <c r="D50" s="632"/>
      <c r="E50" s="632"/>
      <c r="F50" s="632"/>
      <c r="G50" s="633"/>
      <c r="H50" s="636" t="s">
        <v>2578</v>
      </c>
      <c r="I50" s="636"/>
      <c r="J50" s="636"/>
      <c r="K50" s="636" t="s">
        <v>2831</v>
      </c>
      <c r="L50" s="636"/>
      <c r="M50" s="636"/>
    </row>
    <row r="51" spans="2:13" ht="7.05" customHeight="1" x14ac:dyDescent="0.3">
      <c r="B51" s="455"/>
      <c r="C51" s="455"/>
      <c r="D51" s="455"/>
      <c r="E51" s="455"/>
      <c r="F51" s="455"/>
      <c r="G51" s="456"/>
      <c r="H51" s="397"/>
      <c r="I51" s="397"/>
      <c r="J51" s="397"/>
      <c r="K51" s="397"/>
      <c r="L51" s="397"/>
      <c r="M51" s="397"/>
    </row>
    <row r="52" spans="2:13" ht="13.95" customHeight="1" x14ac:dyDescent="0.3">
      <c r="B52" s="634" t="s">
        <v>2826</v>
      </c>
      <c r="C52" s="634"/>
      <c r="D52" s="634"/>
      <c r="E52" s="634"/>
      <c r="F52" s="634"/>
      <c r="G52" s="635"/>
      <c r="H52" s="631" t="s">
        <v>2832</v>
      </c>
      <c r="I52" s="631"/>
      <c r="J52" s="631"/>
      <c r="K52" s="631"/>
      <c r="L52" s="631"/>
      <c r="M52" s="631"/>
    </row>
    <row r="53" spans="2:13" ht="7.05" customHeight="1" x14ac:dyDescent="0.3">
      <c r="B53" s="455"/>
      <c r="C53" s="455"/>
      <c r="D53" s="455"/>
      <c r="E53" s="455"/>
      <c r="F53" s="455"/>
      <c r="G53" s="456"/>
      <c r="H53" s="397"/>
      <c r="I53" s="397"/>
      <c r="J53" s="397"/>
      <c r="K53" s="397"/>
      <c r="L53" s="397"/>
      <c r="M53" s="397"/>
    </row>
    <row r="54" spans="2:13" ht="13.95" customHeight="1" x14ac:dyDescent="0.3">
      <c r="B54" s="632" t="s">
        <v>2830</v>
      </c>
      <c r="C54" s="632"/>
      <c r="D54" s="632"/>
      <c r="E54" s="632"/>
      <c r="F54" s="632"/>
      <c r="G54" s="633"/>
      <c r="H54" s="636" t="s">
        <v>2578</v>
      </c>
      <c r="I54" s="636"/>
      <c r="J54" s="636"/>
      <c r="K54" s="636" t="s">
        <v>2831</v>
      </c>
      <c r="L54" s="636"/>
      <c r="M54" s="636"/>
    </row>
    <row r="55" spans="2:13" ht="7.05" customHeight="1" x14ac:dyDescent="0.3">
      <c r="B55" s="455"/>
      <c r="C55" s="455"/>
      <c r="D55" s="455"/>
      <c r="E55" s="455"/>
      <c r="F55" s="455"/>
      <c r="G55" s="456"/>
      <c r="H55" s="397"/>
      <c r="I55" s="397"/>
      <c r="J55" s="397"/>
      <c r="K55" s="397"/>
      <c r="L55" s="397"/>
      <c r="M55" s="397"/>
    </row>
    <row r="56" spans="2:13" ht="13.95" customHeight="1" x14ac:dyDescent="0.3">
      <c r="B56" s="634" t="s">
        <v>2826</v>
      </c>
      <c r="C56" s="634"/>
      <c r="D56" s="634"/>
      <c r="E56" s="634"/>
      <c r="F56" s="634"/>
      <c r="G56" s="635"/>
      <c r="H56" s="631" t="s">
        <v>2832</v>
      </c>
      <c r="I56" s="631"/>
      <c r="J56" s="631"/>
      <c r="K56" s="631"/>
      <c r="L56" s="631"/>
      <c r="M56" s="631"/>
    </row>
    <row r="57" spans="2:13" ht="13.95" customHeight="1" x14ac:dyDescent="0.3">
      <c r="B57" s="455"/>
      <c r="C57" s="455"/>
      <c r="D57" s="455"/>
      <c r="E57" s="455"/>
      <c r="F57" s="455"/>
      <c r="G57" s="455"/>
      <c r="H57" s="397"/>
      <c r="I57" s="397"/>
      <c r="J57" s="397"/>
      <c r="K57" s="397"/>
      <c r="L57" s="397"/>
      <c r="M57" s="397"/>
    </row>
    <row r="58" spans="2:13" ht="13.95" customHeight="1" x14ac:dyDescent="0.3">
      <c r="B58" s="398"/>
      <c r="C58" s="398"/>
      <c r="D58" s="398"/>
      <c r="E58" s="398"/>
      <c r="F58" s="398"/>
      <c r="G58" s="398"/>
      <c r="H58" s="398"/>
      <c r="I58" s="398"/>
      <c r="J58" s="398"/>
      <c r="K58" s="398"/>
      <c r="L58" s="398"/>
      <c r="M58" s="398"/>
    </row>
    <row r="59" spans="2:13" x14ac:dyDescent="0.3">
      <c r="B59" s="397"/>
      <c r="C59" s="397"/>
      <c r="D59" s="397"/>
      <c r="E59" s="397"/>
      <c r="F59" s="397"/>
      <c r="G59" s="397"/>
      <c r="H59" s="397"/>
      <c r="I59" s="397"/>
      <c r="J59" s="397"/>
      <c r="K59" s="397"/>
      <c r="L59" s="397"/>
      <c r="M59" s="397"/>
    </row>
    <row r="60" spans="2:13" x14ac:dyDescent="0.3">
      <c r="B60" s="513" t="s">
        <v>2744</v>
      </c>
      <c r="C60" s="513"/>
      <c r="D60" s="513"/>
      <c r="E60" s="513"/>
      <c r="F60" s="513"/>
      <c r="G60" s="513"/>
      <c r="H60" s="513"/>
      <c r="I60" s="513"/>
      <c r="J60" s="513"/>
      <c r="K60" s="513"/>
      <c r="L60" s="513"/>
      <c r="M60" s="513"/>
    </row>
    <row r="62" spans="2:13" x14ac:dyDescent="0.3">
      <c r="B62" s="397"/>
      <c r="C62" s="397"/>
      <c r="D62" s="397"/>
      <c r="E62" s="397"/>
      <c r="F62" s="397"/>
      <c r="G62" s="397"/>
      <c r="H62" s="397"/>
      <c r="I62" s="397"/>
      <c r="J62" s="397"/>
      <c r="K62" s="397"/>
      <c r="L62" s="397"/>
      <c r="M62" s="397"/>
    </row>
    <row r="63" spans="2:13" x14ac:dyDescent="0.3">
      <c r="B63" s="397"/>
      <c r="C63" s="397"/>
      <c r="D63" s="397"/>
      <c r="E63" s="397"/>
      <c r="F63" s="397"/>
      <c r="G63" s="397"/>
      <c r="H63" s="397"/>
      <c r="I63" s="397"/>
      <c r="J63" s="397"/>
      <c r="K63" s="397"/>
      <c r="L63" s="397"/>
      <c r="M63" s="397"/>
    </row>
  </sheetData>
  <mergeCells count="38">
    <mergeCell ref="B38:G38"/>
    <mergeCell ref="B40:G40"/>
    <mergeCell ref="H40:M40"/>
    <mergeCell ref="B18:M24"/>
    <mergeCell ref="B26:M26"/>
    <mergeCell ref="B28:M32"/>
    <mergeCell ref="B34:M34"/>
    <mergeCell ref="B36:G36"/>
    <mergeCell ref="H36:J36"/>
    <mergeCell ref="K36:M36"/>
    <mergeCell ref="H38:J38"/>
    <mergeCell ref="K38:M38"/>
    <mergeCell ref="B1:J4"/>
    <mergeCell ref="B6:M6"/>
    <mergeCell ref="B8:M8"/>
    <mergeCell ref="B10:M14"/>
    <mergeCell ref="B16:M16"/>
    <mergeCell ref="B44:G44"/>
    <mergeCell ref="B42:G42"/>
    <mergeCell ref="B60:M60"/>
    <mergeCell ref="K42:M42"/>
    <mergeCell ref="H42:J42"/>
    <mergeCell ref="H46:J46"/>
    <mergeCell ref="K46:M46"/>
    <mergeCell ref="H44:M44"/>
    <mergeCell ref="B46:G46"/>
    <mergeCell ref="B56:G56"/>
    <mergeCell ref="H50:J50"/>
    <mergeCell ref="H54:J54"/>
    <mergeCell ref="K54:M54"/>
    <mergeCell ref="K50:M50"/>
    <mergeCell ref="H52:M52"/>
    <mergeCell ref="H56:M56"/>
    <mergeCell ref="H48:M48"/>
    <mergeCell ref="B50:G50"/>
    <mergeCell ref="B52:G52"/>
    <mergeCell ref="B54:G54"/>
    <mergeCell ref="B48:G48"/>
  </mergeCells>
  <printOptions horizontalCentered="1" verticalCentered="1"/>
  <pageMargins left="0" right="0" top="0" bottom="0" header="0" footer="0"/>
  <pageSetup paperSize="9" scale="95" orientation="portrait" horizontalDpi="1200" verticalDpi="1200" r:id="rId1"/>
  <rowBreaks count="1" manualBreakCount="1">
    <brk id="60" max="16383" man="1"/>
  </rowBreaks>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1:M56"/>
  <sheetViews>
    <sheetView zoomScale="70" zoomScaleNormal="70" workbookViewId="0"/>
  </sheetViews>
  <sheetFormatPr defaultRowHeight="13.8" x14ac:dyDescent="0.25"/>
  <cols>
    <col min="1" max="1" width="2" style="397" customWidth="1"/>
    <col min="2" max="16384" width="8.88671875" style="397"/>
  </cols>
  <sheetData>
    <row r="1" spans="2:13" x14ac:dyDescent="0.25">
      <c r="B1" s="614" t="s">
        <v>2679</v>
      </c>
      <c r="C1" s="614"/>
      <c r="D1" s="614"/>
      <c r="E1" s="614"/>
      <c r="F1" s="614"/>
      <c r="G1" s="614"/>
      <c r="H1" s="614"/>
      <c r="I1" s="614"/>
      <c r="J1" s="614"/>
      <c r="K1" s="398"/>
      <c r="L1" s="398"/>
      <c r="M1" s="398"/>
    </row>
    <row r="2" spans="2:13" x14ac:dyDescent="0.25">
      <c r="B2" s="614"/>
      <c r="C2" s="614"/>
      <c r="D2" s="614"/>
      <c r="E2" s="614"/>
      <c r="F2" s="614"/>
      <c r="G2" s="614"/>
      <c r="H2" s="614"/>
      <c r="I2" s="614"/>
      <c r="J2" s="614"/>
      <c r="K2" s="398"/>
      <c r="L2" s="398"/>
      <c r="M2" s="398"/>
    </row>
    <row r="3" spans="2:13" x14ac:dyDescent="0.25">
      <c r="B3" s="614"/>
      <c r="C3" s="614"/>
      <c r="D3" s="614"/>
      <c r="E3" s="614"/>
      <c r="F3" s="614"/>
      <c r="G3" s="614"/>
      <c r="H3" s="614"/>
      <c r="I3" s="614"/>
      <c r="J3" s="614"/>
      <c r="K3" s="398"/>
      <c r="L3" s="398"/>
      <c r="M3" s="398"/>
    </row>
    <row r="4" spans="2:13" x14ac:dyDescent="0.25">
      <c r="B4" s="614"/>
      <c r="C4" s="614"/>
      <c r="D4" s="614"/>
      <c r="E4" s="614"/>
      <c r="F4" s="614"/>
      <c r="G4" s="614"/>
      <c r="H4" s="614"/>
      <c r="I4" s="614"/>
      <c r="J4" s="614"/>
      <c r="K4" s="398"/>
      <c r="L4" s="398"/>
      <c r="M4" s="398"/>
    </row>
    <row r="6" spans="2:13" ht="14.4" x14ac:dyDescent="0.3">
      <c r="B6" s="641" t="s">
        <v>2805</v>
      </c>
      <c r="C6" s="641"/>
      <c r="D6" s="641"/>
      <c r="E6" s="641"/>
      <c r="F6" s="641"/>
      <c r="G6" s="641"/>
      <c r="H6" s="641" t="s">
        <v>2806</v>
      </c>
      <c r="I6" s="641"/>
      <c r="J6" s="641"/>
      <c r="K6" s="641"/>
      <c r="L6" s="641"/>
      <c r="M6" s="641"/>
    </row>
    <row r="7" spans="2:13" ht="17.399999999999999" x14ac:dyDescent="0.3">
      <c r="B7" s="640" t="s">
        <v>2794</v>
      </c>
      <c r="C7" s="640"/>
      <c r="D7" s="640"/>
      <c r="E7" s="640"/>
      <c r="F7" s="640"/>
      <c r="G7" s="640"/>
      <c r="H7" s="640" t="s">
        <v>2795</v>
      </c>
      <c r="I7" s="640"/>
      <c r="J7" s="640"/>
      <c r="K7" s="640"/>
      <c r="L7" s="640"/>
      <c r="M7" s="640"/>
    </row>
    <row r="8" spans="2:13" x14ac:dyDescent="0.25">
      <c r="B8" s="449"/>
      <c r="C8" s="449"/>
      <c r="D8" s="449"/>
      <c r="E8" s="449"/>
      <c r="F8" s="449"/>
      <c r="G8" s="450"/>
      <c r="H8" s="449"/>
      <c r="I8" s="449"/>
      <c r="J8" s="449"/>
      <c r="K8" s="449"/>
      <c r="L8" s="449"/>
      <c r="M8" s="449"/>
    </row>
    <row r="9" spans="2:13" x14ac:dyDescent="0.25">
      <c r="G9" s="451"/>
    </row>
    <row r="10" spans="2:13" x14ac:dyDescent="0.25">
      <c r="G10" s="451"/>
    </row>
    <row r="11" spans="2:13" x14ac:dyDescent="0.25">
      <c r="G11" s="451"/>
    </row>
    <row r="12" spans="2:13" x14ac:dyDescent="0.25">
      <c r="G12" s="451"/>
    </row>
    <row r="13" spans="2:13" x14ac:dyDescent="0.25">
      <c r="G13" s="451"/>
    </row>
    <row r="14" spans="2:13" x14ac:dyDescent="0.25">
      <c r="G14" s="451"/>
    </row>
    <row r="15" spans="2:13" x14ac:dyDescent="0.25">
      <c r="G15" s="451"/>
    </row>
    <row r="16" spans="2:13" x14ac:dyDescent="0.25">
      <c r="G16" s="451"/>
    </row>
    <row r="17" spans="2:13" x14ac:dyDescent="0.25">
      <c r="G17" s="451"/>
    </row>
    <row r="18" spans="2:13" x14ac:dyDescent="0.25">
      <c r="G18" s="451"/>
    </row>
    <row r="19" spans="2:13" x14ac:dyDescent="0.25">
      <c r="G19" s="451"/>
    </row>
    <row r="20" spans="2:13" x14ac:dyDescent="0.25">
      <c r="G20" s="451"/>
    </row>
    <row r="21" spans="2:13" x14ac:dyDescent="0.25">
      <c r="G21" s="451"/>
    </row>
    <row r="23" spans="2:13" ht="14.4" x14ac:dyDescent="0.3">
      <c r="B23" s="641" t="s">
        <v>2807</v>
      </c>
      <c r="C23" s="641"/>
      <c r="D23" s="641"/>
      <c r="E23" s="641"/>
      <c r="F23" s="641"/>
      <c r="G23" s="641"/>
      <c r="H23" s="641" t="s">
        <v>2808</v>
      </c>
      <c r="I23" s="641"/>
      <c r="J23" s="641"/>
      <c r="K23" s="641"/>
      <c r="L23" s="641"/>
      <c r="M23" s="641"/>
    </row>
    <row r="24" spans="2:13" ht="17.399999999999999" x14ac:dyDescent="0.3">
      <c r="B24" s="640" t="s">
        <v>2796</v>
      </c>
      <c r="C24" s="640"/>
      <c r="D24" s="640"/>
      <c r="E24" s="640"/>
      <c r="F24" s="640"/>
      <c r="G24" s="640"/>
      <c r="H24" s="640" t="s">
        <v>2797</v>
      </c>
      <c r="I24" s="640"/>
      <c r="J24" s="640"/>
      <c r="K24" s="640"/>
      <c r="L24" s="640"/>
      <c r="M24" s="640"/>
    </row>
    <row r="25" spans="2:13" x14ac:dyDescent="0.25">
      <c r="G25" s="451"/>
    </row>
    <row r="26" spans="2:13" x14ac:dyDescent="0.25">
      <c r="G26" s="451"/>
    </row>
    <row r="27" spans="2:13" x14ac:dyDescent="0.25">
      <c r="G27" s="451"/>
    </row>
    <row r="28" spans="2:13" x14ac:dyDescent="0.25">
      <c r="G28" s="451"/>
    </row>
    <row r="29" spans="2:13" x14ac:dyDescent="0.25">
      <c r="G29" s="451"/>
    </row>
    <row r="30" spans="2:13" x14ac:dyDescent="0.25">
      <c r="G30" s="451"/>
    </row>
    <row r="31" spans="2:13" x14ac:dyDescent="0.25">
      <c r="G31" s="451"/>
    </row>
    <row r="32" spans="2:13" x14ac:dyDescent="0.25">
      <c r="G32" s="451"/>
    </row>
    <row r="33" spans="2:13" x14ac:dyDescent="0.25">
      <c r="G33" s="451"/>
    </row>
    <row r="34" spans="2:13" x14ac:dyDescent="0.25">
      <c r="G34" s="451"/>
    </row>
    <row r="35" spans="2:13" x14ac:dyDescent="0.25">
      <c r="G35" s="451"/>
    </row>
    <row r="36" spans="2:13" x14ac:dyDescent="0.25">
      <c r="G36" s="451"/>
    </row>
    <row r="37" spans="2:13" x14ac:dyDescent="0.25">
      <c r="G37" s="451"/>
    </row>
    <row r="38" spans="2:13" x14ac:dyDescent="0.25">
      <c r="G38" s="451"/>
    </row>
    <row r="40" spans="2:13" ht="14.4" x14ac:dyDescent="0.3">
      <c r="B40" s="641" t="s">
        <v>2809</v>
      </c>
      <c r="C40" s="641"/>
      <c r="D40" s="641"/>
      <c r="E40" s="641"/>
      <c r="F40" s="641"/>
      <c r="G40" s="641"/>
      <c r="H40" s="641"/>
      <c r="I40" s="641"/>
      <c r="J40" s="641"/>
      <c r="K40" s="641"/>
      <c r="L40" s="641"/>
      <c r="M40" s="641"/>
    </row>
    <row r="41" spans="2:13" ht="17.399999999999999" x14ac:dyDescent="0.3">
      <c r="B41" s="640" t="s">
        <v>2798</v>
      </c>
      <c r="C41" s="640"/>
      <c r="D41" s="640"/>
      <c r="E41" s="640"/>
      <c r="F41" s="640"/>
      <c r="G41" s="640"/>
      <c r="H41" s="640"/>
      <c r="I41" s="640"/>
      <c r="J41" s="640"/>
      <c r="K41" s="640"/>
      <c r="L41" s="640"/>
      <c r="M41" s="640"/>
    </row>
    <row r="56" spans="2:13" x14ac:dyDescent="0.25">
      <c r="B56" s="398"/>
      <c r="C56" s="398"/>
      <c r="D56" s="398"/>
      <c r="E56" s="398"/>
      <c r="F56" s="398"/>
      <c r="G56" s="398"/>
      <c r="H56" s="398"/>
      <c r="I56" s="398"/>
      <c r="J56" s="398"/>
      <c r="K56" s="398"/>
      <c r="L56" s="398"/>
      <c r="M56" s="398"/>
    </row>
  </sheetData>
  <mergeCells count="11">
    <mergeCell ref="B1:J4"/>
    <mergeCell ref="B7:G7"/>
    <mergeCell ref="H7:M7"/>
    <mergeCell ref="H24:M24"/>
    <mergeCell ref="B41:M41"/>
    <mergeCell ref="B24:G24"/>
    <mergeCell ref="B6:G6"/>
    <mergeCell ref="H6:M6"/>
    <mergeCell ref="B23:G23"/>
    <mergeCell ref="H23:M23"/>
    <mergeCell ref="B40:M40"/>
  </mergeCells>
  <printOptions horizontalCentered="1" verticalCentered="1"/>
  <pageMargins left="0" right="0" top="0" bottom="0" header="0" footer="0"/>
  <pageSetup paperSize="9" scale="95" orientation="portrait" horizontalDpi="1200" verticalDpi="12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1:M99"/>
  <sheetViews>
    <sheetView zoomScale="70" zoomScaleNormal="70" workbookViewId="0"/>
  </sheetViews>
  <sheetFormatPr defaultRowHeight="14.4" x14ac:dyDescent="0.3"/>
  <cols>
    <col min="1" max="1" width="2" style="190" customWidth="1"/>
    <col min="2" max="3" width="25.77734375" style="190" customWidth="1"/>
    <col min="4" max="16384" width="8.88671875" style="190"/>
  </cols>
  <sheetData>
    <row r="1" spans="2:13" x14ac:dyDescent="0.3">
      <c r="B1" s="646" t="s">
        <v>2679</v>
      </c>
      <c r="C1" s="646"/>
      <c r="D1" s="646"/>
      <c r="E1" s="646"/>
      <c r="F1" s="646"/>
      <c r="G1" s="646"/>
      <c r="H1" s="646"/>
      <c r="I1" s="646"/>
      <c r="J1" s="646"/>
      <c r="K1" s="475"/>
      <c r="L1" s="475"/>
      <c r="M1" s="475"/>
    </row>
    <row r="2" spans="2:13" x14ac:dyDescent="0.3">
      <c r="B2" s="646"/>
      <c r="C2" s="646"/>
      <c r="D2" s="646"/>
      <c r="E2" s="646"/>
      <c r="F2" s="646"/>
      <c r="G2" s="646"/>
      <c r="H2" s="646"/>
      <c r="I2" s="646"/>
      <c r="J2" s="646"/>
      <c r="K2" s="475"/>
      <c r="L2" s="475"/>
      <c r="M2" s="475"/>
    </row>
    <row r="3" spans="2:13" x14ac:dyDescent="0.3">
      <c r="B3" s="646"/>
      <c r="C3" s="646"/>
      <c r="D3" s="646"/>
      <c r="E3" s="646"/>
      <c r="F3" s="646"/>
      <c r="G3" s="646"/>
      <c r="H3" s="646"/>
      <c r="I3" s="646"/>
      <c r="J3" s="646"/>
      <c r="K3" s="475"/>
      <c r="L3" s="475"/>
      <c r="M3" s="475"/>
    </row>
    <row r="4" spans="2:13" x14ac:dyDescent="0.3">
      <c r="B4" s="646"/>
      <c r="C4" s="646"/>
      <c r="D4" s="646"/>
      <c r="E4" s="646"/>
      <c r="F4" s="646"/>
      <c r="G4" s="646"/>
      <c r="H4" s="646"/>
      <c r="I4" s="646"/>
      <c r="J4" s="646"/>
      <c r="K4" s="475"/>
      <c r="L4" s="475"/>
      <c r="M4" s="475"/>
    </row>
    <row r="5" spans="2:13" x14ac:dyDescent="0.3">
      <c r="B5" s="476"/>
      <c r="C5" s="476"/>
      <c r="D5" s="476"/>
      <c r="E5" s="476"/>
      <c r="F5" s="476"/>
      <c r="G5" s="476"/>
      <c r="H5" s="476"/>
      <c r="I5" s="476"/>
      <c r="J5" s="476"/>
      <c r="K5" s="476"/>
      <c r="L5" s="476"/>
      <c r="M5" s="476"/>
    </row>
    <row r="6" spans="2:13" x14ac:dyDescent="0.3">
      <c r="B6" s="647" t="s">
        <v>2884</v>
      </c>
      <c r="C6" s="647"/>
      <c r="D6" s="647"/>
      <c r="E6" s="647"/>
      <c r="F6" s="647"/>
      <c r="G6" s="647"/>
      <c r="H6" s="647"/>
      <c r="I6" s="647"/>
      <c r="J6" s="647"/>
      <c r="K6" s="647"/>
      <c r="L6" s="647"/>
      <c r="M6" s="647"/>
    </row>
    <row r="7" spans="2:13" ht="7.05" customHeight="1" x14ac:dyDescent="0.3">
      <c r="B7" s="476"/>
      <c r="C7" s="476"/>
      <c r="D7" s="476"/>
      <c r="E7" s="476"/>
      <c r="F7" s="476"/>
      <c r="G7" s="476"/>
      <c r="H7" s="476"/>
      <c r="I7" s="476"/>
      <c r="J7" s="476"/>
      <c r="K7" s="476"/>
      <c r="L7" s="476"/>
      <c r="M7" s="476"/>
    </row>
    <row r="8" spans="2:13" ht="17.399999999999999" x14ac:dyDescent="0.3">
      <c r="B8" s="648" t="s">
        <v>2959</v>
      </c>
      <c r="C8" s="648"/>
      <c r="D8" s="648"/>
      <c r="E8" s="648"/>
      <c r="F8" s="648"/>
      <c r="G8" s="648"/>
      <c r="H8" s="648"/>
      <c r="I8" s="648"/>
      <c r="J8" s="648"/>
      <c r="K8" s="648"/>
      <c r="L8" s="648"/>
      <c r="M8" s="648"/>
    </row>
    <row r="9" spans="2:13" ht="7.05" customHeight="1" x14ac:dyDescent="0.3">
      <c r="B9" s="476"/>
      <c r="C9" s="476"/>
      <c r="D9" s="476"/>
      <c r="E9" s="476"/>
      <c r="F9" s="476"/>
      <c r="G9" s="476"/>
      <c r="H9" s="476"/>
      <c r="I9" s="476"/>
      <c r="J9" s="476"/>
      <c r="K9" s="476"/>
      <c r="L9" s="476"/>
      <c r="M9" s="476"/>
    </row>
    <row r="10" spans="2:13" x14ac:dyDescent="0.3">
      <c r="B10" s="649" t="s">
        <v>2885</v>
      </c>
      <c r="C10" s="649"/>
      <c r="D10" s="650" t="s">
        <v>2890</v>
      </c>
      <c r="E10" s="650"/>
      <c r="F10" s="642" t="s">
        <v>2891</v>
      </c>
      <c r="G10" s="642"/>
      <c r="H10" s="642" t="s">
        <v>2892</v>
      </c>
      <c r="I10" s="642"/>
      <c r="J10" s="642" t="s">
        <v>2894</v>
      </c>
      <c r="K10" s="642"/>
      <c r="L10" s="642" t="s">
        <v>2895</v>
      </c>
      <c r="M10" s="642"/>
    </row>
    <row r="11" spans="2:13" ht="7.05" customHeight="1" x14ac:dyDescent="0.3">
      <c r="B11" s="477"/>
      <c r="C11" s="477"/>
      <c r="D11" s="476"/>
      <c r="E11" s="476"/>
      <c r="F11" s="476"/>
      <c r="G11" s="476"/>
      <c r="H11" s="476"/>
      <c r="I11" s="476"/>
      <c r="J11" s="476"/>
      <c r="K11" s="476"/>
      <c r="L11" s="476"/>
      <c r="M11" s="476"/>
    </row>
    <row r="12" spans="2:13" x14ac:dyDescent="0.3">
      <c r="B12" s="477" t="s">
        <v>2886</v>
      </c>
      <c r="C12" s="477"/>
      <c r="D12" s="643">
        <v>20554</v>
      </c>
      <c r="E12" s="643"/>
      <c r="F12" s="643">
        <v>23165</v>
      </c>
      <c r="G12" s="643"/>
      <c r="H12" s="644">
        <v>17437</v>
      </c>
      <c r="I12" s="644"/>
      <c r="J12" s="645">
        <f>F12/D12-1</f>
        <v>0.12703123479614664</v>
      </c>
      <c r="K12" s="645"/>
      <c r="L12" s="645">
        <f>F12/H12-1</f>
        <v>0.32849687446235021</v>
      </c>
      <c r="M12" s="645"/>
    </row>
    <row r="13" spans="2:13" x14ac:dyDescent="0.3">
      <c r="B13" s="477" t="s">
        <v>4</v>
      </c>
      <c r="C13" s="477"/>
      <c r="D13" s="643">
        <v>-13293</v>
      </c>
      <c r="E13" s="643"/>
      <c r="F13" s="643">
        <v>-14746</v>
      </c>
      <c r="G13" s="643"/>
      <c r="H13" s="644">
        <v>-11087</v>
      </c>
      <c r="I13" s="644"/>
      <c r="J13" s="645">
        <f>F13/D13-1</f>
        <v>0.10930564959000977</v>
      </c>
      <c r="K13" s="645"/>
      <c r="L13" s="645">
        <f>F13/H13-1</f>
        <v>0.33002615676016966</v>
      </c>
      <c r="M13" s="645"/>
    </row>
    <row r="14" spans="2:13" ht="7.05" customHeight="1" x14ac:dyDescent="0.3">
      <c r="B14" s="477"/>
      <c r="C14" s="477"/>
      <c r="D14" s="476"/>
      <c r="E14" s="476"/>
      <c r="F14" s="476"/>
      <c r="G14" s="476"/>
      <c r="H14" s="478"/>
      <c r="I14" s="478"/>
      <c r="J14" s="489"/>
      <c r="K14" s="489"/>
      <c r="L14" s="489"/>
      <c r="M14" s="489"/>
    </row>
    <row r="15" spans="2:13" x14ac:dyDescent="0.3">
      <c r="B15" s="480" t="s">
        <v>5</v>
      </c>
      <c r="C15" s="480"/>
      <c r="D15" s="651">
        <f>SUM(D12:E13)</f>
        <v>7261</v>
      </c>
      <c r="E15" s="651"/>
      <c r="F15" s="651">
        <f t="shared" ref="F15" si="0">SUM(F12:G13)</f>
        <v>8419</v>
      </c>
      <c r="G15" s="651"/>
      <c r="H15" s="652">
        <f t="shared" ref="H15" si="1">SUM(H12:I13)</f>
        <v>6350</v>
      </c>
      <c r="I15" s="652"/>
      <c r="J15" s="653">
        <f>F15/D15-1</f>
        <v>0.15948216499104806</v>
      </c>
      <c r="K15" s="653"/>
      <c r="L15" s="653">
        <f>F15/H15-1</f>
        <v>0.32582677165354323</v>
      </c>
      <c r="M15" s="653"/>
    </row>
    <row r="16" spans="2:13" x14ac:dyDescent="0.3">
      <c r="B16" s="482" t="s">
        <v>2887</v>
      </c>
      <c r="C16" s="493"/>
      <c r="D16" s="654">
        <f>D15/D12</f>
        <v>0.35326457137296874</v>
      </c>
      <c r="E16" s="654"/>
      <c r="F16" s="654">
        <f t="shared" ref="F16" si="2">F15/F12</f>
        <v>0.3634362184329808</v>
      </c>
      <c r="G16" s="654"/>
      <c r="H16" s="657">
        <f t="shared" ref="H16" si="3">H15/H12</f>
        <v>0.36416814819062915</v>
      </c>
      <c r="I16" s="657"/>
      <c r="J16" s="657">
        <f>F16/D16-1</f>
        <v>2.8793283799956937E-2</v>
      </c>
      <c r="K16" s="657"/>
      <c r="L16" s="657">
        <f t="shared" ref="L16" si="4">F16/H16-1</f>
        <v>-2.009867588049552E-3</v>
      </c>
      <c r="M16" s="657"/>
    </row>
    <row r="17" spans="2:13" ht="7.05" customHeight="1" x14ac:dyDescent="0.3">
      <c r="B17" s="477"/>
      <c r="C17" s="477"/>
      <c r="D17" s="476"/>
      <c r="E17" s="476"/>
      <c r="F17" s="476"/>
      <c r="G17" s="476"/>
      <c r="H17" s="478"/>
      <c r="I17" s="478"/>
      <c r="J17" s="489"/>
      <c r="K17" s="489"/>
      <c r="L17" s="489"/>
      <c r="M17" s="489"/>
    </row>
    <row r="18" spans="2:13" x14ac:dyDescent="0.3">
      <c r="B18" s="477" t="s">
        <v>2568</v>
      </c>
      <c r="C18" s="477"/>
      <c r="D18" s="643">
        <v>-3009</v>
      </c>
      <c r="E18" s="643"/>
      <c r="F18" s="643">
        <v>-3695</v>
      </c>
      <c r="G18" s="643"/>
      <c r="H18" s="644">
        <v>-3218</v>
      </c>
      <c r="I18" s="644"/>
      <c r="J18" s="645">
        <f>F18/D18-1</f>
        <v>0.22798271851113316</v>
      </c>
      <c r="K18" s="645"/>
      <c r="L18" s="645">
        <f t="shared" ref="L18" si="5">F18/H18-1</f>
        <v>0.14822871348663758</v>
      </c>
      <c r="M18" s="645"/>
    </row>
    <row r="19" spans="2:13" ht="7.05" customHeight="1" x14ac:dyDescent="0.3">
      <c r="B19" s="477"/>
      <c r="C19" s="477"/>
      <c r="D19" s="476"/>
      <c r="E19" s="476"/>
      <c r="F19" s="476"/>
      <c r="G19" s="476"/>
      <c r="H19" s="478"/>
      <c r="I19" s="478"/>
      <c r="J19" s="489"/>
      <c r="K19" s="489"/>
      <c r="L19" s="489"/>
      <c r="M19" s="489"/>
    </row>
    <row r="20" spans="2:13" x14ac:dyDescent="0.3">
      <c r="B20" s="480" t="s">
        <v>7</v>
      </c>
      <c r="C20" s="480"/>
      <c r="D20" s="651">
        <f>SUM(D15,D18)</f>
        <v>4252</v>
      </c>
      <c r="E20" s="651"/>
      <c r="F20" s="651">
        <f t="shared" ref="F20" si="6">SUM(F15,F18)</f>
        <v>4724</v>
      </c>
      <c r="G20" s="651"/>
      <c r="H20" s="652">
        <f t="shared" ref="H20" si="7">SUM(H15,H18)</f>
        <v>3132</v>
      </c>
      <c r="I20" s="652"/>
      <c r="J20" s="653">
        <f>F20/D20-1</f>
        <v>0.11100658513640638</v>
      </c>
      <c r="K20" s="653"/>
      <c r="L20" s="653">
        <f t="shared" ref="L20:L21" si="8">F20/H20-1</f>
        <v>0.50830140485312891</v>
      </c>
      <c r="M20" s="653"/>
    </row>
    <row r="21" spans="2:13" x14ac:dyDescent="0.3">
      <c r="B21" s="482" t="s">
        <v>2888</v>
      </c>
      <c r="C21" s="493"/>
      <c r="D21" s="654">
        <f>D20/D12</f>
        <v>0.20686970905906393</v>
      </c>
      <c r="E21" s="654"/>
      <c r="F21" s="654">
        <f t="shared" ref="F21" si="9">F20/F12</f>
        <v>0.20392834016835742</v>
      </c>
      <c r="G21" s="654"/>
      <c r="H21" s="657">
        <f t="shared" ref="H21" si="10">H20/H12</f>
        <v>0.17961805356425992</v>
      </c>
      <c r="I21" s="657"/>
      <c r="J21" s="657">
        <f>F21/D21-1</f>
        <v>-1.4218461001783034E-2</v>
      </c>
      <c r="K21" s="657"/>
      <c r="L21" s="657">
        <f t="shared" si="8"/>
        <v>0.1353443382872439</v>
      </c>
      <c r="M21" s="657"/>
    </row>
    <row r="22" spans="2:13" ht="7.05" customHeight="1" x14ac:dyDescent="0.3">
      <c r="B22" s="477"/>
      <c r="C22" s="477"/>
      <c r="D22" s="476"/>
      <c r="E22" s="476"/>
      <c r="F22" s="476"/>
      <c r="G22" s="476"/>
      <c r="H22" s="478"/>
      <c r="I22" s="478"/>
      <c r="J22" s="489"/>
      <c r="K22" s="489"/>
      <c r="L22" s="489"/>
      <c r="M22" s="489"/>
    </row>
    <row r="23" spans="2:13" x14ac:dyDescent="0.3">
      <c r="B23" s="477" t="s">
        <v>8</v>
      </c>
      <c r="C23" s="477"/>
      <c r="D23" s="643">
        <v>-814</v>
      </c>
      <c r="E23" s="643"/>
      <c r="F23" s="643">
        <v>-1124</v>
      </c>
      <c r="G23" s="643"/>
      <c r="H23" s="644">
        <v>-916</v>
      </c>
      <c r="I23" s="644"/>
      <c r="J23" s="645">
        <f>F23/D23-1</f>
        <v>0.38083538083538082</v>
      </c>
      <c r="K23" s="645"/>
      <c r="L23" s="645">
        <f t="shared" ref="L23" si="11">F23/H23-1</f>
        <v>0.22707423580786035</v>
      </c>
      <c r="M23" s="645"/>
    </row>
    <row r="24" spans="2:13" ht="7.05" customHeight="1" x14ac:dyDescent="0.3">
      <c r="B24" s="477"/>
      <c r="C24" s="477"/>
      <c r="D24" s="476"/>
      <c r="E24" s="476"/>
      <c r="F24" s="476"/>
      <c r="G24" s="476"/>
      <c r="H24" s="478"/>
      <c r="I24" s="478"/>
      <c r="J24" s="489"/>
      <c r="K24" s="489"/>
      <c r="L24" s="489"/>
      <c r="M24" s="489"/>
    </row>
    <row r="25" spans="2:13" x14ac:dyDescent="0.3">
      <c r="B25" s="480" t="s">
        <v>113</v>
      </c>
      <c r="C25" s="480"/>
      <c r="D25" s="651">
        <f>SUM(D20,D23)</f>
        <v>3438</v>
      </c>
      <c r="E25" s="651"/>
      <c r="F25" s="651">
        <f t="shared" ref="F25" si="12">SUM(F20,F23)</f>
        <v>3600</v>
      </c>
      <c r="G25" s="651"/>
      <c r="H25" s="652">
        <f t="shared" ref="H25" si="13">SUM(H20,H23)</f>
        <v>2216</v>
      </c>
      <c r="I25" s="652"/>
      <c r="J25" s="653">
        <f>F25/D25-1</f>
        <v>4.7120418848167533E-2</v>
      </c>
      <c r="K25" s="653"/>
      <c r="L25" s="653">
        <f t="shared" ref="L25:L26" si="14">F25/H25-1</f>
        <v>0.62454873646209386</v>
      </c>
      <c r="M25" s="653"/>
    </row>
    <row r="26" spans="2:13" x14ac:dyDescent="0.3">
      <c r="B26" s="482" t="s">
        <v>2893</v>
      </c>
      <c r="C26" s="493"/>
      <c r="D26" s="654">
        <f>D25/D12</f>
        <v>0.16726671207550842</v>
      </c>
      <c r="E26" s="654"/>
      <c r="F26" s="654">
        <f t="shared" ref="F26" si="15">F25/F12</f>
        <v>0.1554068638031513</v>
      </c>
      <c r="G26" s="654"/>
      <c r="H26" s="657">
        <f t="shared" ref="H26" si="16">H25/H12</f>
        <v>0.1270860813213282</v>
      </c>
      <c r="I26" s="657"/>
      <c r="J26" s="657">
        <f>F26/D26-1</f>
        <v>-7.0903816576506129E-2</v>
      </c>
      <c r="K26" s="657"/>
      <c r="L26" s="657">
        <f t="shared" si="14"/>
        <v>0.22284724013337076</v>
      </c>
      <c r="M26" s="657"/>
    </row>
    <row r="27" spans="2:13" ht="7.05" customHeight="1" x14ac:dyDescent="0.3">
      <c r="B27" s="477"/>
      <c r="C27" s="477"/>
      <c r="D27" s="476"/>
      <c r="E27" s="476"/>
      <c r="F27" s="476"/>
      <c r="G27" s="476"/>
      <c r="H27" s="478"/>
      <c r="I27" s="478"/>
      <c r="J27" s="489"/>
      <c r="K27" s="489"/>
      <c r="L27" s="489"/>
      <c r="M27" s="489"/>
    </row>
    <row r="28" spans="2:13" x14ac:dyDescent="0.3">
      <c r="B28" s="477" t="s">
        <v>9</v>
      </c>
      <c r="C28" s="477"/>
      <c r="D28" s="643">
        <v>-261</v>
      </c>
      <c r="E28" s="643"/>
      <c r="F28" s="643">
        <v>-475</v>
      </c>
      <c r="G28" s="643"/>
      <c r="H28" s="644">
        <v>-381</v>
      </c>
      <c r="I28" s="644"/>
      <c r="J28" s="645">
        <f>F28/D28-1</f>
        <v>0.81992337164750961</v>
      </c>
      <c r="K28" s="645"/>
      <c r="L28" s="645">
        <f t="shared" ref="L28" si="17">F28/H28-1</f>
        <v>0.24671916010498696</v>
      </c>
      <c r="M28" s="645"/>
    </row>
    <row r="29" spans="2:13" ht="7.05" customHeight="1" x14ac:dyDescent="0.3">
      <c r="B29" s="477"/>
      <c r="C29" s="477"/>
      <c r="D29" s="476"/>
      <c r="E29" s="476"/>
      <c r="F29" s="476"/>
      <c r="G29" s="476"/>
      <c r="H29" s="478"/>
      <c r="I29" s="478"/>
      <c r="J29" s="489"/>
      <c r="K29" s="489"/>
      <c r="L29" s="669"/>
      <c r="M29" s="669"/>
    </row>
    <row r="30" spans="2:13" x14ac:dyDescent="0.3">
      <c r="B30" s="479" t="s">
        <v>10</v>
      </c>
      <c r="C30" s="479"/>
      <c r="D30" s="655">
        <f>SUM(D25,D28)</f>
        <v>3177</v>
      </c>
      <c r="E30" s="655"/>
      <c r="F30" s="655">
        <f t="shared" ref="F30" si="18">SUM(F25,F28)</f>
        <v>3125</v>
      </c>
      <c r="G30" s="655"/>
      <c r="H30" s="656">
        <f t="shared" ref="H30" si="19">SUM(H25,H28)</f>
        <v>1835</v>
      </c>
      <c r="I30" s="656"/>
      <c r="J30" s="658">
        <f>F30/D30-1</f>
        <v>-1.6367642429965357E-2</v>
      </c>
      <c r="K30" s="658"/>
      <c r="L30" s="658">
        <f t="shared" ref="L30" si="20">F30/H30-1</f>
        <v>0.70299727520435962</v>
      </c>
      <c r="M30" s="658"/>
    </row>
    <row r="31" spans="2:13" ht="7.05" customHeight="1" x14ac:dyDescent="0.3">
      <c r="B31" s="477"/>
      <c r="C31" s="477"/>
      <c r="D31" s="476"/>
      <c r="E31" s="476"/>
      <c r="F31" s="476"/>
      <c r="G31" s="476"/>
      <c r="H31" s="478"/>
      <c r="I31" s="478"/>
      <c r="J31" s="489"/>
      <c r="K31" s="489"/>
      <c r="L31" s="669"/>
      <c r="M31" s="669"/>
    </row>
    <row r="32" spans="2:13" x14ac:dyDescent="0.3">
      <c r="B32" s="477" t="s">
        <v>11</v>
      </c>
      <c r="C32" s="477"/>
      <c r="D32" s="643">
        <v>-851</v>
      </c>
      <c r="E32" s="643"/>
      <c r="F32" s="643">
        <v>-625</v>
      </c>
      <c r="G32" s="643"/>
      <c r="H32" s="644">
        <v>-357</v>
      </c>
      <c r="I32" s="644"/>
      <c r="J32" s="645">
        <f>F32/D32-1</f>
        <v>-0.26556991774383076</v>
      </c>
      <c r="K32" s="645"/>
      <c r="L32" s="645">
        <f t="shared" ref="L32" si="21">F32/H32-1</f>
        <v>0.75070028011204482</v>
      </c>
      <c r="M32" s="645"/>
    </row>
    <row r="33" spans="2:13" ht="7.05" customHeight="1" x14ac:dyDescent="0.3">
      <c r="B33" s="477"/>
      <c r="C33" s="477"/>
      <c r="D33" s="476"/>
      <c r="E33" s="476"/>
      <c r="F33" s="476"/>
      <c r="G33" s="476"/>
      <c r="H33" s="478"/>
      <c r="I33" s="478"/>
      <c r="J33" s="489"/>
      <c r="K33" s="489"/>
      <c r="L33" s="489"/>
      <c r="M33" s="489"/>
    </row>
    <row r="34" spans="2:13" x14ac:dyDescent="0.3">
      <c r="B34" s="485" t="s">
        <v>12</v>
      </c>
      <c r="C34" s="485"/>
      <c r="D34" s="651">
        <f>SUM(D30,D32)</f>
        <v>2326</v>
      </c>
      <c r="E34" s="651"/>
      <c r="F34" s="651">
        <f t="shared" ref="F34" si="22">SUM(F30,F32)</f>
        <v>2500</v>
      </c>
      <c r="G34" s="651"/>
      <c r="H34" s="652">
        <f t="shared" ref="H34" si="23">SUM(H30,H32)</f>
        <v>1478</v>
      </c>
      <c r="I34" s="652"/>
      <c r="J34" s="653">
        <f>F34/D34-1</f>
        <v>7.4806534823731674E-2</v>
      </c>
      <c r="K34" s="653"/>
      <c r="L34" s="653">
        <f t="shared" ref="L34:L35" si="24">F34/H34-1</f>
        <v>0.69147496617050064</v>
      </c>
      <c r="M34" s="653"/>
    </row>
    <row r="35" spans="2:13" x14ac:dyDescent="0.3">
      <c r="B35" s="487" t="s">
        <v>2889</v>
      </c>
      <c r="C35" s="483"/>
      <c r="D35" s="654">
        <f>D34/D12</f>
        <v>0.11316532061885765</v>
      </c>
      <c r="E35" s="654"/>
      <c r="F35" s="654">
        <f t="shared" ref="F35" si="25">F34/F12</f>
        <v>0.10792143319663285</v>
      </c>
      <c r="G35" s="654"/>
      <c r="H35" s="657">
        <f t="shared" ref="H35" si="26">H34/H12</f>
        <v>8.4762287090669269E-2</v>
      </c>
      <c r="I35" s="657"/>
      <c r="J35" s="657">
        <f>F35/D35-1</f>
        <v>-4.6338289800691546E-2</v>
      </c>
      <c r="K35" s="657"/>
      <c r="L35" s="657">
        <f t="shared" si="24"/>
        <v>0.27322464861277873</v>
      </c>
      <c r="M35" s="657"/>
    </row>
    <row r="36" spans="2:13" x14ac:dyDescent="0.3">
      <c r="B36" s="476"/>
      <c r="C36" s="476"/>
      <c r="D36" s="476"/>
      <c r="E36" s="476"/>
      <c r="F36" s="476"/>
      <c r="G36" s="476"/>
      <c r="H36" s="476"/>
      <c r="I36" s="476"/>
      <c r="J36" s="476"/>
      <c r="K36" s="476"/>
      <c r="L36" s="476"/>
      <c r="M36" s="476"/>
    </row>
    <row r="37" spans="2:13" x14ac:dyDescent="0.3">
      <c r="B37" s="647" t="s">
        <v>2896</v>
      </c>
      <c r="C37" s="647"/>
      <c r="D37" s="647"/>
      <c r="E37" s="647"/>
      <c r="F37" s="647"/>
      <c r="G37" s="647"/>
      <c r="H37" s="647"/>
      <c r="I37" s="647"/>
      <c r="J37" s="647"/>
      <c r="K37" s="647"/>
      <c r="L37" s="647"/>
      <c r="M37" s="647"/>
    </row>
    <row r="38" spans="2:13" ht="7.05" customHeight="1" x14ac:dyDescent="0.3">
      <c r="B38" s="476"/>
      <c r="C38" s="476"/>
      <c r="D38" s="476"/>
      <c r="E38" s="476"/>
      <c r="F38" s="476"/>
      <c r="G38" s="476"/>
      <c r="H38" s="476"/>
      <c r="I38" s="476"/>
      <c r="J38" s="476"/>
      <c r="K38" s="476"/>
      <c r="L38" s="476"/>
      <c r="M38" s="476"/>
    </row>
    <row r="39" spans="2:13" ht="17.399999999999999" x14ac:dyDescent="0.3">
      <c r="B39" s="648" t="s">
        <v>2960</v>
      </c>
      <c r="C39" s="648"/>
      <c r="D39" s="648"/>
      <c r="E39" s="648"/>
      <c r="F39" s="648"/>
      <c r="G39" s="648"/>
      <c r="H39" s="648"/>
      <c r="I39" s="648"/>
      <c r="J39" s="648"/>
      <c r="K39" s="648"/>
      <c r="L39" s="648"/>
      <c r="M39" s="648"/>
    </row>
    <row r="40" spans="2:13" ht="7.05" customHeight="1" x14ac:dyDescent="0.3">
      <c r="B40" s="476"/>
      <c r="C40" s="476"/>
      <c r="D40" s="476"/>
      <c r="E40" s="476"/>
      <c r="F40" s="476"/>
      <c r="G40" s="476"/>
      <c r="H40" s="476"/>
      <c r="I40" s="476"/>
      <c r="J40" s="476"/>
      <c r="K40" s="476"/>
      <c r="L40" s="476"/>
      <c r="M40" s="476"/>
    </row>
    <row r="41" spans="2:13" x14ac:dyDescent="0.3">
      <c r="B41" s="649" t="s">
        <v>2885</v>
      </c>
      <c r="C41" s="649"/>
      <c r="D41" s="650" t="s">
        <v>2901</v>
      </c>
      <c r="E41" s="650"/>
      <c r="F41" s="642" t="s">
        <v>2900</v>
      </c>
      <c r="G41" s="642"/>
      <c r="H41" s="642" t="s">
        <v>2899</v>
      </c>
      <c r="I41" s="642"/>
      <c r="J41" s="642" t="s">
        <v>2897</v>
      </c>
      <c r="K41" s="642"/>
      <c r="L41" s="642" t="s">
        <v>2898</v>
      </c>
      <c r="M41" s="642"/>
    </row>
    <row r="42" spans="2:13" ht="7.05" customHeight="1" x14ac:dyDescent="0.3">
      <c r="B42" s="476"/>
      <c r="C42" s="476"/>
      <c r="D42" s="476"/>
      <c r="E42" s="476"/>
      <c r="F42" s="476"/>
      <c r="G42" s="476"/>
      <c r="H42" s="476"/>
      <c r="I42" s="476"/>
      <c r="J42" s="476"/>
      <c r="K42" s="476"/>
      <c r="L42" s="476"/>
      <c r="M42" s="476"/>
    </row>
    <row r="43" spans="2:13" x14ac:dyDescent="0.3">
      <c r="B43" s="477" t="s">
        <v>2886</v>
      </c>
      <c r="C43" s="476"/>
      <c r="D43" s="644">
        <f>'INCOME STATEMENT'!$E$14</f>
        <v>63743.060000000005</v>
      </c>
      <c r="E43" s="644"/>
      <c r="F43" s="644">
        <f>'INCOME STATEMENT'!$F$14</f>
        <v>71525</v>
      </c>
      <c r="G43" s="644"/>
      <c r="H43" s="644">
        <f>'INCOME STATEMENT'!$G$14</f>
        <v>76699</v>
      </c>
      <c r="I43" s="644"/>
      <c r="J43" s="659">
        <f>('REVENUE SCHEDULE'!Q$13+'OTHER INCOME SCHEDULE'!Q$11)</f>
        <v>84774.607199999999</v>
      </c>
      <c r="K43" s="659"/>
      <c r="L43" s="660">
        <f>('REVENUE SCHEDULE'!S$13+'OTHER INCOME SCHEDULE'!S$11)</f>
        <v>98777.737486080005</v>
      </c>
      <c r="M43" s="660"/>
    </row>
    <row r="44" spans="2:13" x14ac:dyDescent="0.3">
      <c r="B44" s="477" t="s">
        <v>4</v>
      </c>
      <c r="C44" s="476"/>
      <c r="D44" s="644">
        <f>'INCOME STATEMENT'!$E$18</f>
        <v>-42215.44</v>
      </c>
      <c r="E44" s="644"/>
      <c r="F44" s="644">
        <f>'INCOME STATEMENT'!$F$18</f>
        <v>-46065</v>
      </c>
      <c r="G44" s="644"/>
      <c r="H44" s="644">
        <f>'INCOME STATEMENT'!$G$18</f>
        <v>-49580</v>
      </c>
      <c r="I44" s="644"/>
      <c r="J44" s="659">
        <f>-'COGS SCHEDULE'!Q$9</f>
        <v>-54255.748608000002</v>
      </c>
      <c r="K44" s="659"/>
      <c r="L44" s="660">
        <f>-'COGS SCHEDULE'!S$9</f>
        <v>-63217.751991091201</v>
      </c>
      <c r="M44" s="660"/>
    </row>
    <row r="45" spans="2:13" ht="7.05" customHeight="1" x14ac:dyDescent="0.3">
      <c r="B45" s="477"/>
      <c r="C45" s="476"/>
      <c r="D45" s="478"/>
      <c r="E45" s="478"/>
      <c r="F45" s="478"/>
      <c r="G45" s="478"/>
      <c r="H45" s="478"/>
      <c r="I45" s="478"/>
      <c r="J45" s="492"/>
      <c r="K45" s="492"/>
      <c r="L45" s="490"/>
      <c r="M45" s="490"/>
    </row>
    <row r="46" spans="2:13" x14ac:dyDescent="0.3">
      <c r="B46" s="480" t="s">
        <v>5</v>
      </c>
      <c r="C46" s="481"/>
      <c r="D46" s="652">
        <f>SUM(D43:E44)</f>
        <v>21527.620000000003</v>
      </c>
      <c r="E46" s="652"/>
      <c r="F46" s="652">
        <f t="shared" ref="F46" si="27">SUM(F43:G44)</f>
        <v>25460</v>
      </c>
      <c r="G46" s="652"/>
      <c r="H46" s="652">
        <f t="shared" ref="H46" si="28">SUM(H43:I44)</f>
        <v>27119</v>
      </c>
      <c r="I46" s="652"/>
      <c r="J46" s="661">
        <f t="shared" ref="J46" si="29">SUM(J43:K44)</f>
        <v>30518.858591999997</v>
      </c>
      <c r="K46" s="661"/>
      <c r="L46" s="662">
        <f t="shared" ref="L46" si="30">SUM(L43:M44)</f>
        <v>35559.985494988803</v>
      </c>
      <c r="M46" s="662"/>
    </row>
    <row r="47" spans="2:13" x14ac:dyDescent="0.3">
      <c r="B47" s="482" t="s">
        <v>2887</v>
      </c>
      <c r="C47" s="483"/>
      <c r="D47" s="663">
        <f>D46/D43</f>
        <v>0.33772492252489922</v>
      </c>
      <c r="E47" s="663"/>
      <c r="F47" s="663">
        <f t="shared" ref="F47" si="31">F46/F43</f>
        <v>0.35595945473610624</v>
      </c>
      <c r="G47" s="663"/>
      <c r="H47" s="663">
        <f t="shared" ref="H47" si="32">H46/H43</f>
        <v>0.3535769697127733</v>
      </c>
      <c r="I47" s="663"/>
      <c r="J47" s="664">
        <f t="shared" ref="J47" si="33">J46/J43</f>
        <v>0.36</v>
      </c>
      <c r="K47" s="664"/>
      <c r="L47" s="665">
        <f t="shared" ref="L47" si="34">L46/L43</f>
        <v>0.36000000000000004</v>
      </c>
      <c r="M47" s="665"/>
    </row>
    <row r="48" spans="2:13" ht="7.05" customHeight="1" x14ac:dyDescent="0.3">
      <c r="B48" s="477"/>
      <c r="C48" s="476"/>
      <c r="D48" s="478"/>
      <c r="E48" s="478"/>
      <c r="F48" s="478"/>
      <c r="G48" s="478"/>
      <c r="H48" s="478"/>
      <c r="I48" s="478"/>
      <c r="J48" s="491"/>
      <c r="K48" s="491"/>
      <c r="L48" s="490"/>
      <c r="M48" s="490"/>
    </row>
    <row r="49" spans="2:13" x14ac:dyDescent="0.3">
      <c r="B49" s="477" t="s">
        <v>2568</v>
      </c>
      <c r="C49" s="476"/>
      <c r="D49" s="644">
        <f>'INCOME STATEMENT'!$E$26</f>
        <v>-10404.69</v>
      </c>
      <c r="E49" s="644"/>
      <c r="F49" s="644">
        <f>'INCOME STATEMENT'!$F$26</f>
        <v>-11872</v>
      </c>
      <c r="G49" s="644"/>
      <c r="H49" s="644">
        <f>'INCOME STATEMENT'!$G$26</f>
        <v>-13814</v>
      </c>
      <c r="I49" s="644"/>
      <c r="J49" s="659">
        <f>-'COGS SCHEDULE'!Q$32</f>
        <v>-16107.175368</v>
      </c>
      <c r="K49" s="659"/>
      <c r="L49" s="660">
        <f>-'COGS SCHEDULE'!S$32</f>
        <v>-18767.770122355199</v>
      </c>
      <c r="M49" s="660"/>
    </row>
    <row r="50" spans="2:13" ht="7.05" customHeight="1" x14ac:dyDescent="0.3">
      <c r="B50" s="477"/>
      <c r="C50" s="476"/>
      <c r="D50" s="478"/>
      <c r="E50" s="478"/>
      <c r="F50" s="478"/>
      <c r="G50" s="478"/>
      <c r="H50" s="478"/>
      <c r="I50" s="478"/>
      <c r="J50" s="491"/>
      <c r="K50" s="491"/>
      <c r="L50" s="490"/>
      <c r="M50" s="490"/>
    </row>
    <row r="51" spans="2:13" x14ac:dyDescent="0.3">
      <c r="B51" s="480" t="s">
        <v>7</v>
      </c>
      <c r="C51" s="481"/>
      <c r="D51" s="652">
        <f>SUM(D46,D49)</f>
        <v>11122.930000000002</v>
      </c>
      <c r="E51" s="652"/>
      <c r="F51" s="652">
        <f t="shared" ref="F51" si="35">SUM(F46,F49)</f>
        <v>13588</v>
      </c>
      <c r="G51" s="652"/>
      <c r="H51" s="652">
        <f t="shared" ref="H51" si="36">SUM(H46,H49)</f>
        <v>13305</v>
      </c>
      <c r="I51" s="652"/>
      <c r="J51" s="661">
        <f t="shared" ref="J51" si="37">SUM(J46,J49)</f>
        <v>14411.683223999997</v>
      </c>
      <c r="K51" s="661"/>
      <c r="L51" s="662">
        <f t="shared" ref="L51" si="38">SUM(L46,L49)</f>
        <v>16792.215372633604</v>
      </c>
      <c r="M51" s="662"/>
    </row>
    <row r="52" spans="2:13" x14ac:dyDescent="0.3">
      <c r="B52" s="482" t="s">
        <v>2888</v>
      </c>
      <c r="C52" s="483"/>
      <c r="D52" s="663">
        <f>D51/D43</f>
        <v>0.17449632948277038</v>
      </c>
      <c r="E52" s="663"/>
      <c r="F52" s="663">
        <f t="shared" ref="F52" si="39">F51/F43</f>
        <v>0.18997553303040896</v>
      </c>
      <c r="G52" s="663"/>
      <c r="H52" s="663">
        <f t="shared" ref="H52" si="40">H51/H43</f>
        <v>0.17347031903936166</v>
      </c>
      <c r="I52" s="663"/>
      <c r="J52" s="664">
        <f t="shared" ref="J52" si="41">J51/J43</f>
        <v>0.16999999999999996</v>
      </c>
      <c r="K52" s="664"/>
      <c r="L52" s="665">
        <f t="shared" ref="L52" si="42">L51/L43</f>
        <v>0.17000000000000004</v>
      </c>
      <c r="M52" s="665"/>
    </row>
    <row r="53" spans="2:13" ht="7.05" customHeight="1" x14ac:dyDescent="0.3">
      <c r="B53" s="477"/>
      <c r="C53" s="476"/>
      <c r="D53" s="478"/>
      <c r="E53" s="478"/>
      <c r="F53" s="478"/>
      <c r="G53" s="478"/>
      <c r="H53" s="478"/>
      <c r="I53" s="478"/>
      <c r="J53" s="491"/>
      <c r="K53" s="491"/>
      <c r="L53" s="490"/>
      <c r="M53" s="490"/>
    </row>
    <row r="54" spans="2:13" x14ac:dyDescent="0.3">
      <c r="B54" s="477" t="s">
        <v>8</v>
      </c>
      <c r="C54" s="476"/>
      <c r="D54" s="644">
        <f>'INCOME STATEMENT'!$E$32</f>
        <v>-2887.99</v>
      </c>
      <c r="E54" s="644"/>
      <c r="F54" s="644">
        <f>'INCOME STATEMENT'!$F$32</f>
        <v>-3145</v>
      </c>
      <c r="G54" s="644"/>
      <c r="H54" s="644">
        <f>'INCOME STATEMENT'!$G$32</f>
        <v>-4014</v>
      </c>
      <c r="I54" s="644"/>
      <c r="J54" s="659">
        <f>-'DEPRECIATION SCHEDULE'!C$35</f>
        <v>-4238.7303600000005</v>
      </c>
      <c r="K54" s="659"/>
      <c r="L54" s="660">
        <f>-'DEPRECIATION SCHEDULE'!E$35</f>
        <v>-4938.8868743040002</v>
      </c>
      <c r="M54" s="660"/>
    </row>
    <row r="55" spans="2:13" ht="7.05" customHeight="1" x14ac:dyDescent="0.3">
      <c r="B55" s="477"/>
      <c r="C55" s="476"/>
      <c r="D55" s="478"/>
      <c r="E55" s="478"/>
      <c r="F55" s="478"/>
      <c r="G55" s="478"/>
      <c r="H55" s="478"/>
      <c r="I55" s="478"/>
      <c r="J55" s="491"/>
      <c r="K55" s="491"/>
      <c r="L55" s="490"/>
      <c r="M55" s="490"/>
    </row>
    <row r="56" spans="2:13" x14ac:dyDescent="0.3">
      <c r="B56" s="480" t="s">
        <v>113</v>
      </c>
      <c r="C56" s="481"/>
      <c r="D56" s="652">
        <f>SUM(D51,D54)</f>
        <v>8234.9400000000023</v>
      </c>
      <c r="E56" s="652"/>
      <c r="F56" s="652">
        <f t="shared" ref="F56" si="43">SUM(F51,F54)</f>
        <v>10443</v>
      </c>
      <c r="G56" s="652"/>
      <c r="H56" s="652">
        <f t="shared" ref="H56" si="44">SUM(H51,H54)</f>
        <v>9291</v>
      </c>
      <c r="I56" s="652"/>
      <c r="J56" s="661">
        <f t="shared" ref="J56" si="45">SUM(J51,J54)</f>
        <v>10172.952863999995</v>
      </c>
      <c r="K56" s="661"/>
      <c r="L56" s="662">
        <f t="shared" ref="L56" si="46">SUM(L51,L54)</f>
        <v>11853.328498329603</v>
      </c>
      <c r="M56" s="662"/>
    </row>
    <row r="57" spans="2:13" x14ac:dyDescent="0.3">
      <c r="B57" s="482" t="s">
        <v>2893</v>
      </c>
      <c r="C57" s="483"/>
      <c r="D57" s="663">
        <f>D56/D43</f>
        <v>0.12918959334553443</v>
      </c>
      <c r="E57" s="663"/>
      <c r="F57" s="663">
        <f t="shared" ref="F57" si="47">F56/F43</f>
        <v>0.1460048933939182</v>
      </c>
      <c r="G57" s="663"/>
      <c r="H57" s="663">
        <f t="shared" ref="H57" si="48">H56/H43</f>
        <v>0.12113586878577295</v>
      </c>
      <c r="I57" s="663"/>
      <c r="J57" s="664">
        <f t="shared" ref="J57" si="49">J56/J43</f>
        <v>0.11999999999999994</v>
      </c>
      <c r="K57" s="664"/>
      <c r="L57" s="665">
        <f t="shared" ref="L57" si="50">L56/L43</f>
        <v>0.12000000000000002</v>
      </c>
      <c r="M57" s="665"/>
    </row>
    <row r="58" spans="2:13" ht="7.05" customHeight="1" x14ac:dyDescent="0.3">
      <c r="B58" s="477"/>
      <c r="C58" s="476"/>
      <c r="D58" s="478"/>
      <c r="E58" s="478"/>
      <c r="F58" s="478"/>
      <c r="G58" s="478"/>
      <c r="H58" s="478"/>
      <c r="I58" s="478"/>
      <c r="J58" s="491"/>
      <c r="K58" s="491"/>
      <c r="L58" s="490"/>
      <c r="M58" s="490"/>
    </row>
    <row r="59" spans="2:13" x14ac:dyDescent="0.3">
      <c r="B59" s="477" t="s">
        <v>9</v>
      </c>
      <c r="C59" s="476"/>
      <c r="D59" s="644">
        <f>'INCOME STATEMENT'!$E$36</f>
        <v>-822.72</v>
      </c>
      <c r="E59" s="644"/>
      <c r="F59" s="644">
        <f>'INCOME STATEMENT'!$F$36</f>
        <v>-968</v>
      </c>
      <c r="G59" s="644"/>
      <c r="H59" s="644">
        <f>'INCOME STATEMENT'!$G$36</f>
        <v>-1650</v>
      </c>
      <c r="I59" s="644"/>
      <c r="J59" s="659">
        <f>-'FINANCE COST SCHEDULE'!Q$49</f>
        <v>-1422.5400044952921</v>
      </c>
      <c r="K59" s="659"/>
      <c r="L59" s="660">
        <f>-'FINANCE COST SCHEDULE'!S$49</f>
        <v>-1426.8429083201418</v>
      </c>
      <c r="M59" s="660"/>
    </row>
    <row r="60" spans="2:13" ht="7.05" customHeight="1" x14ac:dyDescent="0.3">
      <c r="B60" s="477"/>
      <c r="D60" s="478"/>
      <c r="E60" s="478"/>
      <c r="F60" s="478"/>
      <c r="G60" s="478"/>
      <c r="H60" s="478"/>
      <c r="I60" s="478"/>
      <c r="J60" s="491"/>
      <c r="K60" s="491"/>
      <c r="L60" s="490"/>
      <c r="M60" s="490"/>
    </row>
    <row r="61" spans="2:13" x14ac:dyDescent="0.3">
      <c r="B61" s="479" t="s">
        <v>10</v>
      </c>
      <c r="C61" s="484"/>
      <c r="D61" s="656">
        <f>SUM(D56,D59)</f>
        <v>7412.2200000000021</v>
      </c>
      <c r="E61" s="656"/>
      <c r="F61" s="656">
        <f t="shared" ref="F61" si="51">SUM(F56,F59)</f>
        <v>9475</v>
      </c>
      <c r="G61" s="656"/>
      <c r="H61" s="656">
        <f t="shared" ref="H61" si="52">SUM(H56,H59)</f>
        <v>7641</v>
      </c>
      <c r="I61" s="656"/>
      <c r="J61" s="666">
        <f t="shared" ref="J61" si="53">SUM(J56,J59)</f>
        <v>8750.4128595047041</v>
      </c>
      <c r="K61" s="666"/>
      <c r="L61" s="667">
        <f t="shared" ref="L61" si="54">SUM(L56,L59)</f>
        <v>10426.485590009463</v>
      </c>
      <c r="M61" s="667"/>
    </row>
    <row r="62" spans="2:13" ht="7.05" customHeight="1" x14ac:dyDescent="0.3">
      <c r="B62" s="477"/>
      <c r="D62" s="478"/>
      <c r="E62" s="478"/>
      <c r="F62" s="478"/>
      <c r="G62" s="478"/>
      <c r="H62" s="478"/>
      <c r="I62" s="478"/>
      <c r="J62" s="491"/>
      <c r="K62" s="491"/>
      <c r="L62" s="490"/>
      <c r="M62" s="490"/>
    </row>
    <row r="63" spans="2:13" x14ac:dyDescent="0.3">
      <c r="B63" s="477" t="s">
        <v>11</v>
      </c>
      <c r="D63" s="644">
        <f>'INCOME STATEMENT'!$E$40</f>
        <v>-2342.85</v>
      </c>
      <c r="E63" s="644"/>
      <c r="F63" s="644">
        <f>'INCOME STATEMENT'!$F$40</f>
        <v>-2418</v>
      </c>
      <c r="G63" s="644"/>
      <c r="H63" s="644">
        <f>'INCOME STATEMENT'!$G$40</f>
        <v>-1488</v>
      </c>
      <c r="I63" s="644"/>
      <c r="J63" s="659">
        <f>-'TAX SCHEDULE'!Q$37</f>
        <v>-2187.603214876176</v>
      </c>
      <c r="K63" s="659"/>
      <c r="L63" s="660">
        <f>-'TAX SCHEDULE'!S$37</f>
        <v>-2606.6213975023657</v>
      </c>
      <c r="M63" s="660"/>
    </row>
    <row r="64" spans="2:13" ht="7.05" customHeight="1" x14ac:dyDescent="0.3">
      <c r="B64" s="477"/>
      <c r="D64" s="478"/>
      <c r="E64" s="478"/>
      <c r="F64" s="478"/>
      <c r="G64" s="478"/>
      <c r="H64" s="478"/>
      <c r="I64" s="478"/>
      <c r="J64" s="491"/>
      <c r="K64" s="491"/>
      <c r="L64" s="490"/>
      <c r="M64" s="490"/>
    </row>
    <row r="65" spans="2:13" x14ac:dyDescent="0.3">
      <c r="B65" s="485" t="s">
        <v>12</v>
      </c>
      <c r="C65" s="486"/>
      <c r="D65" s="652">
        <f>SUM(D61,D63)</f>
        <v>5069.3700000000026</v>
      </c>
      <c r="E65" s="652"/>
      <c r="F65" s="652">
        <f t="shared" ref="F65" si="55">SUM(F61,F63)</f>
        <v>7057</v>
      </c>
      <c r="G65" s="652"/>
      <c r="H65" s="652">
        <f t="shared" ref="H65" si="56">SUM(H61,H63)</f>
        <v>6153</v>
      </c>
      <c r="I65" s="652"/>
      <c r="J65" s="661">
        <f t="shared" ref="J65" si="57">SUM(J61,J63)</f>
        <v>6562.8096446285281</v>
      </c>
      <c r="K65" s="661"/>
      <c r="L65" s="662">
        <f t="shared" ref="L65" si="58">SUM(L61,L63)</f>
        <v>7819.864192507097</v>
      </c>
      <c r="M65" s="662"/>
    </row>
    <row r="66" spans="2:13" x14ac:dyDescent="0.3">
      <c r="B66" s="487" t="s">
        <v>2889</v>
      </c>
      <c r="C66" s="488"/>
      <c r="D66" s="663">
        <f>D65/D43</f>
        <v>7.9528187068521689E-2</v>
      </c>
      <c r="E66" s="663"/>
      <c r="F66" s="663">
        <f t="shared" ref="F66" si="59">F65/F43</f>
        <v>9.866480251660259E-2</v>
      </c>
      <c r="G66" s="663"/>
      <c r="H66" s="663">
        <f t="shared" ref="H66" si="60">H65/H43</f>
        <v>8.022268869216026E-2</v>
      </c>
      <c r="I66" s="663"/>
      <c r="J66" s="664">
        <f t="shared" ref="J66" si="61">J65/J43</f>
        <v>7.7414804519772853E-2</v>
      </c>
      <c r="K66" s="664"/>
      <c r="L66" s="665">
        <f t="shared" ref="L66" si="62">L65/L43</f>
        <v>7.9166261462600224E-2</v>
      </c>
      <c r="M66" s="665"/>
    </row>
    <row r="68" spans="2:13" x14ac:dyDescent="0.3">
      <c r="B68" s="647" t="s">
        <v>2902</v>
      </c>
      <c r="C68" s="647"/>
      <c r="D68" s="647"/>
      <c r="E68" s="647"/>
      <c r="F68" s="647"/>
      <c r="G68" s="647"/>
      <c r="H68" s="647"/>
      <c r="I68" s="647"/>
      <c r="J68" s="647"/>
      <c r="K68" s="647"/>
      <c r="L68" s="647"/>
      <c r="M68" s="647"/>
    </row>
    <row r="69" spans="2:13" ht="7.05" customHeight="1" x14ac:dyDescent="0.3"/>
    <row r="70" spans="2:13" ht="17.399999999999999" x14ac:dyDescent="0.3">
      <c r="B70" s="648" t="s">
        <v>2961</v>
      </c>
      <c r="C70" s="648"/>
      <c r="D70" s="648"/>
      <c r="E70" s="648"/>
      <c r="F70" s="648"/>
      <c r="G70" s="648"/>
      <c r="H70" s="648"/>
      <c r="I70" s="648"/>
      <c r="J70" s="648"/>
      <c r="K70" s="648"/>
      <c r="L70" s="648"/>
      <c r="M70" s="648"/>
    </row>
    <row r="71" spans="2:13" ht="7.05" customHeight="1" x14ac:dyDescent="0.3"/>
    <row r="72" spans="2:13" x14ac:dyDescent="0.3">
      <c r="B72" s="649" t="s">
        <v>2885</v>
      </c>
      <c r="C72" s="649"/>
      <c r="D72" s="650" t="s">
        <v>2903</v>
      </c>
      <c r="E72" s="650"/>
      <c r="F72" s="642" t="s">
        <v>2904</v>
      </c>
      <c r="G72" s="642"/>
      <c r="H72" s="642" t="s">
        <v>2905</v>
      </c>
      <c r="I72" s="642"/>
      <c r="J72" s="642" t="s">
        <v>2894</v>
      </c>
      <c r="K72" s="642"/>
      <c r="L72" s="642" t="s">
        <v>2895</v>
      </c>
      <c r="M72" s="642"/>
    </row>
    <row r="73" spans="2:13" ht="7.05" customHeight="1" x14ac:dyDescent="0.3"/>
    <row r="74" spans="2:13" x14ac:dyDescent="0.3">
      <c r="B74" s="477" t="s">
        <v>2886</v>
      </c>
      <c r="D74" s="644">
        <v>18235</v>
      </c>
      <c r="E74" s="644"/>
      <c r="F74" s="644">
        <v>21455</v>
      </c>
      <c r="G74" s="644"/>
      <c r="H74" s="643">
        <v>19781</v>
      </c>
      <c r="I74" s="643"/>
      <c r="J74" s="645">
        <f>F74/D74-1</f>
        <v>0.17658349328214973</v>
      </c>
      <c r="K74" s="645"/>
      <c r="L74" s="645">
        <f t="shared" ref="L74:L75" si="63">F74/H74-1</f>
        <v>8.4626661948334236E-2</v>
      </c>
      <c r="M74" s="645"/>
    </row>
    <row r="75" spans="2:13" x14ac:dyDescent="0.3">
      <c r="B75" s="477" t="s">
        <v>4</v>
      </c>
      <c r="D75" s="644">
        <v>-11897</v>
      </c>
      <c r="E75" s="644"/>
      <c r="F75" s="644">
        <v>-13328</v>
      </c>
      <c r="G75" s="644"/>
      <c r="H75" s="643">
        <v>-12461</v>
      </c>
      <c r="I75" s="643"/>
      <c r="J75" s="645">
        <f>F75/D75-1</f>
        <v>0.12028242414053958</v>
      </c>
      <c r="K75" s="645"/>
      <c r="L75" s="645">
        <f t="shared" si="63"/>
        <v>6.9577080491132426E-2</v>
      </c>
      <c r="M75" s="645"/>
    </row>
    <row r="76" spans="2:13" ht="7.05" customHeight="1" x14ac:dyDescent="0.3">
      <c r="B76" s="477"/>
      <c r="D76" s="478"/>
      <c r="E76" s="478"/>
      <c r="F76" s="478"/>
      <c r="G76" s="478"/>
      <c r="H76" s="476"/>
      <c r="I76" s="476"/>
      <c r="J76" s="494"/>
      <c r="K76" s="494"/>
      <c r="L76" s="494"/>
      <c r="M76" s="494"/>
    </row>
    <row r="77" spans="2:13" x14ac:dyDescent="0.3">
      <c r="B77" s="480" t="s">
        <v>5</v>
      </c>
      <c r="C77" s="486"/>
      <c r="D77" s="652">
        <f>SUM(D74:E75)</f>
        <v>6338</v>
      </c>
      <c r="E77" s="652"/>
      <c r="F77" s="652">
        <f t="shared" ref="F77" si="64">SUM(F74:G75)</f>
        <v>8127</v>
      </c>
      <c r="G77" s="652"/>
      <c r="H77" s="651">
        <f t="shared" ref="H77" si="65">SUM(H74:I75)</f>
        <v>7320</v>
      </c>
      <c r="I77" s="651"/>
      <c r="J77" s="653">
        <f>F77/D77-1</f>
        <v>0.28226569895866205</v>
      </c>
      <c r="K77" s="653"/>
      <c r="L77" s="653">
        <f t="shared" ref="L77:L78" si="66">F77/H77-1</f>
        <v>0.11024590163934422</v>
      </c>
      <c r="M77" s="653"/>
    </row>
    <row r="78" spans="2:13" x14ac:dyDescent="0.3">
      <c r="B78" s="482" t="s">
        <v>2887</v>
      </c>
      <c r="C78" s="488"/>
      <c r="D78" s="657">
        <f>D77/D74</f>
        <v>0.34757334795722511</v>
      </c>
      <c r="E78" s="657"/>
      <c r="F78" s="657">
        <f t="shared" ref="F78" si="67">F77/F74</f>
        <v>0.37879282218597066</v>
      </c>
      <c r="G78" s="657"/>
      <c r="H78" s="654">
        <f t="shared" ref="H78" si="68">H77/H74</f>
        <v>0.37005207016834335</v>
      </c>
      <c r="I78" s="654"/>
      <c r="J78" s="668">
        <f>F78/D78-1</f>
        <v>8.9821254743006396E-2</v>
      </c>
      <c r="K78" s="668"/>
      <c r="L78" s="668">
        <f t="shared" si="66"/>
        <v>2.3620330008290447E-2</v>
      </c>
      <c r="M78" s="668"/>
    </row>
    <row r="79" spans="2:13" ht="7.05" customHeight="1" x14ac:dyDescent="0.3">
      <c r="B79" s="477"/>
      <c r="D79" s="478"/>
      <c r="E79" s="478"/>
      <c r="F79" s="478"/>
      <c r="G79" s="478"/>
      <c r="H79" s="476"/>
      <c r="I79" s="476"/>
      <c r="J79" s="494"/>
      <c r="K79" s="494"/>
      <c r="L79" s="494"/>
      <c r="M79" s="494"/>
    </row>
    <row r="80" spans="2:13" x14ac:dyDescent="0.3">
      <c r="B80" s="477" t="s">
        <v>2568</v>
      </c>
      <c r="D80" s="644">
        <v>-3131</v>
      </c>
      <c r="E80" s="644"/>
      <c r="F80" s="644">
        <v>-3534</v>
      </c>
      <c r="G80" s="644"/>
      <c r="H80" s="643">
        <v>-4049</v>
      </c>
      <c r="I80" s="643"/>
      <c r="J80" s="645">
        <f>F80/D80-1</f>
        <v>0.12871287128712861</v>
      </c>
      <c r="K80" s="645"/>
      <c r="L80" s="645">
        <f t="shared" ref="L80" si="69">F80/H80-1</f>
        <v>-0.1271918992343789</v>
      </c>
      <c r="M80" s="645"/>
    </row>
    <row r="81" spans="2:13" ht="7.05" customHeight="1" x14ac:dyDescent="0.3">
      <c r="B81" s="477"/>
      <c r="D81" s="478"/>
      <c r="E81" s="478"/>
      <c r="F81" s="478"/>
      <c r="G81" s="478"/>
      <c r="H81" s="476"/>
      <c r="I81" s="476"/>
      <c r="J81" s="494"/>
      <c r="K81" s="494"/>
      <c r="L81" s="494"/>
      <c r="M81" s="494"/>
    </row>
    <row r="82" spans="2:13" x14ac:dyDescent="0.3">
      <c r="B82" s="480" t="s">
        <v>7</v>
      </c>
      <c r="C82" s="486"/>
      <c r="D82" s="652">
        <f>SUM(D77,D80)</f>
        <v>3207</v>
      </c>
      <c r="E82" s="652"/>
      <c r="F82" s="652">
        <f t="shared" ref="F82" si="70">SUM(F77,F80)</f>
        <v>4593</v>
      </c>
      <c r="G82" s="652"/>
      <c r="H82" s="651">
        <f t="shared" ref="H82" si="71">SUM(H77,H80)</f>
        <v>3271</v>
      </c>
      <c r="I82" s="651"/>
      <c r="J82" s="653">
        <f>F82/D82-1</f>
        <v>0.43217960710944814</v>
      </c>
      <c r="K82" s="653"/>
      <c r="L82" s="653">
        <f t="shared" ref="L82:L83" si="72">F82/H82-1</f>
        <v>0.40415774992357067</v>
      </c>
      <c r="M82" s="653"/>
    </row>
    <row r="83" spans="2:13" x14ac:dyDescent="0.3">
      <c r="B83" s="482" t="s">
        <v>2888</v>
      </c>
      <c r="C83" s="488"/>
      <c r="D83" s="657">
        <f>D82/D74</f>
        <v>0.17587057855771868</v>
      </c>
      <c r="E83" s="657"/>
      <c r="F83" s="657">
        <f t="shared" ref="F83" si="73">F82/F74</f>
        <v>0.21407597296667444</v>
      </c>
      <c r="G83" s="657"/>
      <c r="H83" s="654">
        <f t="shared" ref="H83" si="74">H82/H74</f>
        <v>0.16536069966129113</v>
      </c>
      <c r="I83" s="654"/>
      <c r="J83" s="668">
        <f>F83/D83-1</f>
        <v>0.21723584878307078</v>
      </c>
      <c r="K83" s="668"/>
      <c r="L83" s="668">
        <f t="shared" si="72"/>
        <v>0.2946000676410232</v>
      </c>
      <c r="M83" s="668"/>
    </row>
    <row r="84" spans="2:13" ht="7.05" customHeight="1" x14ac:dyDescent="0.3">
      <c r="B84" s="477"/>
      <c r="D84" s="478"/>
      <c r="E84" s="478"/>
      <c r="F84" s="478"/>
      <c r="G84" s="478"/>
      <c r="H84" s="476"/>
      <c r="I84" s="476"/>
      <c r="J84" s="494"/>
      <c r="K84" s="494"/>
      <c r="L84" s="494"/>
      <c r="M84" s="494"/>
    </row>
    <row r="85" spans="2:13" x14ac:dyDescent="0.3">
      <c r="B85" s="477" t="s">
        <v>8</v>
      </c>
      <c r="D85" s="644">
        <v>-842</v>
      </c>
      <c r="E85" s="644"/>
      <c r="F85" s="644">
        <v>-1106</v>
      </c>
      <c r="G85" s="644"/>
      <c r="H85" s="643">
        <v>-1147</v>
      </c>
      <c r="I85" s="643"/>
      <c r="J85" s="645">
        <f>F85/D85-1</f>
        <v>0.31353919239904982</v>
      </c>
      <c r="K85" s="645"/>
      <c r="L85" s="645">
        <f t="shared" ref="L85" si="75">F85/H85-1</f>
        <v>-3.5745422842197061E-2</v>
      </c>
      <c r="M85" s="645"/>
    </row>
    <row r="86" spans="2:13" ht="7.05" customHeight="1" x14ac:dyDescent="0.3">
      <c r="B86" s="477"/>
      <c r="D86" s="478"/>
      <c r="E86" s="478"/>
      <c r="F86" s="478"/>
      <c r="G86" s="478"/>
      <c r="H86" s="476"/>
      <c r="I86" s="476"/>
      <c r="J86" s="494"/>
      <c r="K86" s="494"/>
      <c r="L86" s="494"/>
      <c r="M86" s="494"/>
    </row>
    <row r="87" spans="2:13" x14ac:dyDescent="0.3">
      <c r="B87" s="480" t="s">
        <v>113</v>
      </c>
      <c r="C87" s="486"/>
      <c r="D87" s="652">
        <f>SUM(D82,D85)</f>
        <v>2365</v>
      </c>
      <c r="E87" s="652"/>
      <c r="F87" s="652">
        <f t="shared" ref="F87" si="76">SUM(F82,F85)</f>
        <v>3487</v>
      </c>
      <c r="G87" s="652"/>
      <c r="H87" s="651">
        <f t="shared" ref="H87" si="77">SUM(H82,H85)</f>
        <v>2124</v>
      </c>
      <c r="I87" s="651"/>
      <c r="J87" s="653">
        <f>F87/D87-1</f>
        <v>0.4744186046511627</v>
      </c>
      <c r="K87" s="653"/>
      <c r="L87" s="653">
        <f t="shared" ref="L87:L88" si="78">F87/H87-1</f>
        <v>0.64171374764595113</v>
      </c>
      <c r="M87" s="653"/>
    </row>
    <row r="88" spans="2:13" x14ac:dyDescent="0.3">
      <c r="B88" s="482" t="s">
        <v>2893</v>
      </c>
      <c r="C88" s="488"/>
      <c r="D88" s="657">
        <f>D87/D74</f>
        <v>0.12969564025226213</v>
      </c>
      <c r="E88" s="657"/>
      <c r="F88" s="657">
        <f t="shared" ref="F88" si="79">F87/F74</f>
        <v>0.16252621766487999</v>
      </c>
      <c r="G88" s="657"/>
      <c r="H88" s="654">
        <f t="shared" ref="H88" si="80">H87/H74</f>
        <v>0.10737576462261766</v>
      </c>
      <c r="I88" s="654"/>
      <c r="J88" s="668">
        <f>F88/D88-1</f>
        <v>0.25313555142456101</v>
      </c>
      <c r="K88" s="668"/>
      <c r="L88" s="668">
        <f t="shared" si="78"/>
        <v>0.51362105067278296</v>
      </c>
      <c r="M88" s="668"/>
    </row>
    <row r="89" spans="2:13" ht="7.05" customHeight="1" x14ac:dyDescent="0.3">
      <c r="B89" s="477"/>
      <c r="D89" s="478"/>
      <c r="E89" s="478"/>
      <c r="F89" s="478"/>
      <c r="G89" s="478"/>
      <c r="H89" s="476"/>
      <c r="I89" s="476"/>
      <c r="J89" s="494"/>
      <c r="K89" s="494"/>
      <c r="L89" s="494"/>
      <c r="M89" s="494"/>
    </row>
    <row r="90" spans="2:13" x14ac:dyDescent="0.3">
      <c r="B90" s="477" t="s">
        <v>9</v>
      </c>
      <c r="D90" s="644">
        <v>-255</v>
      </c>
      <c r="E90" s="644"/>
      <c r="F90" s="644">
        <v>-433</v>
      </c>
      <c r="G90" s="644"/>
      <c r="H90" s="643">
        <v>-459</v>
      </c>
      <c r="I90" s="643"/>
      <c r="J90" s="645">
        <f>F90/D90-1</f>
        <v>0.69803921568627447</v>
      </c>
      <c r="K90" s="645"/>
      <c r="L90" s="645">
        <f t="shared" ref="L90" si="81">F90/H90-1</f>
        <v>-5.6644880174291923E-2</v>
      </c>
      <c r="M90" s="645"/>
    </row>
    <row r="91" spans="2:13" ht="7.05" customHeight="1" x14ac:dyDescent="0.3">
      <c r="B91" s="477"/>
      <c r="D91" s="478"/>
      <c r="E91" s="478"/>
      <c r="F91" s="478"/>
      <c r="G91" s="478"/>
      <c r="H91" s="476"/>
      <c r="I91" s="476"/>
      <c r="J91" s="494"/>
      <c r="K91" s="494"/>
      <c r="L91" s="494"/>
      <c r="M91" s="494"/>
    </row>
    <row r="92" spans="2:13" x14ac:dyDescent="0.3">
      <c r="B92" s="479" t="s">
        <v>10</v>
      </c>
      <c r="C92" s="484"/>
      <c r="D92" s="656">
        <f>SUM(D87,D90)</f>
        <v>2110</v>
      </c>
      <c r="E92" s="656"/>
      <c r="F92" s="656">
        <f t="shared" ref="F92" si="82">SUM(F87,F90)</f>
        <v>3054</v>
      </c>
      <c r="G92" s="656"/>
      <c r="H92" s="655">
        <f t="shared" ref="H92" si="83">SUM(H87,H90)</f>
        <v>1665</v>
      </c>
      <c r="I92" s="655"/>
      <c r="J92" s="658">
        <f>F92/D92-1</f>
        <v>0.44739336492890991</v>
      </c>
      <c r="K92" s="658"/>
      <c r="L92" s="658">
        <f t="shared" ref="L92" si="84">F92/H92-1</f>
        <v>0.83423423423423415</v>
      </c>
      <c r="M92" s="658"/>
    </row>
    <row r="93" spans="2:13" ht="7.05" customHeight="1" x14ac:dyDescent="0.3">
      <c r="B93" s="477"/>
      <c r="D93" s="478"/>
      <c r="E93" s="478"/>
      <c r="F93" s="478"/>
      <c r="G93" s="478"/>
      <c r="H93" s="476"/>
      <c r="I93" s="476"/>
      <c r="J93" s="494"/>
      <c r="K93" s="494"/>
      <c r="L93" s="494"/>
      <c r="M93" s="494"/>
    </row>
    <row r="94" spans="2:13" x14ac:dyDescent="0.3">
      <c r="B94" s="477" t="s">
        <v>11</v>
      </c>
      <c r="D94" s="644">
        <v>-447</v>
      </c>
      <c r="E94" s="644"/>
      <c r="F94" s="644">
        <v>-786</v>
      </c>
      <c r="G94" s="644"/>
      <c r="H94" s="643">
        <v>-417</v>
      </c>
      <c r="I94" s="643"/>
      <c r="J94" s="645">
        <f>F94/D94-1</f>
        <v>0.75838926174496635</v>
      </c>
      <c r="K94" s="645"/>
      <c r="L94" s="645">
        <f t="shared" ref="L94" si="85">F94/H94-1</f>
        <v>0.8848920863309353</v>
      </c>
      <c r="M94" s="645"/>
    </row>
    <row r="95" spans="2:13" ht="7.05" customHeight="1" x14ac:dyDescent="0.3">
      <c r="B95" s="477"/>
      <c r="D95" s="478"/>
      <c r="E95" s="478"/>
      <c r="F95" s="478"/>
      <c r="G95" s="478"/>
      <c r="H95" s="476"/>
      <c r="I95" s="476"/>
      <c r="J95" s="494"/>
      <c r="K95" s="494"/>
      <c r="L95" s="494"/>
      <c r="M95" s="494"/>
    </row>
    <row r="96" spans="2:13" x14ac:dyDescent="0.3">
      <c r="B96" s="485" t="s">
        <v>12</v>
      </c>
      <c r="C96" s="486"/>
      <c r="D96" s="652">
        <f>SUM(D92,D94)</f>
        <v>1663</v>
      </c>
      <c r="E96" s="652"/>
      <c r="F96" s="652">
        <f t="shared" ref="F96" si="86">SUM(F92,F94)</f>
        <v>2268</v>
      </c>
      <c r="G96" s="652"/>
      <c r="H96" s="651">
        <f t="shared" ref="H96" si="87">SUM(H92,H94)</f>
        <v>1248</v>
      </c>
      <c r="I96" s="651"/>
      <c r="J96" s="653">
        <f>F96/D96-1</f>
        <v>0.36380036079374634</v>
      </c>
      <c r="K96" s="653"/>
      <c r="L96" s="653">
        <f t="shared" ref="L96:L97" si="88">F96/H96-1</f>
        <v>0.81730769230769229</v>
      </c>
      <c r="M96" s="653"/>
    </row>
    <row r="97" spans="2:13" x14ac:dyDescent="0.3">
      <c r="B97" s="487" t="s">
        <v>2889</v>
      </c>
      <c r="C97" s="488"/>
      <c r="D97" s="657">
        <f>D96/D74</f>
        <v>9.1198245132986022E-2</v>
      </c>
      <c r="E97" s="657"/>
      <c r="F97" s="657">
        <f t="shared" ref="F97" si="89">F96/F74</f>
        <v>0.10570962479608483</v>
      </c>
      <c r="G97" s="657"/>
      <c r="H97" s="654">
        <f t="shared" ref="H97" si="90">H96/H74</f>
        <v>6.3090844750012642E-2</v>
      </c>
      <c r="I97" s="654"/>
      <c r="J97" s="668">
        <f>F97/D97-1</f>
        <v>0.15911906684101429</v>
      </c>
      <c r="K97" s="668"/>
      <c r="L97" s="668">
        <f t="shared" si="88"/>
        <v>0.6755144936629438</v>
      </c>
      <c r="M97" s="668"/>
    </row>
    <row r="99" spans="2:13" x14ac:dyDescent="0.3">
      <c r="B99" s="189"/>
      <c r="C99" s="189"/>
      <c r="D99" s="189"/>
      <c r="E99" s="189"/>
      <c r="F99" s="189"/>
      <c r="G99" s="189"/>
      <c r="H99" s="189"/>
      <c r="I99" s="189"/>
      <c r="J99" s="189"/>
      <c r="K99" s="189"/>
      <c r="L99" s="189"/>
      <c r="M99" s="189"/>
    </row>
  </sheetData>
  <mergeCells count="252">
    <mergeCell ref="L29:M29"/>
    <mergeCell ref="L31:M31"/>
    <mergeCell ref="D96:E96"/>
    <mergeCell ref="F96:G96"/>
    <mergeCell ref="H96:I96"/>
    <mergeCell ref="J96:K96"/>
    <mergeCell ref="L96:M96"/>
    <mergeCell ref="D97:E97"/>
    <mergeCell ref="F97:G97"/>
    <mergeCell ref="H97:I97"/>
    <mergeCell ref="J97:K97"/>
    <mergeCell ref="L97:M97"/>
    <mergeCell ref="D92:E92"/>
    <mergeCell ref="F92:G92"/>
    <mergeCell ref="H92:I92"/>
    <mergeCell ref="J92:K92"/>
    <mergeCell ref="L92:M92"/>
    <mergeCell ref="D94:E94"/>
    <mergeCell ref="F94:G94"/>
    <mergeCell ref="H94:I94"/>
    <mergeCell ref="J94:K94"/>
    <mergeCell ref="L94:M94"/>
    <mergeCell ref="D88:E88"/>
    <mergeCell ref="F88:G88"/>
    <mergeCell ref="H88:I88"/>
    <mergeCell ref="J88:K88"/>
    <mergeCell ref="L88:M88"/>
    <mergeCell ref="D90:E90"/>
    <mergeCell ref="F90:G90"/>
    <mergeCell ref="H90:I90"/>
    <mergeCell ref="J90:K90"/>
    <mergeCell ref="L90:M90"/>
    <mergeCell ref="D85:E85"/>
    <mergeCell ref="F85:G85"/>
    <mergeCell ref="H85:I85"/>
    <mergeCell ref="J85:K85"/>
    <mergeCell ref="L85:M85"/>
    <mergeCell ref="D87:E87"/>
    <mergeCell ref="F87:G87"/>
    <mergeCell ref="H87:I87"/>
    <mergeCell ref="J87:K87"/>
    <mergeCell ref="L87:M87"/>
    <mergeCell ref="D82:E82"/>
    <mergeCell ref="F82:G82"/>
    <mergeCell ref="H82:I82"/>
    <mergeCell ref="J82:K82"/>
    <mergeCell ref="L82:M82"/>
    <mergeCell ref="D83:E83"/>
    <mergeCell ref="F83:G83"/>
    <mergeCell ref="H83:I83"/>
    <mergeCell ref="J83:K83"/>
    <mergeCell ref="L83:M83"/>
    <mergeCell ref="D78:E78"/>
    <mergeCell ref="F78:G78"/>
    <mergeCell ref="H78:I78"/>
    <mergeCell ref="J78:K78"/>
    <mergeCell ref="L78:M78"/>
    <mergeCell ref="D80:E80"/>
    <mergeCell ref="F80:G80"/>
    <mergeCell ref="H80:I80"/>
    <mergeCell ref="J80:K80"/>
    <mergeCell ref="L80:M80"/>
    <mergeCell ref="D75:E75"/>
    <mergeCell ref="F75:G75"/>
    <mergeCell ref="H75:I75"/>
    <mergeCell ref="J75:K75"/>
    <mergeCell ref="L75:M75"/>
    <mergeCell ref="D77:E77"/>
    <mergeCell ref="F77:G77"/>
    <mergeCell ref="H77:I77"/>
    <mergeCell ref="J77:K77"/>
    <mergeCell ref="L77:M77"/>
    <mergeCell ref="D66:E66"/>
    <mergeCell ref="F66:G66"/>
    <mergeCell ref="H66:I66"/>
    <mergeCell ref="J66:K66"/>
    <mergeCell ref="L66:M66"/>
    <mergeCell ref="D74:E74"/>
    <mergeCell ref="F74:G74"/>
    <mergeCell ref="H74:I74"/>
    <mergeCell ref="J74:K74"/>
    <mergeCell ref="L74:M74"/>
    <mergeCell ref="B68:M68"/>
    <mergeCell ref="B70:M70"/>
    <mergeCell ref="B72:C72"/>
    <mergeCell ref="D72:E72"/>
    <mergeCell ref="F72:G72"/>
    <mergeCell ref="H72:I72"/>
    <mergeCell ref="J72:K72"/>
    <mergeCell ref="L72:M72"/>
    <mergeCell ref="D63:E63"/>
    <mergeCell ref="F63:G63"/>
    <mergeCell ref="H63:I63"/>
    <mergeCell ref="J63:K63"/>
    <mergeCell ref="L63:M63"/>
    <mergeCell ref="D65:E65"/>
    <mergeCell ref="F65:G65"/>
    <mergeCell ref="H65:I65"/>
    <mergeCell ref="J65:K65"/>
    <mergeCell ref="L65:M65"/>
    <mergeCell ref="D59:E59"/>
    <mergeCell ref="F59:G59"/>
    <mergeCell ref="H59:I59"/>
    <mergeCell ref="J59:K59"/>
    <mergeCell ref="L59:M59"/>
    <mergeCell ref="D61:E61"/>
    <mergeCell ref="F61:G61"/>
    <mergeCell ref="H61:I61"/>
    <mergeCell ref="J61:K61"/>
    <mergeCell ref="L61:M61"/>
    <mergeCell ref="D56:E56"/>
    <mergeCell ref="F56:G56"/>
    <mergeCell ref="H56:I56"/>
    <mergeCell ref="J56:K56"/>
    <mergeCell ref="L56:M56"/>
    <mergeCell ref="D57:E57"/>
    <mergeCell ref="F57:G57"/>
    <mergeCell ref="H57:I57"/>
    <mergeCell ref="J57:K57"/>
    <mergeCell ref="L57:M57"/>
    <mergeCell ref="D52:E52"/>
    <mergeCell ref="F52:G52"/>
    <mergeCell ref="H52:I52"/>
    <mergeCell ref="J52:K52"/>
    <mergeCell ref="L52:M52"/>
    <mergeCell ref="D54:E54"/>
    <mergeCell ref="F54:G54"/>
    <mergeCell ref="H54:I54"/>
    <mergeCell ref="J54:K54"/>
    <mergeCell ref="L54:M54"/>
    <mergeCell ref="D49:E49"/>
    <mergeCell ref="F49:G49"/>
    <mergeCell ref="H49:I49"/>
    <mergeCell ref="J49:K49"/>
    <mergeCell ref="L49:M49"/>
    <mergeCell ref="D51:E51"/>
    <mergeCell ref="F51:G51"/>
    <mergeCell ref="H51:I51"/>
    <mergeCell ref="J51:K51"/>
    <mergeCell ref="L51:M51"/>
    <mergeCell ref="D46:E46"/>
    <mergeCell ref="F46:G46"/>
    <mergeCell ref="H46:I46"/>
    <mergeCell ref="J46:K46"/>
    <mergeCell ref="L46:M46"/>
    <mergeCell ref="D47:E47"/>
    <mergeCell ref="F47:G47"/>
    <mergeCell ref="H47:I47"/>
    <mergeCell ref="J47:K47"/>
    <mergeCell ref="L47:M47"/>
    <mergeCell ref="D43:E43"/>
    <mergeCell ref="F43:G43"/>
    <mergeCell ref="H43:I43"/>
    <mergeCell ref="J43:K43"/>
    <mergeCell ref="L43:M43"/>
    <mergeCell ref="D44:E44"/>
    <mergeCell ref="F44:G44"/>
    <mergeCell ref="H44:I44"/>
    <mergeCell ref="J44:K44"/>
    <mergeCell ref="L44:M44"/>
    <mergeCell ref="B37:M37"/>
    <mergeCell ref="B39:M39"/>
    <mergeCell ref="B41:C41"/>
    <mergeCell ref="D41:E41"/>
    <mergeCell ref="F41:G41"/>
    <mergeCell ref="H41:I41"/>
    <mergeCell ref="J41:K41"/>
    <mergeCell ref="L41:M41"/>
    <mergeCell ref="L20:M20"/>
    <mergeCell ref="J20:K20"/>
    <mergeCell ref="L30:M30"/>
    <mergeCell ref="J30:K30"/>
    <mergeCell ref="J28:K28"/>
    <mergeCell ref="L28:M28"/>
    <mergeCell ref="L26:M26"/>
    <mergeCell ref="J26:K26"/>
    <mergeCell ref="J35:K35"/>
    <mergeCell ref="L35:M35"/>
    <mergeCell ref="L34:M34"/>
    <mergeCell ref="J34:K34"/>
    <mergeCell ref="J32:K32"/>
    <mergeCell ref="L32:M32"/>
    <mergeCell ref="H26:I26"/>
    <mergeCell ref="H28:I28"/>
    <mergeCell ref="J18:K18"/>
    <mergeCell ref="L18:M18"/>
    <mergeCell ref="L16:M16"/>
    <mergeCell ref="J16:K16"/>
    <mergeCell ref="J25:K25"/>
    <mergeCell ref="L25:M25"/>
    <mergeCell ref="L23:M23"/>
    <mergeCell ref="J23:K23"/>
    <mergeCell ref="J21:K21"/>
    <mergeCell ref="L21:M21"/>
    <mergeCell ref="H30:I30"/>
    <mergeCell ref="H32:I32"/>
    <mergeCell ref="H34:I34"/>
    <mergeCell ref="H35:I35"/>
    <mergeCell ref="H16:I16"/>
    <mergeCell ref="H18:I18"/>
    <mergeCell ref="H20:I20"/>
    <mergeCell ref="H21:I21"/>
    <mergeCell ref="H23:I23"/>
    <mergeCell ref="H25:I25"/>
    <mergeCell ref="F26:G26"/>
    <mergeCell ref="F28:G28"/>
    <mergeCell ref="F30:G30"/>
    <mergeCell ref="F32:G32"/>
    <mergeCell ref="F34:G34"/>
    <mergeCell ref="F35:G35"/>
    <mergeCell ref="F16:G16"/>
    <mergeCell ref="F18:G18"/>
    <mergeCell ref="F20:G20"/>
    <mergeCell ref="F21:G21"/>
    <mergeCell ref="F23:G23"/>
    <mergeCell ref="F25:G25"/>
    <mergeCell ref="D26:E26"/>
    <mergeCell ref="D28:E28"/>
    <mergeCell ref="D30:E30"/>
    <mergeCell ref="D32:E32"/>
    <mergeCell ref="D34:E34"/>
    <mergeCell ref="D35:E35"/>
    <mergeCell ref="D16:E16"/>
    <mergeCell ref="D18:E18"/>
    <mergeCell ref="D20:E20"/>
    <mergeCell ref="D21:E21"/>
    <mergeCell ref="D23:E23"/>
    <mergeCell ref="D25:E25"/>
    <mergeCell ref="D13:E13"/>
    <mergeCell ref="F13:G13"/>
    <mergeCell ref="H13:I13"/>
    <mergeCell ref="J13:K13"/>
    <mergeCell ref="L13:M13"/>
    <mergeCell ref="D15:E15"/>
    <mergeCell ref="F15:G15"/>
    <mergeCell ref="H15:I15"/>
    <mergeCell ref="L15:M15"/>
    <mergeCell ref="J15:K15"/>
    <mergeCell ref="J10:K10"/>
    <mergeCell ref="L10:M10"/>
    <mergeCell ref="D12:E12"/>
    <mergeCell ref="F12:G12"/>
    <mergeCell ref="H12:I12"/>
    <mergeCell ref="J12:K12"/>
    <mergeCell ref="L12:M12"/>
    <mergeCell ref="B1:J4"/>
    <mergeCell ref="B6:M6"/>
    <mergeCell ref="B8:M8"/>
    <mergeCell ref="B10:C10"/>
    <mergeCell ref="D10:E10"/>
    <mergeCell ref="F10:G10"/>
    <mergeCell ref="H10:I10"/>
  </mergeCells>
  <printOptions horizontalCentered="1" verticalCentered="1"/>
  <pageMargins left="0" right="0" top="0" bottom="0" header="0" footer="0"/>
  <pageSetup paperSize="9" scale="67" orientation="portrait" horizontalDpi="1200" verticalDpi="1200" r:id="rId1"/>
  <colBreaks count="2" manualBreakCount="2">
    <brk id="13" max="98" man="1"/>
    <brk id="17" max="98" man="1"/>
  </colBreaks>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1:M57"/>
  <sheetViews>
    <sheetView zoomScale="70" zoomScaleNormal="70" workbookViewId="0"/>
  </sheetViews>
  <sheetFormatPr defaultRowHeight="14.4" x14ac:dyDescent="0.3"/>
  <cols>
    <col min="1" max="1" width="2" style="53" customWidth="1"/>
    <col min="2" max="16384" width="8.88671875" style="53"/>
  </cols>
  <sheetData>
    <row r="1" spans="2:13" x14ac:dyDescent="0.3">
      <c r="B1" s="646" t="s">
        <v>2679</v>
      </c>
      <c r="C1" s="646"/>
      <c r="D1" s="646"/>
      <c r="E1" s="646"/>
      <c r="F1" s="646"/>
      <c r="G1" s="646"/>
      <c r="H1" s="646"/>
      <c r="I1" s="646"/>
      <c r="J1" s="646"/>
      <c r="K1" s="475"/>
      <c r="L1" s="475"/>
      <c r="M1" s="475"/>
    </row>
    <row r="2" spans="2:13" x14ac:dyDescent="0.3">
      <c r="B2" s="646"/>
      <c r="C2" s="646"/>
      <c r="D2" s="646"/>
      <c r="E2" s="646"/>
      <c r="F2" s="646"/>
      <c r="G2" s="646"/>
      <c r="H2" s="646"/>
      <c r="I2" s="646"/>
      <c r="J2" s="646"/>
      <c r="K2" s="475"/>
      <c r="L2" s="475"/>
      <c r="M2" s="475"/>
    </row>
    <row r="3" spans="2:13" x14ac:dyDescent="0.3">
      <c r="B3" s="646"/>
      <c r="C3" s="646"/>
      <c r="D3" s="646"/>
      <c r="E3" s="646"/>
      <c r="F3" s="646"/>
      <c r="G3" s="646"/>
      <c r="H3" s="646"/>
      <c r="I3" s="646"/>
      <c r="J3" s="646"/>
      <c r="K3" s="475"/>
      <c r="L3" s="475"/>
      <c r="M3" s="475"/>
    </row>
    <row r="4" spans="2:13" x14ac:dyDescent="0.3">
      <c r="B4" s="646"/>
      <c r="C4" s="646"/>
      <c r="D4" s="646"/>
      <c r="E4" s="646"/>
      <c r="F4" s="646"/>
      <c r="G4" s="646"/>
      <c r="H4" s="646"/>
      <c r="I4" s="646"/>
      <c r="J4" s="646"/>
      <c r="K4" s="475"/>
      <c r="L4" s="475"/>
      <c r="M4" s="475"/>
    </row>
    <row r="6" spans="2:13" x14ac:dyDescent="0.3">
      <c r="B6" s="647" t="s">
        <v>2906</v>
      </c>
      <c r="C6" s="647"/>
      <c r="D6" s="647"/>
      <c r="E6" s="647"/>
      <c r="F6" s="647"/>
      <c r="G6" s="647"/>
      <c r="H6" s="647"/>
      <c r="I6" s="647"/>
      <c r="J6" s="647"/>
      <c r="K6" s="647"/>
      <c r="L6" s="647"/>
      <c r="M6" s="647"/>
    </row>
    <row r="7" spans="2:13" ht="7.05" customHeight="1" x14ac:dyDescent="0.3"/>
    <row r="8" spans="2:13" ht="17.399999999999999" x14ac:dyDescent="0.3">
      <c r="B8" s="648" t="s">
        <v>2962</v>
      </c>
      <c r="C8" s="648"/>
      <c r="D8" s="648"/>
      <c r="E8" s="648"/>
      <c r="F8" s="648"/>
      <c r="G8" s="648"/>
      <c r="H8" s="648"/>
      <c r="I8" s="648"/>
      <c r="J8" s="648"/>
      <c r="K8" s="648"/>
      <c r="L8" s="648"/>
      <c r="M8" s="648"/>
    </row>
    <row r="9" spans="2:13" ht="7.05" customHeight="1" x14ac:dyDescent="0.3"/>
    <row r="10" spans="2:13" x14ac:dyDescent="0.3">
      <c r="B10" s="714" t="s">
        <v>2907</v>
      </c>
      <c r="C10" s="714"/>
      <c r="D10" s="714"/>
      <c r="E10" s="714"/>
      <c r="F10" s="715" t="s">
        <v>2900</v>
      </c>
      <c r="G10" s="715"/>
      <c r="H10" s="715" t="s">
        <v>2899</v>
      </c>
      <c r="I10" s="715"/>
      <c r="J10" s="715" t="s">
        <v>2897</v>
      </c>
      <c r="K10" s="715"/>
      <c r="L10" s="715" t="s">
        <v>2898</v>
      </c>
      <c r="M10" s="715"/>
    </row>
    <row r="11" spans="2:13" ht="13.95" customHeight="1" x14ac:dyDescent="0.3">
      <c r="B11" s="397"/>
      <c r="C11" s="397"/>
      <c r="D11" s="397"/>
      <c r="E11" s="397"/>
      <c r="F11" s="397"/>
      <c r="G11" s="397"/>
      <c r="H11" s="397"/>
      <c r="I11" s="397"/>
      <c r="J11" s="397"/>
      <c r="K11" s="397"/>
      <c r="L11" s="397"/>
      <c r="M11" s="397"/>
    </row>
    <row r="12" spans="2:13" x14ac:dyDescent="0.3">
      <c r="B12" s="703" t="s">
        <v>225</v>
      </c>
      <c r="C12" s="703"/>
      <c r="D12" s="703"/>
      <c r="E12" s="703"/>
      <c r="F12" s="702">
        <f>'INCOME STATEMENT'!$F$45</f>
        <v>242.87</v>
      </c>
      <c r="G12" s="702"/>
      <c r="H12" s="702">
        <f>'INCOME STATEMENT'!$G$45</f>
        <v>205.13</v>
      </c>
      <c r="I12" s="702"/>
      <c r="J12" s="716">
        <f>('TAX SCHEDULE'!$Q$34-'TAX SCHEDULE'!$Q$37)/'EQUITY SCHEDULE'!$C$44</f>
        <v>218.7603214876176</v>
      </c>
      <c r="K12" s="716"/>
      <c r="L12" s="698">
        <f>('TAX SCHEDULE'!$R$34-'TAX SCHEDULE'!$R$37)/'EQUITY SCHEDULE'!$C$44</f>
        <v>249.60683098212067</v>
      </c>
      <c r="M12" s="698"/>
    </row>
    <row r="13" spans="2:13" x14ac:dyDescent="0.3">
      <c r="B13" s="592" t="s">
        <v>2908</v>
      </c>
      <c r="C13" s="592"/>
      <c r="D13" s="592"/>
      <c r="E13" s="592"/>
      <c r="F13" s="699">
        <f>'CASH FLOW STAEMENT'!$F$27/'INCOME STATEMENT'!$F$44</f>
        <v>387.07083604931273</v>
      </c>
      <c r="G13" s="699"/>
      <c r="H13" s="699">
        <f>'CASH FLOW STAEMENT'!$G$27/'INCOME STATEMENT'!$G$44</f>
        <v>369.25400292540223</v>
      </c>
      <c r="I13" s="699"/>
      <c r="J13" s="707">
        <f>'CASH FLOW STAEMENT'!$J$27/'INCOME STATEMENT'!$J$44</f>
        <v>384.52336276821904</v>
      </c>
      <c r="K13" s="707"/>
      <c r="L13" s="710">
        <f>'CASH FLOW STAEMENT'!$K$27/'INCOME STATEMENT'!$K$44</f>
        <v>540.64686286036181</v>
      </c>
      <c r="M13" s="710"/>
    </row>
    <row r="14" spans="2:13" x14ac:dyDescent="0.3">
      <c r="B14" s="592" t="s">
        <v>2925</v>
      </c>
      <c r="C14" s="592"/>
      <c r="D14" s="592"/>
      <c r="E14" s="592"/>
      <c r="F14" s="688">
        <f>'KEY FINANCIAL RATIOS'!$F$15</f>
        <v>2072.7063369703842</v>
      </c>
      <c r="G14" s="688"/>
      <c r="H14" s="688">
        <f>'KEY FINANCIAL RATIOS'!$G$15</f>
        <v>2357.1780676092962</v>
      </c>
      <c r="I14" s="688"/>
      <c r="J14" s="709">
        <f>'BALANCE SHEET'!$J$72/'INCOME STATEMENT'!$J$44</f>
        <v>2652.5595333333331</v>
      </c>
      <c r="K14" s="709"/>
      <c r="L14" s="711">
        <f>'BALANCE SHEET'!$K$72/'INCOME STATEMENT'!$K$44</f>
        <v>2985.5472345333333</v>
      </c>
      <c r="M14" s="711"/>
    </row>
    <row r="15" spans="2:13" x14ac:dyDescent="0.3">
      <c r="B15" s="592" t="s">
        <v>2909</v>
      </c>
      <c r="C15" s="592"/>
      <c r="D15" s="592"/>
      <c r="E15" s="592"/>
      <c r="F15" s="699">
        <f>'INCOME STATEMENT'!$F$47</f>
        <v>37.650528553209583</v>
      </c>
      <c r="G15" s="632"/>
      <c r="H15" s="699">
        <f>'INCOME STATEMENT'!$G$47</f>
        <v>67.04313830651715</v>
      </c>
      <c r="I15" s="632"/>
      <c r="J15" s="707">
        <f>'INCOME STATEMENT'!$J$47</f>
        <v>39.94563470363898</v>
      </c>
      <c r="K15" s="708"/>
      <c r="L15" s="710">
        <f>'INCOME STATEMENT'!$K$47</f>
        <v>45.578207337335236</v>
      </c>
      <c r="M15" s="712"/>
    </row>
    <row r="16" spans="2:13" x14ac:dyDescent="0.3">
      <c r="B16" s="705" t="s">
        <v>2910</v>
      </c>
      <c r="C16" s="705"/>
      <c r="D16" s="705"/>
      <c r="E16" s="705"/>
      <c r="F16" s="700">
        <f>'BALANCE SHEET'!$F$17/'INCOME STATEMENT'!$F$44</f>
        <v>19.031757120589486</v>
      </c>
      <c r="G16" s="700"/>
      <c r="H16" s="700">
        <f>'BALANCE SHEET'!$G$17/'INCOME STATEMENT'!$G$44</f>
        <v>15.568943604745652</v>
      </c>
      <c r="I16" s="700"/>
      <c r="J16" s="706">
        <f>'BALANCE SHEET'!$J$17/'INCOME STATEMENT'!$J$44</f>
        <v>27.515288914148307</v>
      </c>
      <c r="K16" s="706"/>
      <c r="L16" s="713">
        <f>'BALANCE SHEET'!$K$17/'INCOME STATEMENT'!$K$44</f>
        <v>20.764858784661435</v>
      </c>
      <c r="M16" s="713"/>
    </row>
    <row r="17" spans="2:13" x14ac:dyDescent="0.3">
      <c r="B17" s="397"/>
      <c r="C17" s="397"/>
      <c r="D17" s="397"/>
      <c r="E17" s="397"/>
      <c r="F17" s="397"/>
      <c r="G17" s="397"/>
      <c r="H17" s="397"/>
      <c r="I17" s="397"/>
      <c r="J17" s="397"/>
      <c r="K17" s="397"/>
      <c r="L17" s="397"/>
      <c r="M17" s="397"/>
    </row>
    <row r="18" spans="2:13" x14ac:dyDescent="0.3">
      <c r="B18" s="714" t="s">
        <v>2912</v>
      </c>
      <c r="C18" s="714"/>
      <c r="D18" s="714"/>
      <c r="E18" s="714"/>
      <c r="F18" s="398"/>
      <c r="G18" s="398"/>
      <c r="H18" s="398"/>
      <c r="I18" s="398"/>
      <c r="J18" s="398"/>
      <c r="K18" s="398"/>
      <c r="L18" s="398"/>
      <c r="M18" s="398"/>
    </row>
    <row r="19" spans="2:13" x14ac:dyDescent="0.3">
      <c r="B19" s="495"/>
      <c r="C19" s="495"/>
      <c r="D19" s="495"/>
      <c r="E19" s="495"/>
      <c r="F19" s="397"/>
      <c r="G19" s="397"/>
      <c r="H19" s="397"/>
      <c r="I19" s="397"/>
      <c r="J19" s="397"/>
      <c r="K19" s="397"/>
      <c r="L19" s="397"/>
      <c r="M19" s="397"/>
    </row>
    <row r="20" spans="2:13" x14ac:dyDescent="0.3">
      <c r="B20" s="703" t="s">
        <v>159</v>
      </c>
      <c r="C20" s="703"/>
      <c r="D20" s="703"/>
      <c r="E20" s="703"/>
      <c r="F20" s="717">
        <f>'RATIO ANALYSIS'!$F$17</f>
        <v>0.18997553303040896</v>
      </c>
      <c r="G20" s="721"/>
      <c r="H20" s="717">
        <f>'RATIO ANALYSIS'!$G$17</f>
        <v>0.17347031903936166</v>
      </c>
      <c r="I20" s="721"/>
      <c r="J20" s="672">
        <f>'INCOME STATEMENT'!$J$30/'INCOME STATEMENT'!$J$14</f>
        <v>0.16999999999999996</v>
      </c>
      <c r="K20" s="672"/>
      <c r="L20" s="671">
        <f>'INCOME STATEMENT'!$K$30/'INCOME STATEMENT'!$K$14</f>
        <v>0.17000000000000004</v>
      </c>
      <c r="M20" s="671"/>
    </row>
    <row r="21" spans="2:13" x14ac:dyDescent="0.3">
      <c r="B21" s="592" t="s">
        <v>160</v>
      </c>
      <c r="C21" s="592"/>
      <c r="D21" s="592"/>
      <c r="E21" s="592"/>
      <c r="F21" s="718">
        <f>'RATIO ANALYSIS'!$F$18</f>
        <v>0.1460048933939182</v>
      </c>
      <c r="G21" s="718"/>
      <c r="H21" s="718">
        <f>'RATIO ANALYSIS'!$G$18</f>
        <v>0.12113586878577295</v>
      </c>
      <c r="I21" s="718"/>
      <c r="J21" s="673">
        <f>'INCOME STATEMENT'!$J$34/'INCOME STATEMENT'!$J$14</f>
        <v>0.11999999999999994</v>
      </c>
      <c r="K21" s="673"/>
      <c r="L21" s="678">
        <f>'INCOME STATEMENT'!$K$34/'INCOME STATEMENT'!$K$14</f>
        <v>0.12000000000000004</v>
      </c>
      <c r="M21" s="678"/>
    </row>
    <row r="22" spans="2:13" x14ac:dyDescent="0.3">
      <c r="B22" s="705" t="s">
        <v>162</v>
      </c>
      <c r="C22" s="705"/>
      <c r="D22" s="705"/>
      <c r="E22" s="705"/>
      <c r="F22" s="719">
        <f>'RATIO ANALYSIS'!$F$20</f>
        <v>9.866480251660259E-2</v>
      </c>
      <c r="G22" s="722"/>
      <c r="H22" s="719">
        <f>'RATIO ANALYSIS'!$G$20</f>
        <v>8.022268869216026E-2</v>
      </c>
      <c r="I22" s="722"/>
      <c r="J22" s="674">
        <f>'INCOME STATEMENT'!$J$42/'INCOME STATEMENT'!$J$14</f>
        <v>7.7414804519772853E-2</v>
      </c>
      <c r="K22" s="674"/>
      <c r="L22" s="680">
        <f>'INCOME STATEMENT'!$K$42/'INCOME STATEMENT'!$K$14</f>
        <v>8.1832150947148241E-2</v>
      </c>
      <c r="M22" s="680"/>
    </row>
    <row r="23" spans="2:13" x14ac:dyDescent="0.3">
      <c r="B23" s="495"/>
      <c r="C23" s="495"/>
      <c r="D23" s="495"/>
      <c r="E23" s="495"/>
      <c r="F23" s="397"/>
      <c r="G23" s="397"/>
      <c r="H23" s="397"/>
      <c r="I23" s="397"/>
      <c r="J23" s="397"/>
      <c r="K23" s="397"/>
      <c r="L23" s="397"/>
      <c r="M23" s="397"/>
    </row>
    <row r="24" spans="2:13" x14ac:dyDescent="0.3">
      <c r="B24" s="714" t="s">
        <v>2913</v>
      </c>
      <c r="C24" s="714"/>
      <c r="D24" s="714"/>
      <c r="E24" s="714"/>
      <c r="F24" s="398"/>
      <c r="G24" s="398"/>
      <c r="H24" s="398"/>
      <c r="I24" s="398"/>
      <c r="J24" s="398"/>
      <c r="K24" s="398"/>
      <c r="L24" s="398"/>
      <c r="M24" s="398"/>
    </row>
    <row r="25" spans="2:13" x14ac:dyDescent="0.3">
      <c r="B25" s="495"/>
      <c r="C25" s="495"/>
      <c r="D25" s="495"/>
      <c r="E25" s="495"/>
      <c r="F25" s="397"/>
      <c r="G25" s="397"/>
      <c r="H25" s="397"/>
      <c r="I25" s="397"/>
      <c r="J25" s="397"/>
      <c r="K25" s="397"/>
      <c r="L25" s="397"/>
      <c r="M25" s="397"/>
    </row>
    <row r="26" spans="2:13" x14ac:dyDescent="0.3">
      <c r="B26" s="703" t="s">
        <v>180</v>
      </c>
      <c r="C26" s="703"/>
      <c r="D26" s="703"/>
      <c r="E26" s="703"/>
      <c r="F26" s="687">
        <f>'RATIO ANALYSIS'!$F$41</f>
        <v>59.192477477477475</v>
      </c>
      <c r="G26" s="687"/>
      <c r="H26" s="687">
        <f>'RATIO ANALYSIS'!$G$41</f>
        <v>65.85533481242436</v>
      </c>
      <c r="I26" s="687"/>
      <c r="J26" s="675">
        <f>'WORKING CAPITAL SCHEDULE'!$C$59</f>
        <v>58</v>
      </c>
      <c r="K26" s="675"/>
      <c r="L26" s="681">
        <f>$J$26</f>
        <v>58</v>
      </c>
      <c r="M26" s="682"/>
    </row>
    <row r="27" spans="2:13" x14ac:dyDescent="0.3">
      <c r="B27" s="592" t="s">
        <v>178</v>
      </c>
      <c r="C27" s="592"/>
      <c r="D27" s="592"/>
      <c r="E27" s="592"/>
      <c r="F27" s="688">
        <f>'RATIO ANALYSIS'!$F$39</f>
        <v>20.782469765816149</v>
      </c>
      <c r="G27" s="688"/>
      <c r="H27" s="688">
        <f>'RATIO ANALYSIS'!$G$39</f>
        <v>24.194057288882515</v>
      </c>
      <c r="I27" s="688"/>
      <c r="J27" s="676">
        <f>'WORKING CAPITAL SCHEDULE'!$C$67</f>
        <v>21</v>
      </c>
      <c r="K27" s="676"/>
      <c r="L27" s="683">
        <f>$J$27</f>
        <v>21</v>
      </c>
      <c r="M27" s="631"/>
    </row>
    <row r="28" spans="2:13" x14ac:dyDescent="0.3">
      <c r="B28" s="705" t="s">
        <v>2917</v>
      </c>
      <c r="C28" s="705"/>
      <c r="D28" s="705"/>
      <c r="E28" s="705"/>
      <c r="F28" s="686">
        <f>'RATIO ANALYSIS'!$F$40</f>
        <v>62.144686855530232</v>
      </c>
      <c r="G28" s="686"/>
      <c r="H28" s="686">
        <f>'RATIO ANALYSIS'!$G$40</f>
        <v>65.535094796288817</v>
      </c>
      <c r="I28" s="686"/>
      <c r="J28" s="677">
        <f>'WORKING CAPITAL SCHEDULE'!$C$63</f>
        <v>61</v>
      </c>
      <c r="K28" s="677"/>
      <c r="L28" s="684">
        <f>$J$28</f>
        <v>61</v>
      </c>
      <c r="M28" s="685"/>
    </row>
    <row r="29" spans="2:13" x14ac:dyDescent="0.3">
      <c r="B29" s="495"/>
      <c r="C29" s="495"/>
      <c r="D29" s="495"/>
      <c r="E29" s="495"/>
      <c r="F29" s="397"/>
      <c r="G29" s="397"/>
      <c r="H29" s="397"/>
      <c r="I29" s="397"/>
      <c r="J29" s="397"/>
      <c r="K29" s="397"/>
      <c r="L29" s="397"/>
      <c r="M29" s="397"/>
    </row>
    <row r="30" spans="2:13" x14ac:dyDescent="0.3">
      <c r="B30" s="714" t="s">
        <v>2914</v>
      </c>
      <c r="C30" s="714"/>
      <c r="D30" s="714"/>
      <c r="E30" s="714"/>
      <c r="F30" s="398"/>
      <c r="G30" s="398"/>
      <c r="H30" s="398"/>
      <c r="I30" s="398"/>
      <c r="J30" s="398"/>
      <c r="K30" s="398"/>
      <c r="L30" s="398"/>
      <c r="M30" s="398"/>
    </row>
    <row r="31" spans="2:13" x14ac:dyDescent="0.3">
      <c r="B31" s="495"/>
      <c r="C31" s="495"/>
      <c r="D31" s="495"/>
      <c r="E31" s="495"/>
      <c r="F31" s="397"/>
      <c r="G31" s="397"/>
      <c r="H31" s="397"/>
      <c r="I31" s="397"/>
      <c r="J31" s="397"/>
      <c r="K31" s="397"/>
      <c r="L31" s="397"/>
      <c r="M31" s="397"/>
    </row>
    <row r="32" spans="2:13" x14ac:dyDescent="0.3">
      <c r="B32" s="703" t="s">
        <v>2918</v>
      </c>
      <c r="C32" s="703"/>
      <c r="D32" s="703"/>
      <c r="E32" s="703"/>
      <c r="F32" s="717">
        <f>'RATIO ANALYSIS'!$F$28</f>
        <v>0.11717530634609637</v>
      </c>
      <c r="G32" s="717"/>
      <c r="H32" s="717">
        <f>'RATIO ANALYSIS'!$G$28</f>
        <v>8.7023548546778864E-2</v>
      </c>
      <c r="I32" s="717"/>
      <c r="J32" s="672">
        <f>'INCOME STATEMENT'!$J$42/'BALANCE SHEET'!$J$72</f>
        <v>8.2471408742601504E-2</v>
      </c>
      <c r="K32" s="672"/>
      <c r="L32" s="671">
        <f>'INCOME STATEMENT'!$K$42/'BALANCE SHEET'!$K$72</f>
        <v>8.3605051728862151E-2</v>
      </c>
      <c r="M32" s="671"/>
    </row>
    <row r="33" spans="2:13" x14ac:dyDescent="0.3">
      <c r="B33" s="592" t="s">
        <v>2919</v>
      </c>
      <c r="C33" s="592"/>
      <c r="D33" s="592"/>
      <c r="E33" s="592"/>
      <c r="F33" s="718">
        <f>'RATIO ANALYSIS'!$F$26</f>
        <v>0.14143698787837747</v>
      </c>
      <c r="G33" s="718"/>
      <c r="H33" s="718">
        <f>'RATIO ANALYSIS'!$G$26</f>
        <v>9.4669913695601224E-2</v>
      </c>
      <c r="I33" s="718"/>
      <c r="J33" s="673">
        <f>('INCOME STATEMENT'!J34)/('BALANCE SHEET'!J63+'BALANCE SHEET'!J72)</f>
        <v>0.10565398023018234</v>
      </c>
      <c r="K33" s="673"/>
      <c r="L33" s="678">
        <f>('INCOME STATEMENT'!K34)/('BALANCE SHEET'!K63+'BALANCE SHEET'!K72)</f>
        <v>0.1015812500725662</v>
      </c>
      <c r="M33" s="678"/>
    </row>
    <row r="34" spans="2:13" x14ac:dyDescent="0.3">
      <c r="B34" s="705" t="s">
        <v>114</v>
      </c>
      <c r="C34" s="705"/>
      <c r="D34" s="705"/>
      <c r="E34" s="705"/>
      <c r="F34" s="719">
        <f>'INTRINSIC GROWTH'!$F$58</f>
        <v>0.15048417776240705</v>
      </c>
      <c r="G34" s="719"/>
      <c r="H34" s="719">
        <f>'INTRINSIC GROWTH'!$G$58</f>
        <v>9.1876087759084443E-2</v>
      </c>
      <c r="I34" s="719"/>
      <c r="J34" s="670">
        <v>0.128</v>
      </c>
      <c r="K34" s="670"/>
      <c r="L34" s="679">
        <v>0.128</v>
      </c>
      <c r="M34" s="679"/>
    </row>
    <row r="35" spans="2:13" x14ac:dyDescent="0.3">
      <c r="B35" s="495"/>
      <c r="C35" s="495"/>
      <c r="D35" s="495"/>
      <c r="E35" s="495"/>
      <c r="F35" s="397"/>
      <c r="G35" s="397"/>
      <c r="H35" s="397"/>
      <c r="I35" s="397"/>
      <c r="J35" s="397"/>
      <c r="K35" s="397"/>
      <c r="L35" s="397"/>
      <c r="M35" s="397"/>
    </row>
    <row r="36" spans="2:13" x14ac:dyDescent="0.3">
      <c r="B36" s="714" t="s">
        <v>2915</v>
      </c>
      <c r="C36" s="714"/>
      <c r="D36" s="714"/>
      <c r="E36" s="714"/>
      <c r="F36" s="398"/>
      <c r="G36" s="398"/>
      <c r="H36" s="398"/>
      <c r="I36" s="398"/>
      <c r="J36" s="398"/>
      <c r="K36" s="398"/>
      <c r="L36" s="398"/>
      <c r="M36" s="398"/>
    </row>
    <row r="37" spans="2:13" x14ac:dyDescent="0.3">
      <c r="B37" s="495"/>
      <c r="C37" s="495"/>
      <c r="D37" s="495"/>
      <c r="E37" s="495"/>
      <c r="F37" s="397"/>
      <c r="G37" s="397"/>
      <c r="H37" s="397"/>
      <c r="I37" s="397"/>
      <c r="J37" s="397"/>
      <c r="K37" s="397"/>
      <c r="L37" s="397"/>
      <c r="M37" s="397"/>
    </row>
    <row r="38" spans="2:13" x14ac:dyDescent="0.3">
      <c r="B38" s="703" t="s">
        <v>2921</v>
      </c>
      <c r="C38" s="703"/>
      <c r="D38" s="703"/>
      <c r="E38" s="703"/>
      <c r="F38" s="720">
        <f>'KEY FINANCIAL RATIOS'!$F$12</f>
        <v>43.245563470169223</v>
      </c>
      <c r="G38" s="720"/>
      <c r="H38" s="720">
        <f>'KEY FINANCIAL RATIOS'!$G$12</f>
        <v>56.055428265002682</v>
      </c>
      <c r="I38" s="720"/>
      <c r="J38" s="695">
        <f>CALL!L9/'INCOME STATEMENT'!J45</f>
        <v>63.251872670077468</v>
      </c>
      <c r="K38" s="695"/>
      <c r="L38" s="682" t="s">
        <v>2926</v>
      </c>
      <c r="M38" s="682"/>
    </row>
    <row r="39" spans="2:13" x14ac:dyDescent="0.3">
      <c r="B39" s="592" t="s">
        <v>229</v>
      </c>
      <c r="C39" s="592"/>
      <c r="D39" s="592"/>
      <c r="E39" s="592"/>
      <c r="F39" s="704">
        <f>'KEY FINANCIAL RATIOS'!$F$27</f>
        <v>23.136218826095391</v>
      </c>
      <c r="G39" s="704"/>
      <c r="H39" s="704">
        <f>'KEY FINANCIAL RATIOS'!$G$27</f>
        <v>27.583994747430403</v>
      </c>
      <c r="I39" s="704"/>
      <c r="J39" s="696">
        <f>'RELATIVE VALUATION'!O22</f>
        <v>29.501658891953781</v>
      </c>
      <c r="K39" s="696"/>
      <c r="L39" s="631" t="s">
        <v>2926</v>
      </c>
      <c r="M39" s="631"/>
    </row>
    <row r="40" spans="2:13" x14ac:dyDescent="0.3">
      <c r="B40" s="705" t="s">
        <v>2920</v>
      </c>
      <c r="C40" s="705"/>
      <c r="D40" s="705"/>
      <c r="E40" s="705"/>
      <c r="F40" s="701">
        <f>'KEY FINANCIAL RATIOS'!$F$24/'KEY FINANCIAL RATIOS'!$F$20</f>
        <v>4.3953155037956542</v>
      </c>
      <c r="G40" s="701"/>
      <c r="H40" s="701">
        <f>'KEY FINANCIAL RATIOS'!$G$24/'KEY FINANCIAL RATIOS'!$G$20</f>
        <v>4.7850043692168285</v>
      </c>
      <c r="I40" s="701"/>
      <c r="J40" s="697">
        <f>'RELATIVE VALUATION'!N22</f>
        <v>4.7888402073879037</v>
      </c>
      <c r="K40" s="697"/>
      <c r="L40" s="685" t="s">
        <v>2926</v>
      </c>
      <c r="M40" s="685"/>
    </row>
    <row r="41" spans="2:13" x14ac:dyDescent="0.3">
      <c r="B41" s="495"/>
      <c r="C41" s="495"/>
      <c r="D41" s="495"/>
      <c r="E41" s="495"/>
      <c r="F41" s="397"/>
      <c r="G41" s="397"/>
      <c r="H41" s="397"/>
      <c r="I41" s="397"/>
      <c r="J41" s="397"/>
      <c r="K41" s="397"/>
      <c r="L41" s="397"/>
      <c r="M41" s="397"/>
    </row>
    <row r="42" spans="2:13" x14ac:dyDescent="0.3">
      <c r="B42" s="714" t="s">
        <v>2916</v>
      </c>
      <c r="C42" s="714"/>
      <c r="D42" s="714"/>
      <c r="E42" s="714"/>
      <c r="F42" s="398"/>
      <c r="G42" s="398"/>
      <c r="H42" s="398"/>
      <c r="I42" s="398"/>
      <c r="J42" s="398"/>
      <c r="K42" s="398"/>
      <c r="L42" s="398"/>
      <c r="M42" s="398"/>
    </row>
    <row r="43" spans="2:13" x14ac:dyDescent="0.3">
      <c r="B43" s="397"/>
      <c r="C43" s="397"/>
      <c r="D43" s="397"/>
      <c r="E43" s="397"/>
      <c r="F43" s="397"/>
      <c r="G43" s="397"/>
      <c r="H43" s="397"/>
      <c r="I43" s="397"/>
      <c r="J43" s="397"/>
      <c r="K43" s="397"/>
      <c r="L43" s="397"/>
      <c r="M43" s="397"/>
    </row>
    <row r="44" spans="2:13" x14ac:dyDescent="0.3">
      <c r="B44" s="703" t="s">
        <v>2922</v>
      </c>
      <c r="C44" s="703"/>
      <c r="D44" s="703"/>
      <c r="E44" s="703"/>
      <c r="F44" s="702">
        <f>'KEY FINANCIAL RATIOS'!$F$39/'KEY FINANCIAL RATIOS'!$F$25</f>
        <v>0.75780100088313218</v>
      </c>
      <c r="G44" s="702"/>
      <c r="H44" s="702">
        <f>'KEY FINANCIAL RATIOS'!$G$39/'KEY FINANCIAL RATIOS'!$G$25</f>
        <v>1.7309282224727547</v>
      </c>
      <c r="I44" s="702"/>
      <c r="J44" s="690">
        <f>FORECAST!J68/'INCOME STATEMENT'!J30</f>
        <v>0.69596311854099646</v>
      </c>
      <c r="K44" s="690"/>
      <c r="L44" s="698">
        <f>FORECAST!K68/'INCOME STATEMENT'!K30</f>
        <v>0.84403809807798724</v>
      </c>
      <c r="M44" s="698"/>
    </row>
    <row r="45" spans="2:13" x14ac:dyDescent="0.3">
      <c r="B45" s="592" t="s">
        <v>89</v>
      </c>
      <c r="C45" s="592"/>
      <c r="D45" s="592"/>
      <c r="E45" s="592"/>
      <c r="F45" s="699">
        <f>'KEY FINANCIAL RATIOS'!$F$42</f>
        <v>0.17097266961113142</v>
      </c>
      <c r="G45" s="699"/>
      <c r="H45" s="699">
        <f>'KEY FINANCIAL RATIOS'!$G$42</f>
        <v>0.32571953892935435</v>
      </c>
      <c r="I45" s="699"/>
      <c r="J45" s="691">
        <f>FORECAST!J68/'BALANCE SHEET'!J72</f>
        <v>0.12604178308985739</v>
      </c>
      <c r="K45" s="691"/>
      <c r="L45" s="693">
        <f>FORECAST!K68/'BALANCE SHEET'!K72</f>
        <v>0.14659512387017307</v>
      </c>
      <c r="M45" s="693"/>
    </row>
    <row r="46" spans="2:13" x14ac:dyDescent="0.3">
      <c r="B46" s="592" t="s">
        <v>2923</v>
      </c>
      <c r="C46" s="592"/>
      <c r="D46" s="592"/>
      <c r="E46" s="592"/>
      <c r="F46" s="699">
        <f>'BALANCE SHEET'!$F$22/'BALANCE SHEET'!$F$52</f>
        <v>0.86019626793546944</v>
      </c>
      <c r="G46" s="699"/>
      <c r="H46" s="699">
        <f>'BALANCE SHEET'!$G$22/'BALANCE SHEET'!$G$52</f>
        <v>0.72738790519452423</v>
      </c>
      <c r="I46" s="699"/>
      <c r="J46" s="691">
        <f>'BALANCE SHEET'!$J$22/'BALANCE SHEET'!$J$52</f>
        <v>0.82768725502954188</v>
      </c>
      <c r="K46" s="691"/>
      <c r="L46" s="693">
        <f>'BALANCE SHEET'!$K$22/'BALANCE SHEET'!$K$52</f>
        <v>0.77691651900026748</v>
      </c>
      <c r="M46" s="693"/>
    </row>
    <row r="47" spans="2:13" x14ac:dyDescent="0.3">
      <c r="B47" s="705" t="s">
        <v>2924</v>
      </c>
      <c r="C47" s="705"/>
      <c r="D47" s="705"/>
      <c r="E47" s="705"/>
      <c r="F47" s="700">
        <f>('BALANCE SHEET'!$F$22-'BALANCE SHEET'!$F$13)/'BALANCE SHEET'!$F$52</f>
        <v>0.55059103412385701</v>
      </c>
      <c r="G47" s="700"/>
      <c r="H47" s="700">
        <f>('BALANCE SHEET'!$G$22-'BALANCE SHEET'!$G$13)/'BALANCE SHEET'!$G$52</f>
        <v>0.43190877908593678</v>
      </c>
      <c r="I47" s="700"/>
      <c r="J47" s="692">
        <f>('BALANCE SHEET'!$J$22-'BALANCE SHEET'!$J$13)/'BALANCE SHEET'!$J$52</f>
        <v>0.52230651612420742</v>
      </c>
      <c r="K47" s="692"/>
      <c r="L47" s="694">
        <f>('BALANCE SHEET'!$K$22-'BALANCE SHEET'!$K$13)/'BALANCE SHEET'!$K$52</f>
        <v>0.4831765724758052</v>
      </c>
      <c r="M47" s="694"/>
    </row>
    <row r="48" spans="2:13" x14ac:dyDescent="0.3">
      <c r="B48" s="397"/>
      <c r="C48" s="397"/>
      <c r="D48" s="397"/>
      <c r="E48" s="397"/>
      <c r="F48" s="397"/>
      <c r="G48" s="397"/>
      <c r="H48" s="397"/>
      <c r="I48" s="397"/>
      <c r="J48" s="397"/>
      <c r="K48" s="397"/>
      <c r="L48" s="397"/>
      <c r="M48" s="397"/>
    </row>
    <row r="49" spans="2:13" x14ac:dyDescent="0.3">
      <c r="B49" s="398"/>
      <c r="C49" s="398"/>
      <c r="D49" s="398"/>
      <c r="E49" s="398"/>
      <c r="F49" s="398"/>
      <c r="G49" s="398"/>
      <c r="H49" s="398"/>
      <c r="I49" s="398"/>
      <c r="J49" s="398"/>
      <c r="K49" s="398"/>
      <c r="L49" s="398"/>
      <c r="M49" s="398"/>
    </row>
    <row r="50" spans="2:13" x14ac:dyDescent="0.3">
      <c r="B50" s="397"/>
      <c r="C50" s="397"/>
      <c r="D50" s="397"/>
      <c r="E50" s="397"/>
      <c r="F50" s="397"/>
      <c r="G50" s="397"/>
      <c r="H50" s="397"/>
      <c r="I50" s="397"/>
      <c r="J50" s="397"/>
      <c r="K50" s="397"/>
      <c r="L50" s="397"/>
      <c r="M50" s="397"/>
    </row>
    <row r="51" spans="2:13" x14ac:dyDescent="0.3">
      <c r="B51" s="689" t="s">
        <v>2927</v>
      </c>
      <c r="C51" s="689"/>
      <c r="D51" s="689"/>
      <c r="E51" s="689"/>
      <c r="F51" s="689"/>
      <c r="G51" s="689"/>
      <c r="H51" s="689"/>
      <c r="I51" s="689"/>
      <c r="J51" s="689"/>
      <c r="K51" s="689"/>
      <c r="L51" s="689"/>
      <c r="M51" s="689"/>
    </row>
    <row r="52" spans="2:13" x14ac:dyDescent="0.3">
      <c r="B52" s="689"/>
      <c r="C52" s="689"/>
      <c r="D52" s="689"/>
      <c r="E52" s="689"/>
      <c r="F52" s="689"/>
      <c r="G52" s="689"/>
      <c r="H52" s="689"/>
      <c r="I52" s="689"/>
      <c r="J52" s="689"/>
      <c r="K52" s="689"/>
      <c r="L52" s="689"/>
      <c r="M52" s="689"/>
    </row>
    <row r="53" spans="2:13" x14ac:dyDescent="0.3">
      <c r="B53" s="689"/>
      <c r="C53" s="689"/>
      <c r="D53" s="689"/>
      <c r="E53" s="689"/>
      <c r="F53" s="689"/>
      <c r="G53" s="689"/>
      <c r="H53" s="689"/>
      <c r="I53" s="689"/>
      <c r="J53" s="689"/>
      <c r="K53" s="689"/>
      <c r="L53" s="689"/>
      <c r="M53" s="689"/>
    </row>
    <row r="54" spans="2:13" x14ac:dyDescent="0.3">
      <c r="B54" s="689"/>
      <c r="C54" s="689"/>
      <c r="D54" s="689"/>
      <c r="E54" s="689"/>
      <c r="F54" s="689"/>
      <c r="G54" s="689"/>
      <c r="H54" s="689"/>
      <c r="I54" s="689"/>
      <c r="J54" s="689"/>
      <c r="K54" s="689"/>
      <c r="L54" s="689"/>
      <c r="M54" s="689"/>
    </row>
    <row r="55" spans="2:13" x14ac:dyDescent="0.3">
      <c r="B55" s="689"/>
      <c r="C55" s="689"/>
      <c r="D55" s="689"/>
      <c r="E55" s="689"/>
      <c r="F55" s="689"/>
      <c r="G55" s="689"/>
      <c r="H55" s="689"/>
      <c r="I55" s="689"/>
      <c r="J55" s="689"/>
      <c r="K55" s="689"/>
      <c r="L55" s="689"/>
      <c r="M55" s="689"/>
    </row>
    <row r="56" spans="2:13" x14ac:dyDescent="0.3">
      <c r="B56" s="689"/>
      <c r="C56" s="689"/>
      <c r="D56" s="689"/>
      <c r="E56" s="689"/>
      <c r="F56" s="689"/>
      <c r="G56" s="689"/>
      <c r="H56" s="689"/>
      <c r="I56" s="689"/>
      <c r="J56" s="689"/>
      <c r="K56" s="689"/>
      <c r="L56" s="689"/>
      <c r="M56" s="689"/>
    </row>
    <row r="57" spans="2:13" x14ac:dyDescent="0.3">
      <c r="B57" s="397"/>
      <c r="C57" s="397"/>
      <c r="D57" s="397"/>
      <c r="E57" s="397"/>
      <c r="F57" s="397"/>
      <c r="G57" s="397"/>
      <c r="H57" s="397"/>
      <c r="I57" s="397"/>
      <c r="J57" s="397"/>
      <c r="K57" s="397"/>
      <c r="L57" s="397"/>
      <c r="M57" s="397"/>
    </row>
  </sheetData>
  <mergeCells count="119">
    <mergeCell ref="F38:G38"/>
    <mergeCell ref="H38:I38"/>
    <mergeCell ref="B24:E24"/>
    <mergeCell ref="B30:E30"/>
    <mergeCell ref="B36:E36"/>
    <mergeCell ref="F32:G32"/>
    <mergeCell ref="F33:G33"/>
    <mergeCell ref="F34:G34"/>
    <mergeCell ref="F20:G20"/>
    <mergeCell ref="F21:G21"/>
    <mergeCell ref="F22:G22"/>
    <mergeCell ref="H20:I20"/>
    <mergeCell ref="H21:I21"/>
    <mergeCell ref="H22:I22"/>
    <mergeCell ref="F26:G26"/>
    <mergeCell ref="F27:G27"/>
    <mergeCell ref="B38:E38"/>
    <mergeCell ref="B39:E39"/>
    <mergeCell ref="B40:E40"/>
    <mergeCell ref="B1:J4"/>
    <mergeCell ref="B6:M6"/>
    <mergeCell ref="B8:M8"/>
    <mergeCell ref="B10:E10"/>
    <mergeCell ref="F10:G10"/>
    <mergeCell ref="H10:I10"/>
    <mergeCell ref="J10:K10"/>
    <mergeCell ref="L10:M10"/>
    <mergeCell ref="B12:E12"/>
    <mergeCell ref="F12:G12"/>
    <mergeCell ref="H12:I12"/>
    <mergeCell ref="J12:K12"/>
    <mergeCell ref="L12:M12"/>
    <mergeCell ref="B18:E18"/>
    <mergeCell ref="B13:E13"/>
    <mergeCell ref="B14:E14"/>
    <mergeCell ref="B15:E15"/>
    <mergeCell ref="B16:E16"/>
    <mergeCell ref="H32:I32"/>
    <mergeCell ref="H33:I33"/>
    <mergeCell ref="H34:I34"/>
    <mergeCell ref="B20:E20"/>
    <mergeCell ref="B21:E21"/>
    <mergeCell ref="B22:E22"/>
    <mergeCell ref="B26:E26"/>
    <mergeCell ref="B27:E27"/>
    <mergeCell ref="B28:E28"/>
    <mergeCell ref="B32:E32"/>
    <mergeCell ref="B33:E33"/>
    <mergeCell ref="B34:E34"/>
    <mergeCell ref="J16:K16"/>
    <mergeCell ref="J15:K15"/>
    <mergeCell ref="J14:K14"/>
    <mergeCell ref="J13:K13"/>
    <mergeCell ref="L13:M13"/>
    <mergeCell ref="L14:M14"/>
    <mergeCell ref="L15:M15"/>
    <mergeCell ref="L16:M16"/>
    <mergeCell ref="F16:G16"/>
    <mergeCell ref="H13:I13"/>
    <mergeCell ref="H14:I14"/>
    <mergeCell ref="H15:I15"/>
    <mergeCell ref="H16:I16"/>
    <mergeCell ref="F13:G13"/>
    <mergeCell ref="F14:G14"/>
    <mergeCell ref="F15:G15"/>
    <mergeCell ref="B44:E44"/>
    <mergeCell ref="B45:E45"/>
    <mergeCell ref="F46:G46"/>
    <mergeCell ref="F47:G47"/>
    <mergeCell ref="H39:I39"/>
    <mergeCell ref="H40:I40"/>
    <mergeCell ref="H44:I44"/>
    <mergeCell ref="H45:I45"/>
    <mergeCell ref="B46:E46"/>
    <mergeCell ref="F39:G39"/>
    <mergeCell ref="B47:E47"/>
    <mergeCell ref="B42:E42"/>
    <mergeCell ref="F28:G28"/>
    <mergeCell ref="H26:I26"/>
    <mergeCell ref="H27:I27"/>
    <mergeCell ref="H28:I28"/>
    <mergeCell ref="B51:M56"/>
    <mergeCell ref="J44:K44"/>
    <mergeCell ref="J45:K45"/>
    <mergeCell ref="J46:K46"/>
    <mergeCell ref="J47:K47"/>
    <mergeCell ref="L45:M45"/>
    <mergeCell ref="L46:M46"/>
    <mergeCell ref="L47:M47"/>
    <mergeCell ref="J38:K38"/>
    <mergeCell ref="J39:K39"/>
    <mergeCell ref="J40:K40"/>
    <mergeCell ref="L39:M39"/>
    <mergeCell ref="L40:M40"/>
    <mergeCell ref="L44:M44"/>
    <mergeCell ref="H46:I46"/>
    <mergeCell ref="H47:I47"/>
    <mergeCell ref="F40:G40"/>
    <mergeCell ref="F44:G44"/>
    <mergeCell ref="F45:G45"/>
    <mergeCell ref="L38:M38"/>
    <mergeCell ref="J34:K34"/>
    <mergeCell ref="L32:M32"/>
    <mergeCell ref="J20:K20"/>
    <mergeCell ref="J21:K21"/>
    <mergeCell ref="J22:K22"/>
    <mergeCell ref="J26:K26"/>
    <mergeCell ref="J27:K27"/>
    <mergeCell ref="J28:K28"/>
    <mergeCell ref="J32:K32"/>
    <mergeCell ref="J33:K33"/>
    <mergeCell ref="L33:M33"/>
    <mergeCell ref="L34:M34"/>
    <mergeCell ref="L22:M22"/>
    <mergeCell ref="L26:M26"/>
    <mergeCell ref="L27:M27"/>
    <mergeCell ref="L28:M28"/>
    <mergeCell ref="L20:M20"/>
    <mergeCell ref="L21:M21"/>
  </mergeCells>
  <printOptions horizontalCentered="1" verticalCentered="1"/>
  <pageMargins left="0" right="0" top="0" bottom="0" header="0" footer="0"/>
  <pageSetup paperSize="9" scale="95" orientation="portrait" horizontalDpi="1200" verticalDpi="1200" r:id="rId1"/>
  <rowBreaks count="1" manualBreakCount="1">
    <brk id="56" min="1" max="12" man="1"/>
  </rowBreaks>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1:M67"/>
  <sheetViews>
    <sheetView topLeftCell="A4" zoomScale="70" zoomScaleNormal="70" workbookViewId="0">
      <selection activeCell="B9" sqref="B9"/>
    </sheetView>
  </sheetViews>
  <sheetFormatPr defaultRowHeight="13.8" x14ac:dyDescent="0.25"/>
  <cols>
    <col min="1" max="1" width="2" style="397" customWidth="1"/>
    <col min="2" max="16384" width="8.88671875" style="397"/>
  </cols>
  <sheetData>
    <row r="1" spans="2:13" x14ac:dyDescent="0.25">
      <c r="B1" s="646" t="s">
        <v>2679</v>
      </c>
      <c r="C1" s="646"/>
      <c r="D1" s="646"/>
      <c r="E1" s="646"/>
      <c r="F1" s="646"/>
      <c r="G1" s="646"/>
      <c r="H1" s="646"/>
      <c r="I1" s="646"/>
      <c r="J1" s="646"/>
      <c r="K1" s="475"/>
      <c r="L1" s="475"/>
      <c r="M1" s="475"/>
    </row>
    <row r="2" spans="2:13" x14ac:dyDescent="0.25">
      <c r="B2" s="646"/>
      <c r="C2" s="646"/>
      <c r="D2" s="646"/>
      <c r="E2" s="646"/>
      <c r="F2" s="646"/>
      <c r="G2" s="646"/>
      <c r="H2" s="646"/>
      <c r="I2" s="646"/>
      <c r="J2" s="646"/>
      <c r="K2" s="475"/>
      <c r="L2" s="475"/>
      <c r="M2" s="475"/>
    </row>
    <row r="3" spans="2:13" x14ac:dyDescent="0.25">
      <c r="B3" s="646"/>
      <c r="C3" s="646"/>
      <c r="D3" s="646"/>
      <c r="E3" s="646"/>
      <c r="F3" s="646"/>
      <c r="G3" s="646"/>
      <c r="H3" s="646"/>
      <c r="I3" s="646"/>
      <c r="J3" s="646"/>
      <c r="K3" s="475"/>
      <c r="L3" s="475"/>
      <c r="M3" s="475"/>
    </row>
    <row r="4" spans="2:13" x14ac:dyDescent="0.25">
      <c r="B4" s="646"/>
      <c r="C4" s="646"/>
      <c r="D4" s="646"/>
      <c r="E4" s="646"/>
      <c r="F4" s="646"/>
      <c r="G4" s="646"/>
      <c r="H4" s="646"/>
      <c r="I4" s="646"/>
      <c r="J4" s="646"/>
      <c r="K4" s="475"/>
      <c r="L4" s="475"/>
      <c r="M4" s="475"/>
    </row>
    <row r="6" spans="2:13" ht="14.4" x14ac:dyDescent="0.3">
      <c r="B6" s="647" t="s">
        <v>2911</v>
      </c>
      <c r="C6" s="647"/>
      <c r="D6" s="647"/>
      <c r="E6" s="647"/>
      <c r="F6" s="647"/>
      <c r="G6" s="647"/>
      <c r="H6" s="647"/>
      <c r="I6" s="647"/>
      <c r="J6" s="647"/>
      <c r="K6" s="647"/>
      <c r="L6" s="647"/>
      <c r="M6" s="647"/>
    </row>
    <row r="7" spans="2:13" ht="7.05" customHeight="1" x14ac:dyDescent="0.25"/>
    <row r="8" spans="2:13" ht="17.399999999999999" x14ac:dyDescent="0.3">
      <c r="B8" s="648" t="s">
        <v>2969</v>
      </c>
      <c r="C8" s="648"/>
      <c r="D8" s="648"/>
      <c r="E8" s="648"/>
      <c r="F8" s="648"/>
      <c r="G8" s="648"/>
      <c r="H8" s="648"/>
      <c r="I8" s="648"/>
      <c r="J8" s="648"/>
      <c r="K8" s="648"/>
      <c r="L8" s="648"/>
      <c r="M8" s="648"/>
    </row>
    <row r="53" spans="2:13" ht="7.05" customHeight="1" x14ac:dyDescent="0.25"/>
    <row r="54" spans="2:13" ht="14.4" x14ac:dyDescent="0.3">
      <c r="B54" s="647" t="s">
        <v>2928</v>
      </c>
      <c r="C54" s="647"/>
      <c r="D54" s="647"/>
      <c r="E54" s="647"/>
      <c r="F54" s="647"/>
      <c r="G54" s="647"/>
      <c r="H54" s="647"/>
      <c r="I54" s="647"/>
      <c r="J54" s="647"/>
      <c r="K54" s="647"/>
      <c r="L54" s="647"/>
      <c r="M54" s="647"/>
    </row>
    <row r="55" spans="2:13" ht="7.05" customHeight="1" x14ac:dyDescent="0.25"/>
    <row r="56" spans="2:13" ht="17.399999999999999" x14ac:dyDescent="0.3">
      <c r="B56" s="648" t="s">
        <v>2963</v>
      </c>
      <c r="C56" s="648"/>
      <c r="D56" s="648"/>
      <c r="E56" s="648"/>
      <c r="F56" s="648"/>
      <c r="G56" s="648"/>
      <c r="H56" s="648"/>
      <c r="I56" s="648"/>
      <c r="J56" s="648"/>
      <c r="K56" s="648"/>
      <c r="L56" s="648"/>
      <c r="M56" s="648"/>
    </row>
    <row r="58" spans="2:13" x14ac:dyDescent="0.25">
      <c r="B58" s="726" t="s">
        <v>2929</v>
      </c>
      <c r="C58" s="726"/>
      <c r="D58" s="726"/>
      <c r="E58" s="726"/>
      <c r="F58" s="727" t="s">
        <v>207</v>
      </c>
      <c r="G58" s="727"/>
      <c r="H58" s="727" t="s">
        <v>2933</v>
      </c>
      <c r="I58" s="727"/>
      <c r="J58" s="727" t="s">
        <v>229</v>
      </c>
      <c r="K58" s="727"/>
      <c r="L58" s="727" t="s">
        <v>245</v>
      </c>
      <c r="M58" s="727"/>
    </row>
    <row r="59" spans="2:13" ht="7.05" customHeight="1" x14ac:dyDescent="0.25"/>
    <row r="60" spans="2:13" x14ac:dyDescent="0.25">
      <c r="B60" s="725" t="s">
        <v>2930</v>
      </c>
      <c r="C60" s="725"/>
      <c r="D60" s="725"/>
      <c r="E60" s="725"/>
      <c r="F60" s="723">
        <f>'RELATIVE VALUATION'!$F$11</f>
        <v>344919.54857894994</v>
      </c>
      <c r="G60" s="723"/>
      <c r="H60" s="724">
        <f>'RELATIVE VALUATION'!$N$11</f>
        <v>4.8318747957943717</v>
      </c>
      <c r="I60" s="724"/>
      <c r="J60" s="724">
        <f>'RELATIVE VALUATION'!$O$11</f>
        <v>27.583994747430403</v>
      </c>
      <c r="K60" s="724"/>
      <c r="L60" s="724">
        <f>'RELATIVE VALUATION'!$P$11</f>
        <v>56.057134500073126</v>
      </c>
      <c r="M60" s="724"/>
    </row>
    <row r="61" spans="2:13" x14ac:dyDescent="0.25">
      <c r="B61" s="592" t="s">
        <v>440</v>
      </c>
      <c r="C61" s="592"/>
      <c r="D61" s="592"/>
      <c r="E61" s="592"/>
      <c r="F61" s="688">
        <f>'RELATIVE VALUATION'!$F$14</f>
        <v>130340</v>
      </c>
      <c r="G61" s="688"/>
      <c r="H61" s="704">
        <f>'RELATIVE VALUATION'!$N$14</f>
        <v>7.0996346728661575</v>
      </c>
      <c r="I61" s="704"/>
      <c r="J61" s="704">
        <f>'RELATIVE VALUATION'!$O$14</f>
        <v>20.040937499999998</v>
      </c>
      <c r="K61" s="704"/>
      <c r="L61" s="704">
        <f>'RELATIVE VALUATION'!$P$14</f>
        <v>36.448545861297539</v>
      </c>
      <c r="M61" s="704"/>
    </row>
    <row r="62" spans="2:13" x14ac:dyDescent="0.25">
      <c r="B62" s="592" t="s">
        <v>470</v>
      </c>
      <c r="C62" s="592"/>
      <c r="D62" s="592"/>
      <c r="E62" s="592"/>
      <c r="F62" s="688">
        <f>'RELATIVE VALUATION'!$F$13</f>
        <v>23575</v>
      </c>
      <c r="G62" s="688"/>
      <c r="H62" s="704">
        <f>'RELATIVE VALUATION'!$N$15</f>
        <v>4.7458056189814357</v>
      </c>
      <c r="I62" s="704"/>
      <c r="J62" s="704">
        <f>'RELATIVE VALUATION'!$O$15</f>
        <v>31.419323036477159</v>
      </c>
      <c r="K62" s="704"/>
      <c r="L62" s="704">
        <f>'RELATIVE VALUATION'!$P$15</f>
        <v>41.862236628849274</v>
      </c>
      <c r="M62" s="704"/>
    </row>
    <row r="63" spans="2:13" x14ac:dyDescent="0.25">
      <c r="B63" s="592" t="s">
        <v>441</v>
      </c>
      <c r="C63" s="592"/>
      <c r="D63" s="592"/>
      <c r="E63" s="592"/>
      <c r="F63" s="688">
        <f>'RELATIVE VALUATION'!$F$15</f>
        <v>103316</v>
      </c>
      <c r="G63" s="688"/>
      <c r="H63" s="704">
        <f>'RELATIVE VALUATION'!$N$16</f>
        <v>4.3096896770107662</v>
      </c>
      <c r="I63" s="704"/>
      <c r="J63" s="704">
        <f>'RELATIVE VALUATION'!$O$16</f>
        <v>39.141331142152836</v>
      </c>
      <c r="K63" s="704"/>
      <c r="L63" s="704">
        <f>'RELATIVE VALUATION'!$P$16</f>
        <v>53.185542168674701</v>
      </c>
      <c r="M63" s="704"/>
    </row>
    <row r="64" spans="2:13" x14ac:dyDescent="0.25">
      <c r="B64" s="592" t="s">
        <v>2931</v>
      </c>
      <c r="C64" s="592"/>
      <c r="D64" s="592"/>
      <c r="E64" s="592"/>
      <c r="F64" s="688">
        <f>'RELATIVE VALUATION'!$F$16</f>
        <v>44144</v>
      </c>
      <c r="G64" s="688"/>
      <c r="H64" s="704">
        <f>'RELATIVE VALUATION'!$N$17</f>
        <v>1.6793927551480534</v>
      </c>
      <c r="I64" s="704"/>
      <c r="J64" s="704">
        <f>'RELATIVE VALUATION'!$O$17</f>
        <v>13.032270606531881</v>
      </c>
      <c r="K64" s="704"/>
      <c r="L64" s="704">
        <f>'RELATIVE VALUATION'!$P$17</f>
        <v>13.368859283930059</v>
      </c>
      <c r="M64" s="704"/>
    </row>
    <row r="65" spans="2:13" x14ac:dyDescent="0.25">
      <c r="B65" s="592" t="s">
        <v>2932</v>
      </c>
      <c r="C65" s="592"/>
      <c r="D65" s="592"/>
      <c r="E65" s="592"/>
      <c r="F65" s="688">
        <f>'RELATIVE VALUATION'!$F$17</f>
        <v>32112</v>
      </c>
      <c r="G65" s="688"/>
      <c r="H65" s="704">
        <f>'RELATIVE VALUATION'!$N$18</f>
        <v>2.9739192568774562</v>
      </c>
      <c r="I65" s="704"/>
      <c r="J65" s="704">
        <f>'RELATIVE VALUATION'!$O$18</f>
        <v>15.771125426297839</v>
      </c>
      <c r="K65" s="704"/>
      <c r="L65" s="704">
        <f>'RELATIVE VALUATION'!$P$18</f>
        <v>36.986301369863014</v>
      </c>
      <c r="M65" s="704"/>
    </row>
    <row r="67" spans="2:13" x14ac:dyDescent="0.25">
      <c r="B67" s="398"/>
      <c r="C67" s="398"/>
      <c r="D67" s="398"/>
      <c r="E67" s="398"/>
      <c r="F67" s="398"/>
      <c r="G67" s="398"/>
      <c r="H67" s="398"/>
      <c r="I67" s="398"/>
      <c r="J67" s="398"/>
      <c r="K67" s="398"/>
      <c r="L67" s="398"/>
      <c r="M67" s="398"/>
    </row>
  </sheetData>
  <mergeCells count="40">
    <mergeCell ref="B1:J4"/>
    <mergeCell ref="B6:M6"/>
    <mergeCell ref="B8:M8"/>
    <mergeCell ref="B54:M54"/>
    <mergeCell ref="B56:M56"/>
    <mergeCell ref="B58:E58"/>
    <mergeCell ref="F58:G58"/>
    <mergeCell ref="H58:I58"/>
    <mergeCell ref="J58:K58"/>
    <mergeCell ref="L58:M58"/>
    <mergeCell ref="B60:E60"/>
    <mergeCell ref="B61:E61"/>
    <mergeCell ref="B62:E62"/>
    <mergeCell ref="B63:E63"/>
    <mergeCell ref="B64:E64"/>
    <mergeCell ref="B65:E65"/>
    <mergeCell ref="F60:G60"/>
    <mergeCell ref="H60:I60"/>
    <mergeCell ref="J60:K60"/>
    <mergeCell ref="L60:M60"/>
    <mergeCell ref="F61:G61"/>
    <mergeCell ref="F62:G62"/>
    <mergeCell ref="F63:G63"/>
    <mergeCell ref="F64:G64"/>
    <mergeCell ref="F65:G65"/>
    <mergeCell ref="H61:I61"/>
    <mergeCell ref="J61:K61"/>
    <mergeCell ref="L61:M61"/>
    <mergeCell ref="H62:I62"/>
    <mergeCell ref="H63:I63"/>
    <mergeCell ref="H64:I64"/>
    <mergeCell ref="L62:M62"/>
    <mergeCell ref="L63:M63"/>
    <mergeCell ref="L64:M64"/>
    <mergeCell ref="L65:M65"/>
    <mergeCell ref="H65:I65"/>
    <mergeCell ref="J62:K62"/>
    <mergeCell ref="J63:K63"/>
    <mergeCell ref="J64:K64"/>
    <mergeCell ref="J65:K65"/>
  </mergeCells>
  <printOptions horizontalCentered="1" verticalCentered="1"/>
  <pageMargins left="0" right="0" top="0" bottom="0" header="0" footer="0"/>
  <pageSetup paperSize="9" scale="90" orientation="portrait" horizontalDpi="1200" verticalDpi="1200" r:id="rId1"/>
  <colBreaks count="1" manualBreakCount="1">
    <brk id="13" max="1048575" man="1"/>
  </colBreaks>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B1:M66"/>
  <sheetViews>
    <sheetView zoomScale="70" zoomScaleNormal="70" workbookViewId="0"/>
  </sheetViews>
  <sheetFormatPr defaultRowHeight="14.4" x14ac:dyDescent="0.3"/>
  <cols>
    <col min="1" max="1" width="2" style="53" customWidth="1"/>
    <col min="2" max="16384" width="8.88671875" style="53"/>
  </cols>
  <sheetData>
    <row r="1" spans="2:13" x14ac:dyDescent="0.3">
      <c r="B1" s="646" t="s">
        <v>2679</v>
      </c>
      <c r="C1" s="646"/>
      <c r="D1" s="646"/>
      <c r="E1" s="646"/>
      <c r="F1" s="646"/>
      <c r="G1" s="646"/>
      <c r="H1" s="646"/>
      <c r="I1" s="646"/>
      <c r="J1" s="646"/>
      <c r="K1" s="475"/>
      <c r="L1" s="475"/>
      <c r="M1" s="475"/>
    </row>
    <row r="2" spans="2:13" x14ac:dyDescent="0.3">
      <c r="B2" s="646"/>
      <c r="C2" s="646"/>
      <c r="D2" s="646"/>
      <c r="E2" s="646"/>
      <c r="F2" s="646"/>
      <c r="G2" s="646"/>
      <c r="H2" s="646"/>
      <c r="I2" s="646"/>
      <c r="J2" s="646"/>
      <c r="K2" s="475"/>
      <c r="L2" s="475"/>
      <c r="M2" s="475"/>
    </row>
    <row r="3" spans="2:13" x14ac:dyDescent="0.3">
      <c r="B3" s="646"/>
      <c r="C3" s="646"/>
      <c r="D3" s="646"/>
      <c r="E3" s="646"/>
      <c r="F3" s="646"/>
      <c r="G3" s="646"/>
      <c r="H3" s="646"/>
      <c r="I3" s="646"/>
      <c r="J3" s="646"/>
      <c r="K3" s="475"/>
      <c r="L3" s="475"/>
      <c r="M3" s="475"/>
    </row>
    <row r="4" spans="2:13" x14ac:dyDescent="0.3">
      <c r="B4" s="646"/>
      <c r="C4" s="646"/>
      <c r="D4" s="646"/>
      <c r="E4" s="646"/>
      <c r="F4" s="646"/>
      <c r="G4" s="646"/>
      <c r="H4" s="646"/>
      <c r="I4" s="646"/>
      <c r="J4" s="646"/>
      <c r="K4" s="475"/>
      <c r="L4" s="475"/>
      <c r="M4" s="475"/>
    </row>
    <row r="6" spans="2:13" x14ac:dyDescent="0.3">
      <c r="B6" s="647" t="s">
        <v>2911</v>
      </c>
      <c r="C6" s="647"/>
      <c r="D6" s="647"/>
      <c r="E6" s="647"/>
      <c r="F6" s="647"/>
      <c r="G6" s="647"/>
      <c r="H6" s="647"/>
      <c r="I6" s="647"/>
      <c r="J6" s="647"/>
      <c r="K6" s="647"/>
      <c r="L6" s="647"/>
      <c r="M6" s="647"/>
    </row>
    <row r="7" spans="2:13" ht="7.05" customHeight="1" x14ac:dyDescent="0.3">
      <c r="B7" s="397"/>
      <c r="C7" s="397"/>
      <c r="D7" s="397"/>
      <c r="E7" s="397"/>
      <c r="F7" s="397"/>
      <c r="G7" s="397"/>
      <c r="H7" s="397"/>
      <c r="I7" s="397"/>
      <c r="J7" s="397"/>
      <c r="K7" s="397"/>
      <c r="L7" s="397"/>
      <c r="M7" s="397"/>
    </row>
    <row r="8" spans="2:13" ht="17.399999999999999" x14ac:dyDescent="0.3">
      <c r="B8" s="648" t="s">
        <v>2964</v>
      </c>
      <c r="C8" s="648"/>
      <c r="D8" s="648"/>
      <c r="E8" s="648"/>
      <c r="F8" s="648"/>
      <c r="G8" s="648"/>
      <c r="H8" s="648"/>
      <c r="I8" s="648"/>
      <c r="J8" s="648"/>
      <c r="K8" s="648"/>
      <c r="L8" s="648"/>
      <c r="M8" s="648"/>
    </row>
    <row r="9" spans="2:13" x14ac:dyDescent="0.3">
      <c r="B9" s="397"/>
      <c r="C9" s="397"/>
      <c r="D9" s="397"/>
      <c r="E9" s="397"/>
      <c r="F9" s="397"/>
      <c r="G9" s="397"/>
      <c r="H9" s="397"/>
      <c r="I9" s="397"/>
      <c r="J9" s="397"/>
      <c r="K9" s="397"/>
      <c r="L9" s="397"/>
      <c r="M9" s="397"/>
    </row>
    <row r="10" spans="2:13" x14ac:dyDescent="0.3">
      <c r="B10" s="725" t="s">
        <v>2934</v>
      </c>
      <c r="C10" s="725"/>
      <c r="D10" s="725"/>
      <c r="E10" s="728" t="s">
        <v>2935</v>
      </c>
      <c r="F10" s="728"/>
      <c r="G10" s="728" t="s">
        <v>2936</v>
      </c>
      <c r="H10" s="728"/>
      <c r="I10" s="728" t="s">
        <v>2937</v>
      </c>
      <c r="J10" s="728"/>
      <c r="K10" s="728" t="s">
        <v>2580</v>
      </c>
      <c r="L10" s="728"/>
      <c r="M10" s="728"/>
    </row>
    <row r="11" spans="2:13" ht="7.05" customHeight="1" x14ac:dyDescent="0.3">
      <c r="B11" s="397"/>
      <c r="C11" s="397"/>
      <c r="D11" s="397"/>
      <c r="E11" s="397"/>
      <c r="F11" s="397"/>
      <c r="G11" s="397"/>
      <c r="H11" s="397"/>
      <c r="I11" s="397"/>
      <c r="J11" s="397"/>
      <c r="K11" s="397"/>
      <c r="L11" s="397"/>
      <c r="M11" s="397"/>
    </row>
    <row r="12" spans="2:13" x14ac:dyDescent="0.3">
      <c r="B12" s="592" t="s">
        <v>2938</v>
      </c>
      <c r="C12" s="592"/>
      <c r="D12" s="592"/>
      <c r="E12" s="636" t="s">
        <v>2946</v>
      </c>
      <c r="F12" s="636"/>
      <c r="G12" s="632">
        <v>13840</v>
      </c>
      <c r="H12" s="632"/>
      <c r="I12" s="718">
        <v>0.14000000000000001</v>
      </c>
      <c r="J12" s="718"/>
      <c r="K12" s="632" t="s">
        <v>2949</v>
      </c>
      <c r="L12" s="632"/>
      <c r="M12" s="632"/>
    </row>
    <row r="13" spans="2:13" x14ac:dyDescent="0.3">
      <c r="B13" s="496"/>
      <c r="C13" s="496"/>
      <c r="D13" s="496"/>
      <c r="E13" s="509"/>
      <c r="F13" s="509"/>
      <c r="G13" s="509"/>
      <c r="H13" s="509"/>
      <c r="I13" s="510"/>
      <c r="J13" s="510"/>
      <c r="K13" s="509"/>
      <c r="L13" s="509"/>
      <c r="M13" s="509"/>
    </row>
    <row r="14" spans="2:13" x14ac:dyDescent="0.3">
      <c r="B14" s="592" t="s">
        <v>2939</v>
      </c>
      <c r="C14" s="592"/>
      <c r="D14" s="592"/>
      <c r="E14" s="636" t="s">
        <v>2946</v>
      </c>
      <c r="F14" s="636"/>
      <c r="G14" s="632">
        <v>13800</v>
      </c>
      <c r="H14" s="632"/>
      <c r="I14" s="718">
        <v>0.19</v>
      </c>
      <c r="J14" s="718"/>
      <c r="K14" s="632" t="s">
        <v>2948</v>
      </c>
      <c r="L14" s="632"/>
      <c r="M14" s="632"/>
    </row>
    <row r="15" spans="2:13" x14ac:dyDescent="0.3">
      <c r="B15" s="496"/>
      <c r="C15" s="496"/>
      <c r="D15" s="496"/>
      <c r="E15" s="509"/>
      <c r="F15" s="509"/>
      <c r="G15" s="509"/>
      <c r="H15" s="509"/>
      <c r="I15" s="510"/>
      <c r="J15" s="510"/>
      <c r="K15" s="509"/>
      <c r="L15" s="509"/>
      <c r="M15" s="509"/>
    </row>
    <row r="16" spans="2:13" x14ac:dyDescent="0.3">
      <c r="B16" s="592" t="s">
        <v>2940</v>
      </c>
      <c r="C16" s="592"/>
      <c r="D16" s="592"/>
      <c r="E16" s="636" t="s">
        <v>2946</v>
      </c>
      <c r="F16" s="636"/>
      <c r="G16" s="632">
        <v>13425</v>
      </c>
      <c r="H16" s="632"/>
      <c r="I16" s="718">
        <v>0.125</v>
      </c>
      <c r="J16" s="718"/>
      <c r="K16" s="632" t="s">
        <v>2947</v>
      </c>
      <c r="L16" s="632"/>
      <c r="M16" s="632"/>
    </row>
    <row r="17" spans="2:13" x14ac:dyDescent="0.3">
      <c r="B17" s="496"/>
      <c r="C17" s="496"/>
      <c r="D17" s="496"/>
      <c r="E17" s="509"/>
      <c r="F17" s="509"/>
      <c r="G17" s="509"/>
      <c r="H17" s="509"/>
      <c r="I17" s="510"/>
      <c r="J17" s="510"/>
      <c r="K17" s="509"/>
      <c r="L17" s="509"/>
      <c r="M17" s="509"/>
    </row>
    <row r="18" spans="2:13" x14ac:dyDescent="0.3">
      <c r="B18" s="592" t="s">
        <v>2941</v>
      </c>
      <c r="C18" s="592"/>
      <c r="D18" s="592"/>
      <c r="E18" s="636" t="s">
        <v>2946</v>
      </c>
      <c r="F18" s="636"/>
      <c r="G18" s="632">
        <v>13000</v>
      </c>
      <c r="H18" s="632"/>
      <c r="I18" s="718">
        <v>0.125</v>
      </c>
      <c r="J18" s="718"/>
      <c r="K18" s="632" t="s">
        <v>2950</v>
      </c>
      <c r="L18" s="632"/>
      <c r="M18" s="632"/>
    </row>
    <row r="19" spans="2:13" x14ac:dyDescent="0.3">
      <c r="B19" s="496"/>
      <c r="C19" s="496"/>
      <c r="D19" s="496"/>
      <c r="E19" s="509"/>
      <c r="F19" s="509"/>
      <c r="G19" s="509"/>
      <c r="H19" s="509"/>
      <c r="I19" s="510"/>
      <c r="J19" s="510"/>
      <c r="K19" s="509"/>
      <c r="L19" s="509"/>
      <c r="M19" s="509"/>
    </row>
    <row r="20" spans="2:13" x14ac:dyDescent="0.3">
      <c r="B20" s="592" t="s">
        <v>2942</v>
      </c>
      <c r="C20" s="592"/>
      <c r="D20" s="592"/>
      <c r="E20" s="636" t="s">
        <v>2946</v>
      </c>
      <c r="F20" s="636"/>
      <c r="G20" s="632">
        <v>13137</v>
      </c>
      <c r="H20" s="632"/>
      <c r="I20" s="718">
        <v>0.115</v>
      </c>
      <c r="J20" s="718"/>
      <c r="K20" s="632" t="s">
        <v>2951</v>
      </c>
      <c r="L20" s="632"/>
      <c r="M20" s="632"/>
    </row>
    <row r="21" spans="2:13" x14ac:dyDescent="0.3">
      <c r="B21" s="496"/>
      <c r="C21" s="496"/>
      <c r="D21" s="496"/>
      <c r="E21" s="509"/>
      <c r="F21" s="509"/>
      <c r="G21" s="509"/>
      <c r="H21" s="509"/>
      <c r="I21" s="510"/>
      <c r="J21" s="510"/>
      <c r="K21" s="509"/>
      <c r="L21" s="509"/>
      <c r="M21" s="509"/>
    </row>
    <row r="22" spans="2:13" x14ac:dyDescent="0.3">
      <c r="B22" s="592" t="s">
        <v>2943</v>
      </c>
      <c r="C22" s="592"/>
      <c r="D22" s="592"/>
      <c r="E22" s="636" t="s">
        <v>2946</v>
      </c>
      <c r="F22" s="636"/>
      <c r="G22" s="632">
        <v>12650</v>
      </c>
      <c r="H22" s="632"/>
      <c r="I22" s="718">
        <v>0.105</v>
      </c>
      <c r="J22" s="718"/>
      <c r="K22" s="632" t="s">
        <v>2952</v>
      </c>
      <c r="L22" s="632"/>
      <c r="M22" s="632"/>
    </row>
    <row r="23" spans="2:13" x14ac:dyDescent="0.3">
      <c r="B23" s="496"/>
      <c r="C23" s="496"/>
      <c r="D23" s="496"/>
      <c r="E23" s="509"/>
      <c r="F23" s="509"/>
      <c r="G23" s="509"/>
      <c r="H23" s="509"/>
      <c r="I23" s="510"/>
      <c r="J23" s="510"/>
      <c r="K23" s="509"/>
      <c r="L23" s="509"/>
      <c r="M23" s="509"/>
    </row>
    <row r="24" spans="2:13" x14ac:dyDescent="0.3">
      <c r="B24" s="592" t="s">
        <v>2944</v>
      </c>
      <c r="C24" s="592"/>
      <c r="D24" s="592"/>
      <c r="E24" s="636" t="s">
        <v>2946</v>
      </c>
      <c r="F24" s="636"/>
      <c r="G24" s="632">
        <v>13500</v>
      </c>
      <c r="H24" s="632"/>
      <c r="I24" s="718">
        <v>0.13</v>
      </c>
      <c r="J24" s="718"/>
      <c r="K24" s="632" t="s">
        <v>2953</v>
      </c>
      <c r="L24" s="632"/>
      <c r="M24" s="632"/>
    </row>
    <row r="25" spans="2:13" x14ac:dyDescent="0.3">
      <c r="B25" s="496"/>
      <c r="C25" s="496"/>
      <c r="D25" s="496"/>
      <c r="E25" s="509"/>
      <c r="F25" s="509"/>
      <c r="G25" s="509"/>
      <c r="H25" s="509"/>
      <c r="I25" s="510"/>
      <c r="J25" s="510"/>
      <c r="K25" s="509"/>
      <c r="L25" s="509"/>
      <c r="M25" s="509"/>
    </row>
    <row r="26" spans="2:13" x14ac:dyDescent="0.3">
      <c r="B26" s="592" t="s">
        <v>2945</v>
      </c>
      <c r="C26" s="592"/>
      <c r="D26" s="592"/>
      <c r="E26" s="636" t="s">
        <v>2946</v>
      </c>
      <c r="F26" s="636"/>
      <c r="G26" s="632">
        <v>12000</v>
      </c>
      <c r="H26" s="632"/>
      <c r="I26" s="718">
        <v>0.1</v>
      </c>
      <c r="J26" s="718"/>
      <c r="K26" s="632" t="s">
        <v>2954</v>
      </c>
      <c r="L26" s="632"/>
      <c r="M26" s="632"/>
    </row>
    <row r="27" spans="2:13" x14ac:dyDescent="0.3">
      <c r="B27" s="509"/>
      <c r="C27" s="509"/>
      <c r="D27" s="509"/>
      <c r="E27" s="509"/>
      <c r="F27" s="509"/>
      <c r="G27" s="509"/>
      <c r="H27" s="509"/>
      <c r="I27" s="509"/>
      <c r="J27" s="509"/>
      <c r="K27" s="509"/>
      <c r="L27" s="509"/>
      <c r="M27" s="509"/>
    </row>
    <row r="28" spans="2:13" x14ac:dyDescent="0.3">
      <c r="B28" s="397"/>
      <c r="C28" s="397"/>
      <c r="D28" s="397"/>
      <c r="E28" s="397"/>
      <c r="F28" s="397"/>
      <c r="G28" s="397"/>
      <c r="H28" s="397"/>
      <c r="I28" s="397"/>
      <c r="J28" s="397"/>
      <c r="K28" s="397"/>
      <c r="L28" s="397"/>
      <c r="M28" s="397"/>
    </row>
    <row r="29" spans="2:13" x14ac:dyDescent="0.3">
      <c r="B29" s="726" t="s">
        <v>2955</v>
      </c>
      <c r="C29" s="726"/>
      <c r="D29" s="726"/>
      <c r="E29" s="636" t="s">
        <v>2946</v>
      </c>
      <c r="F29" s="636"/>
      <c r="G29" s="727">
        <f>CALL!$L$9</f>
        <v>13837</v>
      </c>
      <c r="H29" s="727"/>
      <c r="I29" s="730">
        <f>CALL!$L$10</f>
        <v>0.20332202800243498</v>
      </c>
      <c r="J29" s="727"/>
      <c r="K29" s="727" t="s">
        <v>2956</v>
      </c>
      <c r="L29" s="727"/>
      <c r="M29" s="727"/>
    </row>
    <row r="30" spans="2:13" x14ac:dyDescent="0.3">
      <c r="B30" s="397"/>
      <c r="C30" s="397"/>
      <c r="D30" s="397"/>
      <c r="E30" s="397"/>
      <c r="F30" s="397"/>
      <c r="G30" s="397"/>
      <c r="H30" s="397"/>
      <c r="I30" s="397"/>
      <c r="J30" s="397"/>
      <c r="K30" s="397"/>
      <c r="L30" s="397"/>
      <c r="M30" s="397"/>
    </row>
    <row r="31" spans="2:13" ht="14.4" customHeight="1" x14ac:dyDescent="0.3">
      <c r="B31" s="689" t="s">
        <v>2957</v>
      </c>
      <c r="C31" s="689"/>
      <c r="D31" s="689"/>
      <c r="E31" s="689"/>
      <c r="F31" s="689"/>
      <c r="G31" s="689"/>
      <c r="H31" s="689"/>
      <c r="I31" s="689"/>
      <c r="J31" s="689"/>
      <c r="K31" s="689"/>
      <c r="L31" s="689"/>
      <c r="M31" s="689"/>
    </row>
    <row r="32" spans="2:13" x14ac:dyDescent="0.3">
      <c r="B32" s="689"/>
      <c r="C32" s="689"/>
      <c r="D32" s="689"/>
      <c r="E32" s="689"/>
      <c r="F32" s="689"/>
      <c r="G32" s="689"/>
      <c r="H32" s="689"/>
      <c r="I32" s="689"/>
      <c r="J32" s="689"/>
      <c r="K32" s="689"/>
      <c r="L32" s="689"/>
      <c r="M32" s="689"/>
    </row>
    <row r="33" spans="2:13" x14ac:dyDescent="0.3">
      <c r="B33" s="689"/>
      <c r="C33" s="689"/>
      <c r="D33" s="689"/>
      <c r="E33" s="689"/>
      <c r="F33" s="689"/>
      <c r="G33" s="689"/>
      <c r="H33" s="689"/>
      <c r="I33" s="689"/>
      <c r="J33" s="689"/>
      <c r="K33" s="689"/>
      <c r="L33" s="689"/>
      <c r="M33" s="689"/>
    </row>
    <row r="34" spans="2:13" x14ac:dyDescent="0.3">
      <c r="B34" s="689"/>
      <c r="C34" s="689"/>
      <c r="D34" s="689"/>
      <c r="E34" s="689"/>
      <c r="F34" s="689"/>
      <c r="G34" s="689"/>
      <c r="H34" s="689"/>
      <c r="I34" s="689"/>
      <c r="J34" s="689"/>
      <c r="K34" s="689"/>
      <c r="L34" s="689"/>
      <c r="M34" s="689"/>
    </row>
    <row r="35" spans="2:13" x14ac:dyDescent="0.3">
      <c r="B35" s="689"/>
      <c r="C35" s="689"/>
      <c r="D35" s="689"/>
      <c r="E35" s="689"/>
      <c r="F35" s="689"/>
      <c r="G35" s="689"/>
      <c r="H35" s="689"/>
      <c r="I35" s="689"/>
      <c r="J35" s="689"/>
      <c r="K35" s="689"/>
      <c r="L35" s="689"/>
      <c r="M35" s="689"/>
    </row>
    <row r="36" spans="2:13" x14ac:dyDescent="0.3">
      <c r="B36" s="689"/>
      <c r="C36" s="689"/>
      <c r="D36" s="689"/>
      <c r="E36" s="689"/>
      <c r="F36" s="689"/>
      <c r="G36" s="689"/>
      <c r="H36" s="689"/>
      <c r="I36" s="689"/>
      <c r="J36" s="689"/>
      <c r="K36" s="689"/>
      <c r="L36" s="689"/>
      <c r="M36" s="689"/>
    </row>
    <row r="37" spans="2:13" x14ac:dyDescent="0.3">
      <c r="B37" s="689"/>
      <c r="C37" s="689"/>
      <c r="D37" s="689"/>
      <c r="E37" s="689"/>
      <c r="F37" s="689"/>
      <c r="G37" s="689"/>
      <c r="H37" s="689"/>
      <c r="I37" s="689"/>
      <c r="J37" s="689"/>
      <c r="K37" s="689"/>
      <c r="L37" s="689"/>
      <c r="M37" s="689"/>
    </row>
    <row r="38" spans="2:13" x14ac:dyDescent="0.3">
      <c r="B38" s="689"/>
      <c r="C38" s="689"/>
      <c r="D38" s="689"/>
      <c r="E38" s="689"/>
      <c r="F38" s="689"/>
      <c r="G38" s="689"/>
      <c r="H38" s="689"/>
      <c r="I38" s="689"/>
      <c r="J38" s="689"/>
      <c r="K38" s="689"/>
      <c r="L38" s="689"/>
      <c r="M38" s="689"/>
    </row>
    <row r="39" spans="2:13" x14ac:dyDescent="0.3">
      <c r="B39" s="689"/>
      <c r="C39" s="689"/>
      <c r="D39" s="689"/>
      <c r="E39" s="689"/>
      <c r="F39" s="689"/>
      <c r="G39" s="689"/>
      <c r="H39" s="689"/>
      <c r="I39" s="689"/>
      <c r="J39" s="689"/>
      <c r="K39" s="689"/>
      <c r="L39" s="689"/>
      <c r="M39" s="689"/>
    </row>
    <row r="40" spans="2:13" x14ac:dyDescent="0.3">
      <c r="B40" s="689"/>
      <c r="C40" s="689"/>
      <c r="D40" s="689"/>
      <c r="E40" s="689"/>
      <c r="F40" s="689"/>
      <c r="G40" s="689"/>
      <c r="H40" s="689"/>
      <c r="I40" s="689"/>
      <c r="J40" s="689"/>
      <c r="K40" s="689"/>
      <c r="L40" s="689"/>
      <c r="M40" s="689"/>
    </row>
    <row r="41" spans="2:13" x14ac:dyDescent="0.3">
      <c r="B41" s="689"/>
      <c r="C41" s="689"/>
      <c r="D41" s="689"/>
      <c r="E41" s="689"/>
      <c r="F41" s="689"/>
      <c r="G41" s="689"/>
      <c r="H41" s="689"/>
      <c r="I41" s="689"/>
      <c r="J41" s="689"/>
      <c r="K41" s="689"/>
      <c r="L41" s="689"/>
      <c r="M41" s="689"/>
    </row>
    <row r="42" spans="2:13" x14ac:dyDescent="0.3">
      <c r="B42" s="689"/>
      <c r="C42" s="689"/>
      <c r="D42" s="689"/>
      <c r="E42" s="689"/>
      <c r="F42" s="689"/>
      <c r="G42" s="689"/>
      <c r="H42" s="689"/>
      <c r="I42" s="689"/>
      <c r="J42" s="689"/>
      <c r="K42" s="689"/>
      <c r="L42" s="689"/>
      <c r="M42" s="689"/>
    </row>
    <row r="43" spans="2:13" x14ac:dyDescent="0.3">
      <c r="B43" s="689"/>
      <c r="C43" s="689"/>
      <c r="D43" s="689"/>
      <c r="E43" s="689"/>
      <c r="F43" s="689"/>
      <c r="G43" s="689"/>
      <c r="H43" s="689"/>
      <c r="I43" s="689"/>
      <c r="J43" s="689"/>
      <c r="K43" s="689"/>
      <c r="L43" s="689"/>
      <c r="M43" s="689"/>
    </row>
    <row r="44" spans="2:13" x14ac:dyDescent="0.3">
      <c r="B44" s="689"/>
      <c r="C44" s="689"/>
      <c r="D44" s="689"/>
      <c r="E44" s="689"/>
      <c r="F44" s="689"/>
      <c r="G44" s="689"/>
      <c r="H44" s="689"/>
      <c r="I44" s="689"/>
      <c r="J44" s="689"/>
      <c r="K44" s="689"/>
      <c r="L44" s="689"/>
      <c r="M44" s="689"/>
    </row>
    <row r="45" spans="2:13" x14ac:dyDescent="0.3">
      <c r="B45" s="689"/>
      <c r="C45" s="689"/>
      <c r="D45" s="689"/>
      <c r="E45" s="689"/>
      <c r="F45" s="689"/>
      <c r="G45" s="689"/>
      <c r="H45" s="689"/>
      <c r="I45" s="689"/>
      <c r="J45" s="689"/>
      <c r="K45" s="689"/>
      <c r="L45" s="689"/>
      <c r="M45" s="689"/>
    </row>
    <row r="46" spans="2:13" x14ac:dyDescent="0.3">
      <c r="B46" s="689"/>
      <c r="C46" s="689"/>
      <c r="D46" s="689"/>
      <c r="E46" s="689"/>
      <c r="F46" s="689"/>
      <c r="G46" s="689"/>
      <c r="H46" s="689"/>
      <c r="I46" s="689"/>
      <c r="J46" s="689"/>
      <c r="K46" s="689"/>
      <c r="L46" s="689"/>
      <c r="M46" s="689"/>
    </row>
    <row r="47" spans="2:13" x14ac:dyDescent="0.3">
      <c r="B47" s="729"/>
      <c r="C47" s="729"/>
      <c r="D47" s="729"/>
      <c r="E47" s="729"/>
      <c r="F47" s="729"/>
      <c r="G47" s="729"/>
      <c r="H47" s="729"/>
      <c r="I47" s="729"/>
      <c r="J47" s="729"/>
      <c r="K47" s="729"/>
      <c r="L47" s="729"/>
      <c r="M47" s="729"/>
    </row>
    <row r="48" spans="2:13" x14ac:dyDescent="0.3">
      <c r="B48" s="729"/>
      <c r="C48" s="729"/>
      <c r="D48" s="729"/>
      <c r="E48" s="729"/>
      <c r="F48" s="729"/>
      <c r="G48" s="729"/>
      <c r="H48" s="729"/>
      <c r="I48" s="729"/>
      <c r="J48" s="729"/>
      <c r="K48" s="729"/>
      <c r="L48" s="729"/>
      <c r="M48" s="729"/>
    </row>
    <row r="49" spans="2:13" x14ac:dyDescent="0.3">
      <c r="B49" s="729"/>
      <c r="C49" s="729"/>
      <c r="D49" s="729"/>
      <c r="E49" s="729"/>
      <c r="F49" s="729"/>
      <c r="G49" s="729"/>
      <c r="H49" s="729"/>
      <c r="I49" s="729"/>
      <c r="J49" s="729"/>
      <c r="K49" s="729"/>
      <c r="L49" s="729"/>
      <c r="M49" s="729"/>
    </row>
    <row r="50" spans="2:13" x14ac:dyDescent="0.3">
      <c r="B50" s="729"/>
      <c r="C50" s="729"/>
      <c r="D50" s="729"/>
      <c r="E50" s="729"/>
      <c r="F50" s="729"/>
      <c r="G50" s="729"/>
      <c r="H50" s="729"/>
      <c r="I50" s="729"/>
      <c r="J50" s="729"/>
      <c r="K50" s="729"/>
      <c r="L50" s="729"/>
      <c r="M50" s="729"/>
    </row>
    <row r="51" spans="2:13" x14ac:dyDescent="0.3">
      <c r="B51" s="729"/>
      <c r="C51" s="729"/>
      <c r="D51" s="729"/>
      <c r="E51" s="729"/>
      <c r="F51" s="729"/>
      <c r="G51" s="729"/>
      <c r="H51" s="729"/>
      <c r="I51" s="729"/>
      <c r="J51" s="729"/>
      <c r="K51" s="729"/>
      <c r="L51" s="729"/>
      <c r="M51" s="729"/>
    </row>
    <row r="52" spans="2:13" x14ac:dyDescent="0.3">
      <c r="B52" s="729"/>
      <c r="C52" s="729"/>
      <c r="D52" s="729"/>
      <c r="E52" s="729"/>
      <c r="F52" s="729"/>
      <c r="G52" s="729"/>
      <c r="H52" s="729"/>
      <c r="I52" s="729"/>
      <c r="J52" s="729"/>
      <c r="K52" s="729"/>
      <c r="L52" s="729"/>
      <c r="M52" s="729"/>
    </row>
    <row r="53" spans="2:13" x14ac:dyDescent="0.3">
      <c r="B53" s="729"/>
      <c r="C53" s="729"/>
      <c r="D53" s="729"/>
      <c r="E53" s="729"/>
      <c r="F53" s="729"/>
      <c r="G53" s="729"/>
      <c r="H53" s="729"/>
      <c r="I53" s="729"/>
      <c r="J53" s="729"/>
      <c r="K53" s="729"/>
      <c r="L53" s="729"/>
      <c r="M53" s="729"/>
    </row>
    <row r="54" spans="2:13" x14ac:dyDescent="0.3">
      <c r="B54" s="729"/>
      <c r="C54" s="729"/>
      <c r="D54" s="729"/>
      <c r="E54" s="729"/>
      <c r="F54" s="729"/>
      <c r="G54" s="729"/>
      <c r="H54" s="729"/>
      <c r="I54" s="729"/>
      <c r="J54" s="729"/>
      <c r="K54" s="729"/>
      <c r="L54" s="729"/>
      <c r="M54" s="729"/>
    </row>
    <row r="55" spans="2:13" x14ac:dyDescent="0.3">
      <c r="B55" s="397"/>
      <c r="C55" s="397"/>
      <c r="D55" s="397"/>
      <c r="E55" s="397"/>
      <c r="F55" s="397"/>
      <c r="G55" s="397"/>
      <c r="H55" s="397"/>
      <c r="I55" s="397"/>
      <c r="J55" s="397"/>
      <c r="K55" s="397"/>
      <c r="L55" s="397"/>
      <c r="M55" s="397"/>
    </row>
    <row r="56" spans="2:13" x14ac:dyDescent="0.3">
      <c r="B56" s="398"/>
      <c r="C56" s="398"/>
      <c r="D56" s="398"/>
      <c r="E56" s="398"/>
      <c r="F56" s="398"/>
      <c r="G56" s="398"/>
      <c r="H56" s="398"/>
      <c r="I56" s="398"/>
      <c r="J56" s="398"/>
      <c r="K56" s="398"/>
      <c r="L56" s="398"/>
      <c r="M56" s="398"/>
    </row>
    <row r="57" spans="2:13" x14ac:dyDescent="0.3">
      <c r="B57" s="397"/>
      <c r="C57" s="397"/>
      <c r="D57" s="397"/>
      <c r="E57" s="397"/>
      <c r="F57" s="397"/>
      <c r="G57" s="397"/>
      <c r="H57" s="397"/>
      <c r="I57" s="397"/>
      <c r="J57" s="397"/>
      <c r="K57" s="397"/>
      <c r="L57" s="397"/>
      <c r="M57" s="397"/>
    </row>
    <row r="58" spans="2:13" x14ac:dyDescent="0.3">
      <c r="B58" s="397"/>
      <c r="C58" s="397"/>
      <c r="D58" s="397"/>
      <c r="E58" s="397"/>
      <c r="F58" s="397"/>
      <c r="G58" s="397"/>
      <c r="H58" s="397"/>
      <c r="I58" s="397"/>
      <c r="J58" s="397"/>
      <c r="K58" s="397"/>
      <c r="L58" s="397"/>
      <c r="M58" s="397"/>
    </row>
    <row r="59" spans="2:13" x14ac:dyDescent="0.3">
      <c r="B59" s="397"/>
      <c r="C59" s="397"/>
      <c r="D59" s="397"/>
      <c r="E59" s="397"/>
      <c r="F59" s="397"/>
      <c r="G59" s="397"/>
      <c r="H59" s="397"/>
      <c r="I59" s="397"/>
      <c r="J59" s="397"/>
      <c r="K59" s="397"/>
      <c r="L59" s="397"/>
      <c r="M59" s="397"/>
    </row>
    <row r="60" spans="2:13" x14ac:dyDescent="0.3">
      <c r="B60" s="397"/>
      <c r="C60" s="397"/>
      <c r="D60" s="397"/>
      <c r="E60" s="397"/>
      <c r="F60" s="397"/>
      <c r="G60" s="397"/>
      <c r="H60" s="397"/>
      <c r="I60" s="397"/>
      <c r="J60" s="397"/>
      <c r="K60" s="397"/>
      <c r="L60" s="397"/>
      <c r="M60" s="397"/>
    </row>
    <row r="61" spans="2:13" x14ac:dyDescent="0.3">
      <c r="B61" s="397"/>
      <c r="C61" s="397"/>
      <c r="D61" s="397"/>
      <c r="E61" s="397"/>
      <c r="F61" s="397"/>
      <c r="G61" s="397"/>
      <c r="H61" s="397"/>
      <c r="I61" s="397"/>
      <c r="J61" s="397"/>
      <c r="K61" s="397"/>
      <c r="L61" s="397"/>
      <c r="M61" s="397"/>
    </row>
    <row r="62" spans="2:13" x14ac:dyDescent="0.3">
      <c r="B62" s="397"/>
      <c r="C62" s="397"/>
      <c r="D62" s="397"/>
      <c r="E62" s="397"/>
      <c r="F62" s="397"/>
      <c r="G62" s="397"/>
      <c r="H62" s="397"/>
      <c r="I62" s="397"/>
      <c r="J62" s="397"/>
      <c r="K62" s="397"/>
      <c r="L62" s="397"/>
      <c r="M62" s="397"/>
    </row>
    <row r="63" spans="2:13" x14ac:dyDescent="0.3">
      <c r="B63" s="397"/>
      <c r="C63" s="397"/>
      <c r="D63" s="397"/>
      <c r="E63" s="397"/>
      <c r="F63" s="397"/>
      <c r="G63" s="397"/>
      <c r="H63" s="397"/>
      <c r="I63" s="397"/>
      <c r="J63" s="397"/>
      <c r="K63" s="397"/>
      <c r="L63" s="397"/>
      <c r="M63" s="397"/>
    </row>
    <row r="64" spans="2:13" x14ac:dyDescent="0.3">
      <c r="B64" s="397"/>
      <c r="C64" s="397"/>
      <c r="D64" s="397"/>
      <c r="E64" s="397"/>
      <c r="F64" s="397"/>
      <c r="G64" s="397"/>
      <c r="H64" s="397"/>
      <c r="I64" s="397"/>
      <c r="J64" s="397"/>
      <c r="K64" s="397"/>
      <c r="L64" s="397"/>
      <c r="M64" s="397"/>
    </row>
    <row r="65" spans="2:13" x14ac:dyDescent="0.3">
      <c r="B65" s="397"/>
      <c r="C65" s="397"/>
      <c r="D65" s="397"/>
      <c r="E65" s="397"/>
      <c r="F65" s="397"/>
      <c r="G65" s="397"/>
      <c r="H65" s="397"/>
      <c r="I65" s="397"/>
      <c r="J65" s="397"/>
      <c r="K65" s="397"/>
      <c r="L65" s="397"/>
      <c r="M65" s="397"/>
    </row>
    <row r="66" spans="2:13" x14ac:dyDescent="0.3">
      <c r="B66" s="397"/>
      <c r="C66" s="397"/>
      <c r="D66" s="397"/>
      <c r="E66" s="397"/>
      <c r="F66" s="397"/>
      <c r="G66" s="397"/>
      <c r="H66" s="397"/>
      <c r="I66" s="397"/>
      <c r="J66" s="397"/>
      <c r="K66" s="397"/>
      <c r="L66" s="397"/>
      <c r="M66" s="397"/>
    </row>
  </sheetData>
  <mergeCells count="55">
    <mergeCell ref="B31:M46"/>
    <mergeCell ref="B47:M54"/>
    <mergeCell ref="K22:M22"/>
    <mergeCell ref="K24:M24"/>
    <mergeCell ref="K26:M26"/>
    <mergeCell ref="B29:D29"/>
    <mergeCell ref="E29:F29"/>
    <mergeCell ref="G29:H29"/>
    <mergeCell ref="I29:J29"/>
    <mergeCell ref="K29:M29"/>
    <mergeCell ref="G22:H22"/>
    <mergeCell ref="G24:H24"/>
    <mergeCell ref="G26:H26"/>
    <mergeCell ref="I22:J22"/>
    <mergeCell ref="I24:J24"/>
    <mergeCell ref="I26:J26"/>
    <mergeCell ref="K12:M12"/>
    <mergeCell ref="K14:M14"/>
    <mergeCell ref="K16:M16"/>
    <mergeCell ref="K18:M18"/>
    <mergeCell ref="K20:M20"/>
    <mergeCell ref="I12:J12"/>
    <mergeCell ref="I14:J14"/>
    <mergeCell ref="I16:J16"/>
    <mergeCell ref="I18:J18"/>
    <mergeCell ref="I20:J20"/>
    <mergeCell ref="G12:H12"/>
    <mergeCell ref="G14:H14"/>
    <mergeCell ref="G16:H16"/>
    <mergeCell ref="G18:H18"/>
    <mergeCell ref="G20:H20"/>
    <mergeCell ref="B22:D22"/>
    <mergeCell ref="B24:D24"/>
    <mergeCell ref="B26:D26"/>
    <mergeCell ref="E12:F12"/>
    <mergeCell ref="E14:F14"/>
    <mergeCell ref="E16:F16"/>
    <mergeCell ref="E18:F18"/>
    <mergeCell ref="E20:F20"/>
    <mergeCell ref="E22:F22"/>
    <mergeCell ref="E24:F24"/>
    <mergeCell ref="E26:F26"/>
    <mergeCell ref="B12:D12"/>
    <mergeCell ref="B14:D14"/>
    <mergeCell ref="B16:D16"/>
    <mergeCell ref="B18:D18"/>
    <mergeCell ref="B20:D20"/>
    <mergeCell ref="B1:J4"/>
    <mergeCell ref="B6:M6"/>
    <mergeCell ref="B8:M8"/>
    <mergeCell ref="G10:H10"/>
    <mergeCell ref="I10:J10"/>
    <mergeCell ref="B10:D10"/>
    <mergeCell ref="E10:F10"/>
    <mergeCell ref="K10:M10"/>
  </mergeCells>
  <printOptions horizontalCentered="1" verticalCentered="1"/>
  <pageMargins left="0" right="0" top="0" bottom="0" header="0" footer="0"/>
  <pageSetup paperSize="9" scale="95" orientation="portrait" horizontalDpi="1200" verticalDpi="1200" r:id="rId1"/>
  <rowBreaks count="1" manualBreakCount="1">
    <brk id="56" min="1" max="12"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55</vt:i4>
      </vt:variant>
      <vt:variant>
        <vt:lpstr>Named Ranges</vt:lpstr>
      </vt:variant>
      <vt:variant>
        <vt:i4>24</vt:i4>
      </vt:variant>
    </vt:vector>
  </HeadingPairs>
  <TitlesOfParts>
    <vt:vector size="79" baseType="lpstr">
      <vt:lpstr>DATASET</vt:lpstr>
      <vt:lpstr>DATA STATEMENTS</vt:lpstr>
      <vt:lpstr>DATA VALUATION &amp; OTHERS</vt:lpstr>
      <vt:lpstr>DATA HISTORICAL</vt:lpstr>
      <vt:lpstr>PIE E.R.R</vt:lpstr>
      <vt:lpstr>ABOUT US</vt:lpstr>
      <vt:lpstr>SCHEDULES</vt:lpstr>
      <vt:lpstr>REVENUE SCHEDULE</vt:lpstr>
      <vt:lpstr>OTHER INCOME SCHEDULE</vt:lpstr>
      <vt:lpstr>COGS SCHEDULE</vt:lpstr>
      <vt:lpstr>DEPRECIATION SCHEDULE</vt:lpstr>
      <vt:lpstr>FINANCE COST SCHEDULE</vt:lpstr>
      <vt:lpstr>TAX SCHEDULE</vt:lpstr>
      <vt:lpstr>EQUITY SCHEDULE</vt:lpstr>
      <vt:lpstr>WORKING CAPITAL SCHEDULE</vt:lpstr>
      <vt:lpstr>LONG TERM SOLVENCY SCHEDULE</vt:lpstr>
      <vt:lpstr>CFS - WC</vt:lpstr>
      <vt:lpstr>STATEMENTS</vt:lpstr>
      <vt:lpstr>INCOME STATEMENT</vt:lpstr>
      <vt:lpstr>BALANCE SHEET</vt:lpstr>
      <vt:lpstr>CASH FLOW STAEMENT</vt:lpstr>
      <vt:lpstr>COMMON SIZE STATEMENT</vt:lpstr>
      <vt:lpstr>GROWTH</vt:lpstr>
      <vt:lpstr>YoY GROWTH %</vt:lpstr>
      <vt:lpstr>PREDICTION</vt:lpstr>
      <vt:lpstr>FORECAST</vt:lpstr>
      <vt:lpstr>VALUATION</vt:lpstr>
      <vt:lpstr>REGRESSION BETA</vt:lpstr>
      <vt:lpstr>COMPS. REGRESSION BETA</vt:lpstr>
      <vt:lpstr>WACC</vt:lpstr>
      <vt:lpstr>INTRINSIC GROWTH</vt:lpstr>
      <vt:lpstr>PV FCFF</vt:lpstr>
      <vt:lpstr>RELATIVE VALUATION</vt:lpstr>
      <vt:lpstr>ANALYSIS</vt:lpstr>
      <vt:lpstr>RATIO ANALYSIS</vt:lpstr>
      <vt:lpstr>KEY FINANCIAL RATIOS</vt:lpstr>
      <vt:lpstr>VAR</vt:lpstr>
      <vt:lpstr>ALTSMAN Z SCORE</vt:lpstr>
      <vt:lpstr>DUPONT ANALYSIS</vt:lpstr>
      <vt:lpstr>FOOTBALL FIELD ANALYSIS</vt:lpstr>
      <vt:lpstr>CONCLUSION</vt:lpstr>
      <vt:lpstr>WHY YOU SHOULD INVEST</vt:lpstr>
      <vt:lpstr>WHY YOU SHOULD WAIT</vt:lpstr>
      <vt:lpstr>EQUITY RESEARCH REPORT</vt:lpstr>
      <vt:lpstr>CALL</vt:lpstr>
      <vt:lpstr>ABOUT ULTRATECH</vt:lpstr>
      <vt:lpstr>WHAT HAPPENED WITHIN YEAR</vt:lpstr>
      <vt:lpstr>PRESENSE</vt:lpstr>
      <vt:lpstr>CONCALL 1</vt:lpstr>
      <vt:lpstr>CONCALL 2</vt:lpstr>
      <vt:lpstr>GROWTH METRICS</vt:lpstr>
      <vt:lpstr>SNAPSHOTS</vt:lpstr>
      <vt:lpstr>KEY RATIOS</vt:lpstr>
      <vt:lpstr>PEER STOCK PERFORMANCE</vt:lpstr>
      <vt:lpstr>ANALYST COVERAGE UNIVERSE</vt:lpstr>
      <vt:lpstr>'ABOUT ULTRATECH'!Print_Area</vt:lpstr>
      <vt:lpstr>'ANALYST COVERAGE UNIVERSE'!Print_Area</vt:lpstr>
      <vt:lpstr>CALL!Print_Area</vt:lpstr>
      <vt:lpstr>'CASH FLOW STAEMENT'!Print_Area</vt:lpstr>
      <vt:lpstr>'COGS SCHEDULE'!Print_Area</vt:lpstr>
      <vt:lpstr>'CONCALL 1'!Print_Area</vt:lpstr>
      <vt:lpstr>'CONCALL 2'!Print_Area</vt:lpstr>
      <vt:lpstr>'EQUITY SCHEDULE'!Print_Area</vt:lpstr>
      <vt:lpstr>'FINANCE COST SCHEDULE'!Print_Area</vt:lpstr>
      <vt:lpstr>FORECAST!Print_Area</vt:lpstr>
      <vt:lpstr>'GROWTH METRICS'!Print_Area</vt:lpstr>
      <vt:lpstr>'INCOME STATEMENT'!Print_Area</vt:lpstr>
      <vt:lpstr>'KEY RATIOS'!Print_Area</vt:lpstr>
      <vt:lpstr>'PEER STOCK PERFORMANCE'!Print_Area</vt:lpstr>
      <vt:lpstr>PRESENSE!Print_Area</vt:lpstr>
      <vt:lpstr>'PV FCFF'!Print_Area</vt:lpstr>
      <vt:lpstr>'REGRESSION BETA'!Print_Area</vt:lpstr>
      <vt:lpstr>'RELATIVE VALUATION'!Print_Area</vt:lpstr>
      <vt:lpstr>'REVENUE SCHEDULE'!Print_Area</vt:lpstr>
      <vt:lpstr>SNAPSHOTS!Print_Area</vt:lpstr>
      <vt:lpstr>'WHAT HAPPENED WITHIN YEAR'!Print_Area</vt:lpstr>
      <vt:lpstr>'WHY YOU SHOULD INVEST'!Print_Area</vt:lpstr>
      <vt:lpstr>'WHY YOU SHOULD WAIT'!Print_Area</vt:lpstr>
      <vt:lpstr>'WORKING CAPITAL SCHEDULE'!Print_Area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Swati Wagh</dc:creator>
  <cp:lastModifiedBy>Swati Wagh</cp:lastModifiedBy>
  <cp:lastPrinted>2026-01-22T15:20:17Z</cp:lastPrinted>
  <dcterms:created xsi:type="dcterms:W3CDTF">2025-07-08T18:41:09Z</dcterms:created>
  <dcterms:modified xsi:type="dcterms:W3CDTF">2026-01-23T16:19:26Z</dcterms:modified>
</cp:coreProperties>
</file>